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charts/chart4.xml" ContentType="application/vnd.openxmlformats-officedocument.drawingml.chart+xml"/>
  <Override PartName="/xl/comments8.xml" ContentType="application/vnd.openxmlformats-officedocument.spreadsheetml.comment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drawings/drawing4.xml" ContentType="application/vnd.openxmlformats-officedocument.drawing+xml"/>
  <Override PartName="/xl/comments6.xml" ContentType="application/vnd.openxmlformats-officedocument.spreadsheetml.comment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drawings/drawing9.xml" ContentType="application/vnd.openxmlformats-officedocument.drawing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drawings/drawing5.xml" ContentType="application/vnd.openxmlformats-officedocument.drawing+xml"/>
  <Override PartName="/xl/comments7.xml" ContentType="application/vnd.openxmlformats-officedocument.spreadsheetml.comments+xml"/>
  <Override PartName="/xl/charts/chart3.xml" ContentType="application/vnd.openxmlformats-officedocument.drawingml.char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15390" windowHeight="6585" tabRatio="839" firstSheet="6" activeTab="12"/>
  </bookViews>
  <sheets>
    <sheet name="JAN" sheetId="2" r:id="rId1"/>
    <sheet name="FEV" sheetId="3" r:id="rId2"/>
    <sheet name="MAR" sheetId="4" r:id="rId3"/>
    <sheet name="ABR" sheetId="23" r:id="rId4"/>
    <sheet name="MAI" sheetId="8" r:id="rId5"/>
    <sheet name="JUN" sheetId="7" r:id="rId6"/>
    <sheet name="JUL" sheetId="9" r:id="rId7"/>
    <sheet name="AGO" sheetId="10" r:id="rId8"/>
    <sheet name="SET" sheetId="11" r:id="rId9"/>
    <sheet name="OUT" sheetId="12" r:id="rId10"/>
    <sheet name="NOV" sheetId="13" r:id="rId11"/>
    <sheet name="DEZ" sheetId="14" r:id="rId12"/>
    <sheet name="ANUAL" sheetId="1" r:id="rId13"/>
    <sheet name="MODELO" sheetId="6" r:id="rId14"/>
    <sheet name="SEGUROS" sheetId="16" r:id="rId15"/>
    <sheet name="SIMULAÇÃO" sheetId="17" r:id="rId16"/>
    <sheet name="COTAS" sheetId="19" r:id="rId17"/>
    <sheet name="RENDA VARIAVEL" sheetId="18" r:id="rId18"/>
    <sheet name="FII 2023B" sheetId="27" r:id="rId19"/>
    <sheet name="ESPECULAÇÃO" sheetId="22" r:id="rId20"/>
    <sheet name="RENDA FIXA" sheetId="24" r:id="rId21"/>
    <sheet name="CV DOLLAR" sheetId="25" r:id="rId22"/>
    <sheet name="2022b" sheetId="21" r:id="rId23"/>
    <sheet name="2022" sheetId="20" r:id="rId24"/>
    <sheet name="FII 2024" sheetId="28" r:id="rId25"/>
    <sheet name="Plan1" sheetId="29" r:id="rId26"/>
  </sheets>
  <calcPr calcId="124519"/>
</workbook>
</file>

<file path=xl/calcChain.xml><?xml version="1.0" encoding="utf-8"?>
<calcChain xmlns="http://schemas.openxmlformats.org/spreadsheetml/2006/main">
  <c r="P30" i="1"/>
  <c r="P29"/>
  <c r="P28"/>
  <c r="P27"/>
  <c r="P26"/>
  <c r="P25"/>
  <c r="P24"/>
  <c r="P23"/>
  <c r="P22"/>
  <c r="P21"/>
  <c r="P20"/>
  <c r="P19"/>
  <c r="P18"/>
  <c r="P17"/>
  <c r="P15"/>
  <c r="P14"/>
  <c r="P13"/>
  <c r="P12"/>
  <c r="P11"/>
  <c r="P10"/>
  <c r="P9"/>
  <c r="P8"/>
  <c r="P7"/>
  <c r="P6"/>
  <c r="S27"/>
  <c r="S26"/>
  <c r="R27"/>
  <c r="R26"/>
  <c r="N11"/>
  <c r="N9" i="29" l="1"/>
  <c r="L7"/>
  <c r="L8"/>
  <c r="L9"/>
  <c r="L10"/>
  <c r="L11"/>
  <c r="L12"/>
  <c r="L6"/>
  <c r="J13"/>
  <c r="J5" s="1"/>
  <c r="L13" s="1"/>
  <c r="T28" i="1"/>
  <c r="N10"/>
  <c r="M18"/>
  <c r="N30"/>
  <c r="N27"/>
  <c r="N42"/>
  <c r="N29"/>
  <c r="N25"/>
  <c r="N21"/>
  <c r="CA47" i="27"/>
  <c r="CA46"/>
  <c r="CA45"/>
  <c r="CA44"/>
  <c r="CA43"/>
  <c r="CA41"/>
  <c r="CA40"/>
  <c r="CA39"/>
  <c r="CA37"/>
  <c r="CA36"/>
  <c r="CA35"/>
  <c r="CA34"/>
  <c r="N20" i="1"/>
  <c r="N8"/>
  <c r="N24"/>
  <c r="U21"/>
  <c r="W12" s="1"/>
  <c r="U12"/>
  <c r="M27"/>
  <c r="AR27" i="14"/>
  <c r="N23" i="1"/>
  <c r="M29"/>
  <c r="M21"/>
  <c r="M24"/>
  <c r="M42" l="1"/>
  <c r="M19" l="1"/>
  <c r="BT15" i="27" l="1"/>
  <c r="M17" i="1"/>
  <c r="M40"/>
  <c r="BH19" i="27" l="1"/>
  <c r="L30" i="1"/>
  <c r="M11" l="1"/>
  <c r="BU34" i="27" l="1"/>
  <c r="BU35"/>
  <c r="BU36"/>
  <c r="BU37"/>
  <c r="BU38"/>
  <c r="BU39"/>
  <c r="BU40"/>
  <c r="BU41"/>
  <c r="BU42"/>
  <c r="BU43"/>
  <c r="BU44"/>
  <c r="BU45"/>
  <c r="BU46"/>
  <c r="BU47"/>
  <c r="BU33"/>
  <c r="BH63"/>
  <c r="BF63"/>
  <c r="BE62"/>
  <c r="BE60"/>
  <c r="BE59"/>
  <c r="BE58"/>
  <c r="BE57"/>
  <c r="BE56"/>
  <c r="BE55"/>
  <c r="BH61"/>
  <c r="BE54"/>
  <c r="BE53"/>
  <c r="L19" i="1" l="1"/>
  <c r="L18" l="1"/>
  <c r="M10"/>
  <c r="M25"/>
  <c r="L24"/>
  <c r="L21"/>
  <c r="U16" l="1"/>
  <c r="M8" l="1"/>
  <c r="L25" l="1"/>
  <c r="L29" l="1"/>
  <c r="L42"/>
  <c r="G29" l="1"/>
  <c r="L27"/>
  <c r="L39" s="1"/>
  <c r="L35"/>
  <c r="M39"/>
  <c r="L43"/>
  <c r="M43"/>
  <c r="M48"/>
  <c r="L70"/>
  <c r="M70"/>
  <c r="M44" l="1"/>
  <c r="M46" s="1"/>
  <c r="M47"/>
  <c r="L47"/>
  <c r="L44"/>
  <c r="L46" s="1"/>
  <c r="L48"/>
  <c r="L8" l="1"/>
  <c r="L17"/>
  <c r="H13" i="13" l="1"/>
  <c r="G13"/>
  <c r="H12"/>
  <c r="G12"/>
  <c r="H11"/>
  <c r="G11"/>
  <c r="H10"/>
  <c r="G10"/>
  <c r="H9"/>
  <c r="G9"/>
  <c r="H8"/>
  <c r="G8"/>
  <c r="H7"/>
  <c r="G7"/>
  <c r="H5"/>
  <c r="G5"/>
  <c r="H4"/>
  <c r="G4"/>
  <c r="H3"/>
  <c r="G3"/>
  <c r="K42" i="1" l="1"/>
  <c r="K29"/>
  <c r="Y25" l="1"/>
  <c r="X34"/>
  <c r="AU15" i="27" l="1"/>
  <c r="AO15"/>
  <c r="AI14"/>
  <c r="AC7"/>
  <c r="W8"/>
  <c r="Q8"/>
  <c r="L23" i="18"/>
  <c r="K24" i="27"/>
  <c r="K9"/>
  <c r="T134" i="28"/>
  <c r="R134"/>
  <c r="T133"/>
  <c r="T132"/>
  <c r="S132"/>
  <c r="R132"/>
  <c r="T131"/>
  <c r="T130"/>
  <c r="R130"/>
  <c r="T129"/>
  <c r="T128"/>
  <c r="R128"/>
  <c r="R127"/>
  <c r="T127" s="1"/>
  <c r="AG105"/>
  <c r="AB105"/>
  <c r="W105"/>
  <c r="R105"/>
  <c r="M105"/>
  <c r="AI104"/>
  <c r="AD104"/>
  <c r="Y104"/>
  <c r="T104"/>
  <c r="O104"/>
  <c r="AI103"/>
  <c r="AD103"/>
  <c r="Y103"/>
  <c r="T103"/>
  <c r="O103"/>
  <c r="AI102"/>
  <c r="AD102"/>
  <c r="Y102"/>
  <c r="T102"/>
  <c r="O102"/>
  <c r="AI101"/>
  <c r="AD101"/>
  <c r="Y101"/>
  <c r="T101"/>
  <c r="O101"/>
  <c r="AI100"/>
  <c r="AD100"/>
  <c r="Y100"/>
  <c r="T100"/>
  <c r="O100"/>
  <c r="AI99"/>
  <c r="AD99"/>
  <c r="Y99"/>
  <c r="T99"/>
  <c r="O99"/>
  <c r="AI98"/>
  <c r="AD98"/>
  <c r="Y98"/>
  <c r="T98"/>
  <c r="O98"/>
  <c r="AI97"/>
  <c r="AD97"/>
  <c r="Y97"/>
  <c r="T97"/>
  <c r="O97"/>
  <c r="AI96"/>
  <c r="AD96"/>
  <c r="Y96"/>
  <c r="T96"/>
  <c r="O96"/>
  <c r="AI95"/>
  <c r="AD95"/>
  <c r="Y95"/>
  <c r="X95"/>
  <c r="T95"/>
  <c r="O95"/>
  <c r="AI94"/>
  <c r="AD94"/>
  <c r="Y94"/>
  <c r="Y105" s="1"/>
  <c r="E38" s="1"/>
  <c r="T94"/>
  <c r="O94"/>
  <c r="N94"/>
  <c r="AI93"/>
  <c r="AI105" s="1"/>
  <c r="E40" s="1"/>
  <c r="AD93"/>
  <c r="Y93"/>
  <c r="T93"/>
  <c r="O93"/>
  <c r="O105" s="1"/>
  <c r="Z91"/>
  <c r="U91"/>
  <c r="AG86"/>
  <c r="G8" s="1"/>
  <c r="AD86"/>
  <c r="E34" s="1"/>
  <c r="CA7" s="1"/>
  <c r="AB86"/>
  <c r="W86"/>
  <c r="D33" s="1"/>
  <c r="M86"/>
  <c r="D31" s="1"/>
  <c r="AI85"/>
  <c r="AD85"/>
  <c r="Y85"/>
  <c r="T85"/>
  <c r="O85"/>
  <c r="AI84"/>
  <c r="AD84"/>
  <c r="Y84"/>
  <c r="T84"/>
  <c r="O84"/>
  <c r="AI83"/>
  <c r="AD83"/>
  <c r="Y83"/>
  <c r="T83"/>
  <c r="O83"/>
  <c r="C83"/>
  <c r="AI82"/>
  <c r="AD82"/>
  <c r="Y82"/>
  <c r="T82"/>
  <c r="O82"/>
  <c r="C82"/>
  <c r="AI81"/>
  <c r="AD81"/>
  <c r="Y81"/>
  <c r="T81"/>
  <c r="O81"/>
  <c r="C81"/>
  <c r="AI80"/>
  <c r="AD80"/>
  <c r="Y80"/>
  <c r="T80"/>
  <c r="O80"/>
  <c r="C80"/>
  <c r="AI79"/>
  <c r="AD79"/>
  <c r="Y79"/>
  <c r="T79"/>
  <c r="O79"/>
  <c r="C79"/>
  <c r="AI78"/>
  <c r="AD78"/>
  <c r="Y78"/>
  <c r="T78"/>
  <c r="O78"/>
  <c r="C78"/>
  <c r="AI77"/>
  <c r="AD77"/>
  <c r="Y77"/>
  <c r="T77"/>
  <c r="S77"/>
  <c r="O77"/>
  <c r="C77"/>
  <c r="AI76"/>
  <c r="AH76"/>
  <c r="AD76"/>
  <c r="Y76"/>
  <c r="S76"/>
  <c r="R76"/>
  <c r="O76"/>
  <c r="C76"/>
  <c r="AI75"/>
  <c r="AD75"/>
  <c r="Y75"/>
  <c r="T75"/>
  <c r="O75"/>
  <c r="C75"/>
  <c r="AI74"/>
  <c r="AI86" s="1"/>
  <c r="AD74"/>
  <c r="Y74"/>
  <c r="S74"/>
  <c r="T74" s="1"/>
  <c r="O74"/>
  <c r="C74"/>
  <c r="B70"/>
  <c r="B69"/>
  <c r="AL67"/>
  <c r="D46" s="1"/>
  <c r="AG67"/>
  <c r="D45" s="1"/>
  <c r="AB67"/>
  <c r="W67"/>
  <c r="R67"/>
  <c r="D42" s="1"/>
  <c r="M67"/>
  <c r="D41" s="1"/>
  <c r="AN66"/>
  <c r="AI66"/>
  <c r="AD66"/>
  <c r="Y66"/>
  <c r="T66"/>
  <c r="O66"/>
  <c r="B66"/>
  <c r="AN65"/>
  <c r="AI65"/>
  <c r="AD65"/>
  <c r="Y65"/>
  <c r="T65"/>
  <c r="O65"/>
  <c r="B65"/>
  <c r="AN64"/>
  <c r="AI64"/>
  <c r="AD64"/>
  <c r="Y64"/>
  <c r="T64"/>
  <c r="O64"/>
  <c r="AN63"/>
  <c r="AI63"/>
  <c r="AD63"/>
  <c r="Y63"/>
  <c r="T63"/>
  <c r="O63"/>
  <c r="AN62"/>
  <c r="AI62"/>
  <c r="AD62"/>
  <c r="Y62"/>
  <c r="T62"/>
  <c r="O62"/>
  <c r="AN61"/>
  <c r="AI61"/>
  <c r="AD61"/>
  <c r="Y61"/>
  <c r="T61"/>
  <c r="O61"/>
  <c r="AN60"/>
  <c r="AI60"/>
  <c r="AD60"/>
  <c r="Y60"/>
  <c r="T60"/>
  <c r="O60"/>
  <c r="AN59"/>
  <c r="AI59"/>
  <c r="AD59"/>
  <c r="Y59"/>
  <c r="T59"/>
  <c r="O59"/>
  <c r="AN58"/>
  <c r="AI58"/>
  <c r="AD58"/>
  <c r="Y58"/>
  <c r="T58"/>
  <c r="O58"/>
  <c r="O67" s="1"/>
  <c r="E41" s="1"/>
  <c r="AN57"/>
  <c r="AI57"/>
  <c r="AD57"/>
  <c r="Y57"/>
  <c r="T57"/>
  <c r="O57"/>
  <c r="AN56"/>
  <c r="AI56"/>
  <c r="AD56"/>
  <c r="Y56"/>
  <c r="T56"/>
  <c r="O56"/>
  <c r="AN55"/>
  <c r="AI55"/>
  <c r="AD55"/>
  <c r="Y55"/>
  <c r="T55"/>
  <c r="O55"/>
  <c r="C52"/>
  <c r="C49"/>
  <c r="CB47"/>
  <c r="CA47"/>
  <c r="BV47"/>
  <c r="BU47"/>
  <c r="BP47"/>
  <c r="BO47"/>
  <c r="BJ47"/>
  <c r="BI47"/>
  <c r="BD47"/>
  <c r="BC47"/>
  <c r="AX47"/>
  <c r="AW47"/>
  <c r="AR47"/>
  <c r="AQ47"/>
  <c r="AL47"/>
  <c r="AK47"/>
  <c r="AF47"/>
  <c r="AE47"/>
  <c r="Z47"/>
  <c r="Y47"/>
  <c r="T47"/>
  <c r="S47"/>
  <c r="N47"/>
  <c r="M47"/>
  <c r="H47"/>
  <c r="CB46"/>
  <c r="CA46"/>
  <c r="BV46"/>
  <c r="BU46"/>
  <c r="BP46"/>
  <c r="BO46"/>
  <c r="BP21" s="1"/>
  <c r="BJ46"/>
  <c r="BI46"/>
  <c r="BD46"/>
  <c r="BC46"/>
  <c r="BD21" s="1"/>
  <c r="AX46"/>
  <c r="AW46"/>
  <c r="AR46"/>
  <c r="AQ46"/>
  <c r="AR21" s="1"/>
  <c r="AL46"/>
  <c r="AK46"/>
  <c r="AF46"/>
  <c r="AE46"/>
  <c r="Z46"/>
  <c r="Y46"/>
  <c r="T46"/>
  <c r="S46"/>
  <c r="T21" s="1"/>
  <c r="N46"/>
  <c r="M46"/>
  <c r="H46"/>
  <c r="B45" s="1"/>
  <c r="B46"/>
  <c r="CB45"/>
  <c r="CA45"/>
  <c r="BV45"/>
  <c r="BU45"/>
  <c r="BP45"/>
  <c r="BO45"/>
  <c r="BJ45"/>
  <c r="BI45"/>
  <c r="BD45"/>
  <c r="BC45"/>
  <c r="AX45"/>
  <c r="AW45"/>
  <c r="AR45"/>
  <c r="AQ45"/>
  <c r="AL45"/>
  <c r="AK45"/>
  <c r="AF45"/>
  <c r="AE45"/>
  <c r="Z45"/>
  <c r="Y45"/>
  <c r="T45"/>
  <c r="S45"/>
  <c r="N45"/>
  <c r="M45"/>
  <c r="H45"/>
  <c r="CB44"/>
  <c r="CA44"/>
  <c r="BV44"/>
  <c r="BU44"/>
  <c r="BP44"/>
  <c r="BO44"/>
  <c r="BJ44"/>
  <c r="BI44"/>
  <c r="BD44"/>
  <c r="BC44"/>
  <c r="AX44"/>
  <c r="AW44"/>
  <c r="AR44"/>
  <c r="AQ44"/>
  <c r="AL44"/>
  <c r="AK44"/>
  <c r="AF44"/>
  <c r="AE44"/>
  <c r="Z44"/>
  <c r="Y44"/>
  <c r="T44"/>
  <c r="S44"/>
  <c r="N44"/>
  <c r="M44"/>
  <c r="H44"/>
  <c r="B67" s="1"/>
  <c r="D44"/>
  <c r="CB43"/>
  <c r="CA43"/>
  <c r="BV43"/>
  <c r="BU43"/>
  <c r="BP43"/>
  <c r="BO43"/>
  <c r="BP18" s="1"/>
  <c r="BJ43"/>
  <c r="BI43"/>
  <c r="BD43"/>
  <c r="BC43"/>
  <c r="BD18" s="1"/>
  <c r="AX43"/>
  <c r="AW43"/>
  <c r="AR43"/>
  <c r="AQ43"/>
  <c r="AR18" s="1"/>
  <c r="AL43"/>
  <c r="AK43"/>
  <c r="AF43"/>
  <c r="AE43"/>
  <c r="Z43"/>
  <c r="Y43"/>
  <c r="T43"/>
  <c r="S43"/>
  <c r="T18" s="1"/>
  <c r="N43"/>
  <c r="M43"/>
  <c r="H43"/>
  <c r="D43"/>
  <c r="CB42"/>
  <c r="CA42"/>
  <c r="CB17" s="1"/>
  <c r="BV42"/>
  <c r="BU42"/>
  <c r="BP42"/>
  <c r="BO42"/>
  <c r="BJ42"/>
  <c r="BI42"/>
  <c r="BD42"/>
  <c r="BC42"/>
  <c r="AX42"/>
  <c r="AW42"/>
  <c r="AR42"/>
  <c r="AQ42"/>
  <c r="AL42"/>
  <c r="AK42"/>
  <c r="AF42"/>
  <c r="AE42"/>
  <c r="AF17" s="1"/>
  <c r="Z42"/>
  <c r="Y42"/>
  <c r="T42"/>
  <c r="S42"/>
  <c r="N42"/>
  <c r="M42"/>
  <c r="H42"/>
  <c r="B42"/>
  <c r="CB41"/>
  <c r="CA41"/>
  <c r="BV41"/>
  <c r="BU41"/>
  <c r="BP41"/>
  <c r="BO41"/>
  <c r="BJ41"/>
  <c r="BI41"/>
  <c r="BD41"/>
  <c r="BC41"/>
  <c r="AX41"/>
  <c r="AW41"/>
  <c r="AR41"/>
  <c r="AQ41"/>
  <c r="AL41"/>
  <c r="AK41"/>
  <c r="AF41"/>
  <c r="AE41"/>
  <c r="Z41"/>
  <c r="Y41"/>
  <c r="T41"/>
  <c r="S41"/>
  <c r="N41"/>
  <c r="M41"/>
  <c r="H41"/>
  <c r="CB40"/>
  <c r="CA40"/>
  <c r="BV40"/>
  <c r="BU40"/>
  <c r="BP40"/>
  <c r="BO40"/>
  <c r="BJ40"/>
  <c r="BI40"/>
  <c r="BD40"/>
  <c r="BC40"/>
  <c r="AX40"/>
  <c r="AW40"/>
  <c r="AR40"/>
  <c r="AQ40"/>
  <c r="AL40"/>
  <c r="AK40"/>
  <c r="AF40"/>
  <c r="AE40"/>
  <c r="Z40"/>
  <c r="Y40"/>
  <c r="T40"/>
  <c r="S40"/>
  <c r="N40"/>
  <c r="M40"/>
  <c r="D40"/>
  <c r="C40"/>
  <c r="CB39"/>
  <c r="CA39"/>
  <c r="BV39"/>
  <c r="BU39"/>
  <c r="BP39"/>
  <c r="BO39"/>
  <c r="BJ39"/>
  <c r="BI39"/>
  <c r="BD39"/>
  <c r="BC39"/>
  <c r="AX39"/>
  <c r="AW39"/>
  <c r="AR39"/>
  <c r="AQ39"/>
  <c r="AL39"/>
  <c r="AK39"/>
  <c r="AF39"/>
  <c r="AE39"/>
  <c r="Z39"/>
  <c r="Y39"/>
  <c r="T39"/>
  <c r="S39"/>
  <c r="N39"/>
  <c r="M39"/>
  <c r="D39"/>
  <c r="CB38"/>
  <c r="CA38"/>
  <c r="CB11" s="1"/>
  <c r="BV38"/>
  <c r="BU38"/>
  <c r="BP38"/>
  <c r="BO38"/>
  <c r="BJ38"/>
  <c r="BI38"/>
  <c r="BD38"/>
  <c r="BC38"/>
  <c r="BD11" s="1"/>
  <c r="AX38"/>
  <c r="AW38"/>
  <c r="AR38"/>
  <c r="AQ38"/>
  <c r="AR11" s="1"/>
  <c r="AL38"/>
  <c r="AK38"/>
  <c r="AF38"/>
  <c r="AE38"/>
  <c r="AF11" s="1"/>
  <c r="Z38"/>
  <c r="Y38"/>
  <c r="T38"/>
  <c r="S38"/>
  <c r="T11" s="1"/>
  <c r="N38"/>
  <c r="M38"/>
  <c r="D38"/>
  <c r="CB37"/>
  <c r="CA37"/>
  <c r="BV37"/>
  <c r="BU37"/>
  <c r="BP37"/>
  <c r="BO37"/>
  <c r="BJ37"/>
  <c r="BI37"/>
  <c r="BD37"/>
  <c r="BC37"/>
  <c r="AX37"/>
  <c r="AW37"/>
  <c r="AR37"/>
  <c r="AQ37"/>
  <c r="AL37"/>
  <c r="AK37"/>
  <c r="AF37"/>
  <c r="AE37"/>
  <c r="Z37"/>
  <c r="Y37"/>
  <c r="T37"/>
  <c r="S37"/>
  <c r="N37"/>
  <c r="M37"/>
  <c r="CB36"/>
  <c r="CA36"/>
  <c r="BV36"/>
  <c r="BU36"/>
  <c r="BV8" s="1"/>
  <c r="BP36"/>
  <c r="BO36"/>
  <c r="BJ36"/>
  <c r="BI36"/>
  <c r="BD36"/>
  <c r="BC36"/>
  <c r="AX36"/>
  <c r="AW36"/>
  <c r="AR36"/>
  <c r="AQ36"/>
  <c r="AL36"/>
  <c r="AK36"/>
  <c r="AL8" s="1"/>
  <c r="AF36"/>
  <c r="AE36"/>
  <c r="Z36"/>
  <c r="Y36"/>
  <c r="T36"/>
  <c r="S36"/>
  <c r="N36"/>
  <c r="M36"/>
  <c r="N8" s="1"/>
  <c r="D36"/>
  <c r="CB35"/>
  <c r="CA35"/>
  <c r="BV35"/>
  <c r="BU35"/>
  <c r="BP35"/>
  <c r="BO35"/>
  <c r="BP7" s="1"/>
  <c r="BJ35"/>
  <c r="BI35"/>
  <c r="BD35"/>
  <c r="BC35"/>
  <c r="BD7" s="1"/>
  <c r="AX35"/>
  <c r="AW35"/>
  <c r="AR35"/>
  <c r="AQ35"/>
  <c r="AL35"/>
  <c r="AK35"/>
  <c r="AF35"/>
  <c r="AE35"/>
  <c r="AF7" s="1"/>
  <c r="Z35"/>
  <c r="Y35"/>
  <c r="T35"/>
  <c r="S35"/>
  <c r="N35"/>
  <c r="M35"/>
  <c r="E35"/>
  <c r="D35"/>
  <c r="CB34"/>
  <c r="CA34"/>
  <c r="BV34"/>
  <c r="BU34"/>
  <c r="BP34"/>
  <c r="BO34"/>
  <c r="BJ34"/>
  <c r="BI34"/>
  <c r="BD34"/>
  <c r="BC34"/>
  <c r="AX34"/>
  <c r="AW34"/>
  <c r="AR34"/>
  <c r="AQ34"/>
  <c r="AL34"/>
  <c r="AK34"/>
  <c r="AF34"/>
  <c r="AE34"/>
  <c r="Z34"/>
  <c r="Y34"/>
  <c r="T34"/>
  <c r="S34"/>
  <c r="N34"/>
  <c r="M34"/>
  <c r="D34"/>
  <c r="B34"/>
  <c r="CB33"/>
  <c r="CA33"/>
  <c r="BV33"/>
  <c r="BU33"/>
  <c r="BP33"/>
  <c r="BO33"/>
  <c r="BJ33"/>
  <c r="BI33"/>
  <c r="BJ5" s="1"/>
  <c r="BD33"/>
  <c r="BC33"/>
  <c r="AX33"/>
  <c r="AW33"/>
  <c r="AX5" s="1"/>
  <c r="AR33"/>
  <c r="AQ33"/>
  <c r="AL33"/>
  <c r="AK33"/>
  <c r="AF33"/>
  <c r="AE33"/>
  <c r="Z33"/>
  <c r="Y33"/>
  <c r="Z5" s="1"/>
  <c r="T33"/>
  <c r="S33"/>
  <c r="N33"/>
  <c r="M33"/>
  <c r="N5" s="1"/>
  <c r="CB32"/>
  <c r="CA32"/>
  <c r="BV32"/>
  <c r="BU32"/>
  <c r="BP32"/>
  <c r="BO32"/>
  <c r="BJ32"/>
  <c r="BI32"/>
  <c r="BJ4" s="1"/>
  <c r="BJ24" s="1"/>
  <c r="BD32"/>
  <c r="BC32"/>
  <c r="AX32"/>
  <c r="AW32"/>
  <c r="AX4" s="1"/>
  <c r="AX24" s="1"/>
  <c r="AR32"/>
  <c r="AQ32"/>
  <c r="AL32"/>
  <c r="AK32"/>
  <c r="AL4" s="1"/>
  <c r="AL24" s="1"/>
  <c r="AF32"/>
  <c r="AE32"/>
  <c r="Z32"/>
  <c r="Y32"/>
  <c r="Z4" s="1"/>
  <c r="T32"/>
  <c r="S32"/>
  <c r="N32"/>
  <c r="M32"/>
  <c r="N4" s="1"/>
  <c r="N24" s="1"/>
  <c r="BB27"/>
  <c r="BK24"/>
  <c r="AG24"/>
  <c r="AA24"/>
  <c r="Q24"/>
  <c r="R27" s="1"/>
  <c r="I24"/>
  <c r="F24"/>
  <c r="E24"/>
  <c r="BY23"/>
  <c r="BW23"/>
  <c r="BT23"/>
  <c r="BS23"/>
  <c r="BQ23"/>
  <c r="BN23"/>
  <c r="BM23"/>
  <c r="BK23"/>
  <c r="BH23"/>
  <c r="BG23"/>
  <c r="BE23"/>
  <c r="BB23"/>
  <c r="BA23"/>
  <c r="AY23"/>
  <c r="AU23"/>
  <c r="AS23"/>
  <c r="AP23"/>
  <c r="AO23"/>
  <c r="AO24" s="1"/>
  <c r="AM23"/>
  <c r="AI23"/>
  <c r="AG23"/>
  <c r="AC23"/>
  <c r="AA23"/>
  <c r="W23"/>
  <c r="U23"/>
  <c r="R23"/>
  <c r="Q23"/>
  <c r="O23"/>
  <c r="L23"/>
  <c r="K23"/>
  <c r="I23"/>
  <c r="CB22"/>
  <c r="BZ22"/>
  <c r="BV22"/>
  <c r="BT22"/>
  <c r="BP22"/>
  <c r="BN22"/>
  <c r="BJ22"/>
  <c r="BD22"/>
  <c r="AX22"/>
  <c r="AV22"/>
  <c r="AR22"/>
  <c r="AP22"/>
  <c r="AL22"/>
  <c r="AJ22"/>
  <c r="AF22"/>
  <c r="AD22"/>
  <c r="Z22"/>
  <c r="X22"/>
  <c r="T22"/>
  <c r="R22"/>
  <c r="N22"/>
  <c r="L22"/>
  <c r="H22"/>
  <c r="G22"/>
  <c r="CB21"/>
  <c r="BZ21"/>
  <c r="BV21"/>
  <c r="BT21"/>
  <c r="BN21"/>
  <c r="BJ21"/>
  <c r="AX21"/>
  <c r="AV21"/>
  <c r="AP21"/>
  <c r="AL21"/>
  <c r="AJ21"/>
  <c r="AF21"/>
  <c r="AD21"/>
  <c r="Z21"/>
  <c r="X21"/>
  <c r="R21"/>
  <c r="N21"/>
  <c r="L21"/>
  <c r="H21"/>
  <c r="G21"/>
  <c r="CB20"/>
  <c r="BZ20"/>
  <c r="BV20"/>
  <c r="BT20"/>
  <c r="BP20"/>
  <c r="BN20"/>
  <c r="BJ20"/>
  <c r="BD20"/>
  <c r="AX20"/>
  <c r="AV20"/>
  <c r="AR20"/>
  <c r="AP20"/>
  <c r="AL20"/>
  <c r="AJ20"/>
  <c r="AF20"/>
  <c r="AD20"/>
  <c r="Z20"/>
  <c r="X20"/>
  <c r="T20"/>
  <c r="R20"/>
  <c r="N20"/>
  <c r="L20"/>
  <c r="G20"/>
  <c r="CB19"/>
  <c r="BZ19"/>
  <c r="BV19"/>
  <c r="BT19"/>
  <c r="BP19"/>
  <c r="BN19"/>
  <c r="BJ19"/>
  <c r="BH19"/>
  <c r="BD19"/>
  <c r="AX19"/>
  <c r="AV19"/>
  <c r="AR19"/>
  <c r="AP19"/>
  <c r="AL19"/>
  <c r="AJ19"/>
  <c r="AF19"/>
  <c r="AD19"/>
  <c r="Z19"/>
  <c r="X19"/>
  <c r="T19"/>
  <c r="R19"/>
  <c r="N19"/>
  <c r="L19"/>
  <c r="H19"/>
  <c r="G19"/>
  <c r="CB18"/>
  <c r="BZ18"/>
  <c r="BV18"/>
  <c r="BT18"/>
  <c r="BN18"/>
  <c r="BJ18"/>
  <c r="AX18"/>
  <c r="AV18"/>
  <c r="AP18"/>
  <c r="AL18"/>
  <c r="AJ18"/>
  <c r="AF18"/>
  <c r="AD18"/>
  <c r="Z18"/>
  <c r="X18"/>
  <c r="R18"/>
  <c r="N18"/>
  <c r="L18"/>
  <c r="H18"/>
  <c r="BZ17"/>
  <c r="BZ23" s="1"/>
  <c r="BV17"/>
  <c r="BT17"/>
  <c r="BP17"/>
  <c r="BN17"/>
  <c r="BJ17"/>
  <c r="BD17"/>
  <c r="AX17"/>
  <c r="AV17"/>
  <c r="AV23" s="1"/>
  <c r="AR17"/>
  <c r="AP17"/>
  <c r="AL17"/>
  <c r="AJ17"/>
  <c r="AJ23" s="1"/>
  <c r="AD17"/>
  <c r="AD23" s="1"/>
  <c r="Z17"/>
  <c r="X17"/>
  <c r="X23" s="1"/>
  <c r="T17"/>
  <c r="R17"/>
  <c r="N17"/>
  <c r="L17"/>
  <c r="G17"/>
  <c r="B17"/>
  <c r="BZ16"/>
  <c r="BY16"/>
  <c r="BW16"/>
  <c r="BS16"/>
  <c r="BS24" s="1"/>
  <c r="BQ16"/>
  <c r="BK16"/>
  <c r="BG16"/>
  <c r="BE16"/>
  <c r="BA16"/>
  <c r="AY16"/>
  <c r="AY24" s="1"/>
  <c r="AU16"/>
  <c r="AS16"/>
  <c r="AS24" s="1"/>
  <c r="AP16"/>
  <c r="AO16"/>
  <c r="AM16"/>
  <c r="AM24" s="1"/>
  <c r="AI16"/>
  <c r="AG16"/>
  <c r="AC16"/>
  <c r="AA16"/>
  <c r="W16"/>
  <c r="U16"/>
  <c r="Q16"/>
  <c r="O16"/>
  <c r="O24" s="1"/>
  <c r="K16"/>
  <c r="I16"/>
  <c r="BZ15"/>
  <c r="BT15"/>
  <c r="BN15"/>
  <c r="BB15"/>
  <c r="AX15"/>
  <c r="AV15"/>
  <c r="AR15"/>
  <c r="AP15"/>
  <c r="AL15"/>
  <c r="AJ15"/>
  <c r="AF15"/>
  <c r="AD15"/>
  <c r="Z15"/>
  <c r="X15"/>
  <c r="T15"/>
  <c r="R15"/>
  <c r="N15"/>
  <c r="L15"/>
  <c r="CB14"/>
  <c r="BZ14"/>
  <c r="BV14"/>
  <c r="BT14"/>
  <c r="BP14"/>
  <c r="BN14"/>
  <c r="BJ14"/>
  <c r="BH14"/>
  <c r="BD14"/>
  <c r="BB14"/>
  <c r="AX14"/>
  <c r="AV14"/>
  <c r="AR14"/>
  <c r="AQ14"/>
  <c r="AP14"/>
  <c r="AL14"/>
  <c r="AJ14"/>
  <c r="AF14"/>
  <c r="AD14"/>
  <c r="Z14"/>
  <c r="X14"/>
  <c r="T14"/>
  <c r="R14"/>
  <c r="N14"/>
  <c r="L14"/>
  <c r="H14"/>
  <c r="G14"/>
  <c r="CB13"/>
  <c r="BZ13"/>
  <c r="BV13"/>
  <c r="BT13"/>
  <c r="BP13"/>
  <c r="BN13"/>
  <c r="BM13"/>
  <c r="BJ13"/>
  <c r="BH13"/>
  <c r="BD13"/>
  <c r="BB13"/>
  <c r="AX13"/>
  <c r="AV13"/>
  <c r="AR13"/>
  <c r="AP13"/>
  <c r="AL13"/>
  <c r="AJ13"/>
  <c r="AF13"/>
  <c r="AD13"/>
  <c r="Z13"/>
  <c r="X13"/>
  <c r="T13"/>
  <c r="R13"/>
  <c r="N13"/>
  <c r="L13"/>
  <c r="H13"/>
  <c r="H40" s="1"/>
  <c r="G13"/>
  <c r="CB12"/>
  <c r="BZ12"/>
  <c r="BV12"/>
  <c r="BT12"/>
  <c r="BP12"/>
  <c r="BN12"/>
  <c r="BM12"/>
  <c r="BJ12"/>
  <c r="BH12"/>
  <c r="BD12"/>
  <c r="BB12"/>
  <c r="AX12"/>
  <c r="AV12"/>
  <c r="AR12"/>
  <c r="AP12"/>
  <c r="AL12"/>
  <c r="AJ12"/>
  <c r="AF12"/>
  <c r="AD12"/>
  <c r="Z12"/>
  <c r="X12"/>
  <c r="T12"/>
  <c r="R12"/>
  <c r="N12"/>
  <c r="L12"/>
  <c r="H12"/>
  <c r="H39" s="1"/>
  <c r="G12"/>
  <c r="BZ11"/>
  <c r="BV11"/>
  <c r="BT11"/>
  <c r="BP11"/>
  <c r="BN11"/>
  <c r="BM11"/>
  <c r="BJ11"/>
  <c r="BH11"/>
  <c r="BH16" s="1"/>
  <c r="BG11"/>
  <c r="BB11"/>
  <c r="AX11"/>
  <c r="AV11"/>
  <c r="AP11"/>
  <c r="AL11"/>
  <c r="AJ11"/>
  <c r="AD11"/>
  <c r="Z11"/>
  <c r="X11"/>
  <c r="R11"/>
  <c r="N11"/>
  <c r="L11"/>
  <c r="H11"/>
  <c r="H38" s="1"/>
  <c r="B61" s="1"/>
  <c r="CB10"/>
  <c r="BZ10"/>
  <c r="BV10"/>
  <c r="BT10"/>
  <c r="BT16" s="1"/>
  <c r="BP10"/>
  <c r="BN10"/>
  <c r="BN16" s="1"/>
  <c r="BJ10"/>
  <c r="BH10"/>
  <c r="BD10"/>
  <c r="BB10"/>
  <c r="AX10"/>
  <c r="AV10"/>
  <c r="AV16" s="1"/>
  <c r="AR10"/>
  <c r="AP10"/>
  <c r="AL10"/>
  <c r="AJ10"/>
  <c r="AJ16" s="1"/>
  <c r="AF10"/>
  <c r="AD10"/>
  <c r="AD16" s="1"/>
  <c r="Z10"/>
  <c r="X10"/>
  <c r="X16" s="1"/>
  <c r="T10"/>
  <c r="R10"/>
  <c r="R16" s="1"/>
  <c r="N10"/>
  <c r="L10"/>
  <c r="L16" s="1"/>
  <c r="H10"/>
  <c r="H37" s="1"/>
  <c r="B36" s="1"/>
  <c r="G10"/>
  <c r="B10"/>
  <c r="BY9"/>
  <c r="BY24" s="1"/>
  <c r="BW9"/>
  <c r="BW24" s="1"/>
  <c r="BS9"/>
  <c r="BQ9"/>
  <c r="BK9"/>
  <c r="BG9"/>
  <c r="BG24" s="1"/>
  <c r="BE9"/>
  <c r="BE24" s="1"/>
  <c r="BA9"/>
  <c r="AY9"/>
  <c r="AU9"/>
  <c r="AU24" s="1"/>
  <c r="AV27" s="1"/>
  <c r="AS9"/>
  <c r="AO9"/>
  <c r="AM9"/>
  <c r="AJ9"/>
  <c r="AI9"/>
  <c r="AI24" s="1"/>
  <c r="AG9"/>
  <c r="AC9"/>
  <c r="AC24" s="1"/>
  <c r="AA9"/>
  <c r="W9"/>
  <c r="U9"/>
  <c r="R9"/>
  <c r="Q9"/>
  <c r="O9"/>
  <c r="L9"/>
  <c r="K9"/>
  <c r="K24" s="1"/>
  <c r="I9"/>
  <c r="CB8"/>
  <c r="BZ8"/>
  <c r="BT8"/>
  <c r="BP8"/>
  <c r="BM8"/>
  <c r="BJ8"/>
  <c r="BH8"/>
  <c r="BD8"/>
  <c r="BB8"/>
  <c r="AX8"/>
  <c r="AV8"/>
  <c r="AR8"/>
  <c r="AP8"/>
  <c r="AJ8"/>
  <c r="AF8"/>
  <c r="AD8"/>
  <c r="Z8"/>
  <c r="X8"/>
  <c r="T8"/>
  <c r="S8"/>
  <c r="R8"/>
  <c r="L8"/>
  <c r="H8"/>
  <c r="H36" s="1"/>
  <c r="CB7"/>
  <c r="BZ7"/>
  <c r="BV7"/>
  <c r="BT7"/>
  <c r="BN7"/>
  <c r="BJ7"/>
  <c r="BH7"/>
  <c r="BB7"/>
  <c r="AX7"/>
  <c r="AV7"/>
  <c r="AR7"/>
  <c r="AP7"/>
  <c r="AL7"/>
  <c r="AJ7"/>
  <c r="AD7"/>
  <c r="Z7"/>
  <c r="X7"/>
  <c r="T7"/>
  <c r="R7"/>
  <c r="N7"/>
  <c r="L7"/>
  <c r="H7"/>
  <c r="H35" s="1"/>
  <c r="B58" s="1"/>
  <c r="G7"/>
  <c r="CB6"/>
  <c r="BZ6"/>
  <c r="BV6"/>
  <c r="BT6"/>
  <c r="BP6"/>
  <c r="BN6"/>
  <c r="BM6"/>
  <c r="BJ6"/>
  <c r="BH6"/>
  <c r="BD6"/>
  <c r="BB6"/>
  <c r="AX6"/>
  <c r="AV6"/>
  <c r="AR6"/>
  <c r="AP6"/>
  <c r="AL6"/>
  <c r="AJ6"/>
  <c r="AF6"/>
  <c r="AD6"/>
  <c r="Z6"/>
  <c r="X6"/>
  <c r="T6"/>
  <c r="R6"/>
  <c r="N6"/>
  <c r="L6"/>
  <c r="H6"/>
  <c r="H34" s="1"/>
  <c r="B33" s="1"/>
  <c r="G6"/>
  <c r="CB5"/>
  <c r="BZ5"/>
  <c r="BV5"/>
  <c r="BT5"/>
  <c r="BP5"/>
  <c r="BN5"/>
  <c r="BH5"/>
  <c r="BD5"/>
  <c r="BB5"/>
  <c r="AV5"/>
  <c r="AR5"/>
  <c r="AP5"/>
  <c r="AL5"/>
  <c r="AJ5"/>
  <c r="AF5"/>
  <c r="AD5"/>
  <c r="X5"/>
  <c r="T5"/>
  <c r="R5"/>
  <c r="L5"/>
  <c r="H5"/>
  <c r="H33" s="1"/>
  <c r="CB4"/>
  <c r="CB24" s="1"/>
  <c r="BZ4"/>
  <c r="BZ9" s="1"/>
  <c r="BV4"/>
  <c r="BV24" s="1"/>
  <c r="BT4"/>
  <c r="BT9" s="1"/>
  <c r="BP4"/>
  <c r="BP24" s="1"/>
  <c r="BN4"/>
  <c r="BN9" s="1"/>
  <c r="BM4"/>
  <c r="BH4"/>
  <c r="BH9" s="1"/>
  <c r="BD4"/>
  <c r="BB4"/>
  <c r="AV4"/>
  <c r="AV9" s="1"/>
  <c r="AR4"/>
  <c r="AP4"/>
  <c r="AP9" s="1"/>
  <c r="AJ4"/>
  <c r="AF4"/>
  <c r="AF24" s="1"/>
  <c r="AD4"/>
  <c r="AD9" s="1"/>
  <c r="X4"/>
  <c r="X9" s="1"/>
  <c r="T4"/>
  <c r="T24" s="1"/>
  <c r="R4"/>
  <c r="L4"/>
  <c r="H4"/>
  <c r="H32" s="1"/>
  <c r="G4"/>
  <c r="B4"/>
  <c r="BM12" i="27"/>
  <c r="BM13"/>
  <c r="BM11"/>
  <c r="BM8"/>
  <c r="BM6"/>
  <c r="BM4"/>
  <c r="BO47"/>
  <c r="BP47"/>
  <c r="BO32"/>
  <c r="BP32"/>
  <c r="BO33"/>
  <c r="BP33"/>
  <c r="BO34"/>
  <c r="BP34"/>
  <c r="BO35"/>
  <c r="BP35"/>
  <c r="BO36"/>
  <c r="BP36"/>
  <c r="BO37"/>
  <c r="BP37"/>
  <c r="BO38"/>
  <c r="BP38"/>
  <c r="BO39"/>
  <c r="BP39"/>
  <c r="BO40"/>
  <c r="BP40"/>
  <c r="BO41"/>
  <c r="BP41"/>
  <c r="BO42"/>
  <c r="BP42"/>
  <c r="BO43"/>
  <c r="BP43"/>
  <c r="BO44"/>
  <c r="BP44"/>
  <c r="BO45"/>
  <c r="BP45"/>
  <c r="BP46"/>
  <c r="BO46"/>
  <c r="L27" i="28" l="1"/>
  <c r="AP27"/>
  <c r="AJ27"/>
  <c r="BT27"/>
  <c r="BU17"/>
  <c r="AW17"/>
  <c r="Y17"/>
  <c r="AQ15"/>
  <c r="CA17"/>
  <c r="AQ17"/>
  <c r="AK15"/>
  <c r="M15"/>
  <c r="BO17"/>
  <c r="AE17"/>
  <c r="M17"/>
  <c r="BU15"/>
  <c r="S15"/>
  <c r="BO15"/>
  <c r="AW15"/>
  <c r="AE15"/>
  <c r="C41"/>
  <c r="S17"/>
  <c r="CA15"/>
  <c r="Y15"/>
  <c r="AK17"/>
  <c r="C38"/>
  <c r="CA12"/>
  <c r="AK12"/>
  <c r="M12"/>
  <c r="AQ12"/>
  <c r="S12"/>
  <c r="Y12"/>
  <c r="BO12"/>
  <c r="AW12"/>
  <c r="AE12"/>
  <c r="BU12"/>
  <c r="AD27"/>
  <c r="BH27"/>
  <c r="Z24"/>
  <c r="C35"/>
  <c r="AW8"/>
  <c r="Y8"/>
  <c r="BU8"/>
  <c r="AE8"/>
  <c r="AW14"/>
  <c r="Y14"/>
  <c r="BO14"/>
  <c r="AE14"/>
  <c r="CA8"/>
  <c r="AK14"/>
  <c r="B60"/>
  <c r="B31"/>
  <c r="B55"/>
  <c r="BM9"/>
  <c r="M7"/>
  <c r="AQ7"/>
  <c r="M8"/>
  <c r="W24"/>
  <c r="S14"/>
  <c r="CA14"/>
  <c r="B37"/>
  <c r="Y67"/>
  <c r="E43" s="1"/>
  <c r="B57"/>
  <c r="B32"/>
  <c r="B56"/>
  <c r="BQ24"/>
  <c r="B68"/>
  <c r="B44"/>
  <c r="H20"/>
  <c r="C34"/>
  <c r="AW7"/>
  <c r="Y7"/>
  <c r="BO7"/>
  <c r="AE7"/>
  <c r="E36"/>
  <c r="S7"/>
  <c r="AQ8"/>
  <c r="BO8"/>
  <c r="BN8"/>
  <c r="B62"/>
  <c r="B38"/>
  <c r="G18"/>
  <c r="C17" s="1"/>
  <c r="H17"/>
  <c r="B41"/>
  <c r="BB9"/>
  <c r="AK7"/>
  <c r="BU7"/>
  <c r="AK8"/>
  <c r="BZ27"/>
  <c r="BB16"/>
  <c r="M14"/>
  <c r="BU14"/>
  <c r="U24"/>
  <c r="B40"/>
  <c r="B64"/>
  <c r="T67"/>
  <c r="E42" s="1"/>
  <c r="AN67"/>
  <c r="E46" s="1"/>
  <c r="AI67"/>
  <c r="E45" s="1"/>
  <c r="D37"/>
  <c r="G11"/>
  <c r="C10" s="1"/>
  <c r="T135"/>
  <c r="R86"/>
  <c r="T76"/>
  <c r="T86" s="1"/>
  <c r="E32" s="1"/>
  <c r="T105"/>
  <c r="E37" s="1"/>
  <c r="BM16"/>
  <c r="B63"/>
  <c r="B39"/>
  <c r="Y86"/>
  <c r="E33" s="1"/>
  <c r="AR24"/>
  <c r="B59"/>
  <c r="B35"/>
  <c r="AD67"/>
  <c r="E44" s="1"/>
  <c r="O86"/>
  <c r="E31" s="1"/>
  <c r="AD105"/>
  <c r="E39" s="1"/>
  <c r="B43"/>
  <c r="L10" i="1"/>
  <c r="K18"/>
  <c r="CA5" i="28" l="1"/>
  <c r="AQ5"/>
  <c r="S5"/>
  <c r="AW5"/>
  <c r="Y5"/>
  <c r="BU5"/>
  <c r="AK5"/>
  <c r="BO5"/>
  <c r="M5"/>
  <c r="AE5"/>
  <c r="E47"/>
  <c r="D27" s="1"/>
  <c r="F27" s="1"/>
  <c r="CA4"/>
  <c r="AK4"/>
  <c r="AQ4"/>
  <c r="S4"/>
  <c r="BU4"/>
  <c r="AE4"/>
  <c r="BO4"/>
  <c r="M4"/>
  <c r="C31"/>
  <c r="AW4"/>
  <c r="Y4"/>
  <c r="C46"/>
  <c r="BU22"/>
  <c r="AW22"/>
  <c r="Y22"/>
  <c r="BO22"/>
  <c r="AE22"/>
  <c r="M22"/>
  <c r="AK22"/>
  <c r="CA22"/>
  <c r="AQ22"/>
  <c r="S22"/>
  <c r="AQ6"/>
  <c r="S6"/>
  <c r="C33"/>
  <c r="AW6"/>
  <c r="Y6"/>
  <c r="CA6"/>
  <c r="AE6"/>
  <c r="BU6"/>
  <c r="M6"/>
  <c r="AK6"/>
  <c r="AW10"/>
  <c r="Y10"/>
  <c r="C36"/>
  <c r="BO10"/>
  <c r="AE10"/>
  <c r="AQ10"/>
  <c r="S10"/>
  <c r="BU10"/>
  <c r="M10"/>
  <c r="CA10"/>
  <c r="AK10"/>
  <c r="X27"/>
  <c r="N128"/>
  <c r="N130" s="1"/>
  <c r="BM24"/>
  <c r="BU20"/>
  <c r="AW20"/>
  <c r="Y20"/>
  <c r="AE20"/>
  <c r="M20"/>
  <c r="AK20"/>
  <c r="S20"/>
  <c r="BO20"/>
  <c r="CA20"/>
  <c r="AQ20"/>
  <c r="C44"/>
  <c r="BU11"/>
  <c r="AW11"/>
  <c r="Y11"/>
  <c r="CA11"/>
  <c r="AE11"/>
  <c r="C37"/>
  <c r="BO11"/>
  <c r="S11"/>
  <c r="AK11"/>
  <c r="AQ11"/>
  <c r="M11"/>
  <c r="C42"/>
  <c r="AK18"/>
  <c r="M18"/>
  <c r="BU18"/>
  <c r="AQ18"/>
  <c r="Y18"/>
  <c r="CA18"/>
  <c r="AE18"/>
  <c r="BO18"/>
  <c r="AW18"/>
  <c r="S18"/>
  <c r="BO6"/>
  <c r="C39"/>
  <c r="AQ13"/>
  <c r="S13"/>
  <c r="AW13"/>
  <c r="Y13"/>
  <c r="BU13"/>
  <c r="M13"/>
  <c r="CA13"/>
  <c r="AE13"/>
  <c r="AK13"/>
  <c r="D32"/>
  <c r="C32" s="1"/>
  <c r="G5"/>
  <c r="C4" s="1"/>
  <c r="AK21"/>
  <c r="M21"/>
  <c r="BU21"/>
  <c r="AQ21"/>
  <c r="Y21"/>
  <c r="C45"/>
  <c r="AE21"/>
  <c r="S21"/>
  <c r="CA21"/>
  <c r="AW21"/>
  <c r="BO21"/>
  <c r="BO13"/>
  <c r="C43"/>
  <c r="BI19"/>
  <c r="AW19"/>
  <c r="Y19"/>
  <c r="CA19"/>
  <c r="AE19"/>
  <c r="M19"/>
  <c r="AK19"/>
  <c r="S19"/>
  <c r="BO19"/>
  <c r="AQ19"/>
  <c r="BU19"/>
  <c r="T42" i="1"/>
  <c r="BN27" i="28" l="1"/>
  <c r="CC27" s="1"/>
  <c r="D28" s="1"/>
  <c r="C24"/>
  <c r="BG26"/>
  <c r="BI24" s="1"/>
  <c r="AC26"/>
  <c r="AE24" s="1"/>
  <c r="BY26"/>
  <c r="CA24" s="1"/>
  <c r="AU26"/>
  <c r="AW24" s="1"/>
  <c r="W26"/>
  <c r="Y24" s="1"/>
  <c r="BM26"/>
  <c r="BO24" s="1"/>
  <c r="K26"/>
  <c r="M24" s="1"/>
  <c r="AO26"/>
  <c r="AQ24" s="1"/>
  <c r="Q26"/>
  <c r="S24" s="1"/>
  <c r="BS26"/>
  <c r="BU24" s="1"/>
  <c r="AI26"/>
  <c r="AK24" s="1"/>
  <c r="T46" i="1"/>
  <c r="D10" i="28" l="1"/>
  <c r="D17"/>
  <c r="D4"/>
  <c r="K24" i="1"/>
  <c r="K25"/>
  <c r="K21"/>
  <c r="D24" i="28" l="1"/>
  <c r="K17" i="1"/>
  <c r="K23" l="1"/>
  <c r="E63" i="13" l="1"/>
  <c r="AK62"/>
  <c r="AJ62"/>
  <c r="AI62"/>
  <c r="AH62"/>
  <c r="AG62"/>
  <c r="AF62"/>
  <c r="AE62"/>
  <c r="AD62"/>
  <c r="AC62"/>
  <c r="AB62"/>
  <c r="AA62"/>
  <c r="Z62"/>
  <c r="W62"/>
  <c r="U62"/>
  <c r="T62"/>
  <c r="S62"/>
  <c r="R62"/>
  <c r="Q62"/>
  <c r="P62"/>
  <c r="O62"/>
  <c r="N62"/>
  <c r="M62"/>
  <c r="L62"/>
  <c r="K62"/>
  <c r="J62"/>
  <c r="H62"/>
  <c r="G62"/>
  <c r="AK61"/>
  <c r="AJ61"/>
  <c r="AI61"/>
  <c r="AH61"/>
  <c r="AG61"/>
  <c r="AF61"/>
  <c r="AE61"/>
  <c r="AD61"/>
  <c r="AC61"/>
  <c r="AB61"/>
  <c r="AA61"/>
  <c r="Z61"/>
  <c r="U61"/>
  <c r="T61"/>
  <c r="S61"/>
  <c r="R61"/>
  <c r="Q61"/>
  <c r="P61"/>
  <c r="O61"/>
  <c r="N61"/>
  <c r="M61"/>
  <c r="L61"/>
  <c r="K61"/>
  <c r="J61"/>
  <c r="H61"/>
  <c r="G61"/>
  <c r="AK60"/>
  <c r="AJ60"/>
  <c r="AI60"/>
  <c r="AH60"/>
  <c r="AG60"/>
  <c r="AF60"/>
  <c r="AE60"/>
  <c r="AD60"/>
  <c r="AC60"/>
  <c r="AB60"/>
  <c r="AA60"/>
  <c r="Z60"/>
  <c r="W60"/>
  <c r="U60"/>
  <c r="T60"/>
  <c r="S60"/>
  <c r="R60"/>
  <c r="Q60"/>
  <c r="P60"/>
  <c r="O60"/>
  <c r="N60"/>
  <c r="M60"/>
  <c r="L60"/>
  <c r="K60"/>
  <c r="J60"/>
  <c r="H60"/>
  <c r="G60"/>
  <c r="AK59"/>
  <c r="AJ59"/>
  <c r="AI59"/>
  <c r="AH59"/>
  <c r="AG59"/>
  <c r="AF59"/>
  <c r="AE59"/>
  <c r="AD59"/>
  <c r="AC59"/>
  <c r="AB59"/>
  <c r="AA59"/>
  <c r="Z59"/>
  <c r="U59"/>
  <c r="T59"/>
  <c r="S59"/>
  <c r="R59"/>
  <c r="Q59"/>
  <c r="P59"/>
  <c r="O59"/>
  <c r="N59"/>
  <c r="M59"/>
  <c r="L59"/>
  <c r="K59"/>
  <c r="J59"/>
  <c r="H59"/>
  <c r="G59"/>
  <c r="AK58"/>
  <c r="AJ58"/>
  <c r="AI58"/>
  <c r="AH58"/>
  <c r="AG58"/>
  <c r="AF58"/>
  <c r="AE58"/>
  <c r="AD58"/>
  <c r="AC58"/>
  <c r="AB58"/>
  <c r="AA58"/>
  <c r="Z58"/>
  <c r="W58"/>
  <c r="U58"/>
  <c r="T58"/>
  <c r="S58"/>
  <c r="R58"/>
  <c r="Q58"/>
  <c r="P58"/>
  <c r="O58"/>
  <c r="N58"/>
  <c r="M58"/>
  <c r="L58"/>
  <c r="K58"/>
  <c r="J58"/>
  <c r="H58"/>
  <c r="G58"/>
  <c r="AK57"/>
  <c r="AJ57"/>
  <c r="AI57"/>
  <c r="AH57"/>
  <c r="AG57"/>
  <c r="AF57"/>
  <c r="AE57"/>
  <c r="AD57"/>
  <c r="AC57"/>
  <c r="AB57"/>
  <c r="AA57"/>
  <c r="Z57"/>
  <c r="U57"/>
  <c r="T57"/>
  <c r="S57"/>
  <c r="R57"/>
  <c r="Q57"/>
  <c r="P57"/>
  <c r="O57"/>
  <c r="N57"/>
  <c r="M57"/>
  <c r="L57"/>
  <c r="K57"/>
  <c r="J57"/>
  <c r="H57"/>
  <c r="G57"/>
  <c r="AK56"/>
  <c r="AJ56"/>
  <c r="AI56"/>
  <c r="AH56"/>
  <c r="AG56"/>
  <c r="AF56"/>
  <c r="AE56"/>
  <c r="AD56"/>
  <c r="AC56"/>
  <c r="AB56"/>
  <c r="AA56"/>
  <c r="Z56"/>
  <c r="W56"/>
  <c r="U56"/>
  <c r="T56"/>
  <c r="S56"/>
  <c r="R56"/>
  <c r="Q56"/>
  <c r="P56"/>
  <c r="O56"/>
  <c r="N56"/>
  <c r="M56"/>
  <c r="L56"/>
  <c r="K56"/>
  <c r="J56"/>
  <c r="H56"/>
  <c r="G56"/>
  <c r="AK55"/>
  <c r="AJ55"/>
  <c r="AI55"/>
  <c r="AH55"/>
  <c r="AG55"/>
  <c r="AF55"/>
  <c r="AE55"/>
  <c r="AD55"/>
  <c r="AC55"/>
  <c r="AB55"/>
  <c r="AA55"/>
  <c r="Z55"/>
  <c r="U55"/>
  <c r="T55"/>
  <c r="S55"/>
  <c r="R55"/>
  <c r="Q55"/>
  <c r="P55"/>
  <c r="O55"/>
  <c r="N55"/>
  <c r="M55"/>
  <c r="L55"/>
  <c r="K55"/>
  <c r="J55"/>
  <c r="H55"/>
  <c r="G55"/>
  <c r="AK54"/>
  <c r="AJ54"/>
  <c r="AI54"/>
  <c r="AH54"/>
  <c r="AG54"/>
  <c r="AF54"/>
  <c r="AE54"/>
  <c r="AD54"/>
  <c r="AC54"/>
  <c r="AB54"/>
  <c r="AA54"/>
  <c r="Z54"/>
  <c r="W54"/>
  <c r="U54"/>
  <c r="T54"/>
  <c r="S54"/>
  <c r="R54"/>
  <c r="Q54"/>
  <c r="P54"/>
  <c r="O54"/>
  <c r="N54"/>
  <c r="M54"/>
  <c r="L54"/>
  <c r="K54"/>
  <c r="J54"/>
  <c r="H54"/>
  <c r="G54"/>
  <c r="AK53"/>
  <c r="AJ53"/>
  <c r="AI53"/>
  <c r="AH53"/>
  <c r="AG53"/>
  <c r="AF53"/>
  <c r="AE53"/>
  <c r="AD53"/>
  <c r="AC53"/>
  <c r="AB53"/>
  <c r="AA53"/>
  <c r="Z53"/>
  <c r="U53"/>
  <c r="T53"/>
  <c r="S53"/>
  <c r="R53"/>
  <c r="Q53"/>
  <c r="P53"/>
  <c r="O53"/>
  <c r="N53"/>
  <c r="M53"/>
  <c r="L53"/>
  <c r="K53"/>
  <c r="J53"/>
  <c r="H53"/>
  <c r="G53"/>
  <c r="AK52"/>
  <c r="AJ52"/>
  <c r="AI52"/>
  <c r="AH52"/>
  <c r="AG52"/>
  <c r="AF52"/>
  <c r="AE52"/>
  <c r="AD52"/>
  <c r="AC52"/>
  <c r="AB52"/>
  <c r="AA52"/>
  <c r="Z52"/>
  <c r="W52"/>
  <c r="U52"/>
  <c r="T52"/>
  <c r="S52"/>
  <c r="R52"/>
  <c r="Q52"/>
  <c r="P52"/>
  <c r="O52"/>
  <c r="N52"/>
  <c r="M52"/>
  <c r="L52"/>
  <c r="K52"/>
  <c r="J52"/>
  <c r="H52"/>
  <c r="G52"/>
  <c r="AK51"/>
  <c r="AJ51"/>
  <c r="AI51"/>
  <c r="AH51"/>
  <c r="AG51"/>
  <c r="AF51"/>
  <c r="AE51"/>
  <c r="AD51"/>
  <c r="AC51"/>
  <c r="AB51"/>
  <c r="AA51"/>
  <c r="Z51"/>
  <c r="U51"/>
  <c r="T51"/>
  <c r="S51"/>
  <c r="R51"/>
  <c r="Q51"/>
  <c r="P51"/>
  <c r="O51"/>
  <c r="N51"/>
  <c r="M51"/>
  <c r="L51"/>
  <c r="K51"/>
  <c r="J51"/>
  <c r="H51"/>
  <c r="G51"/>
  <c r="AK50"/>
  <c r="AJ50"/>
  <c r="AI50"/>
  <c r="AH50"/>
  <c r="AG50"/>
  <c r="AF50"/>
  <c r="AE50"/>
  <c r="AD50"/>
  <c r="AC50"/>
  <c r="AB50"/>
  <c r="AA50"/>
  <c r="Z50"/>
  <c r="W50"/>
  <c r="U50"/>
  <c r="T50"/>
  <c r="S50"/>
  <c r="R50"/>
  <c r="Q50"/>
  <c r="P50"/>
  <c r="O50"/>
  <c r="N50"/>
  <c r="M50"/>
  <c r="L50"/>
  <c r="K50"/>
  <c r="J50"/>
  <c r="H50"/>
  <c r="G50"/>
  <c r="AK49"/>
  <c r="AJ49"/>
  <c r="AI49"/>
  <c r="AH49"/>
  <c r="AG49"/>
  <c r="AF49"/>
  <c r="AE49"/>
  <c r="AD49"/>
  <c r="AC49"/>
  <c r="AB49"/>
  <c r="AA49"/>
  <c r="Z49"/>
  <c r="W49"/>
  <c r="U49"/>
  <c r="T49"/>
  <c r="S49"/>
  <c r="R49"/>
  <c r="Q49"/>
  <c r="P49"/>
  <c r="O49"/>
  <c r="N49"/>
  <c r="M49"/>
  <c r="L49"/>
  <c r="K49"/>
  <c r="J49"/>
  <c r="H49"/>
  <c r="G49"/>
  <c r="AK48"/>
  <c r="AJ48"/>
  <c r="AI48"/>
  <c r="AH48"/>
  <c r="AG48"/>
  <c r="AF48"/>
  <c r="AE48"/>
  <c r="AD48"/>
  <c r="AC48"/>
  <c r="AB48"/>
  <c r="AA48"/>
  <c r="Z48"/>
  <c r="X48"/>
  <c r="W48"/>
  <c r="U48"/>
  <c r="T48"/>
  <c r="S48"/>
  <c r="R48"/>
  <c r="Q48"/>
  <c r="P48"/>
  <c r="O48"/>
  <c r="N48"/>
  <c r="M48"/>
  <c r="L48"/>
  <c r="K48"/>
  <c r="J48"/>
  <c r="H48"/>
  <c r="G48"/>
  <c r="AK47"/>
  <c r="AJ47"/>
  <c r="AI47"/>
  <c r="AH47"/>
  <c r="AG47"/>
  <c r="AF47"/>
  <c r="AE47"/>
  <c r="AD47"/>
  <c r="AC47"/>
  <c r="AB47"/>
  <c r="AA47"/>
  <c r="Z47"/>
  <c r="X47"/>
  <c r="U47"/>
  <c r="T47"/>
  <c r="S47"/>
  <c r="R47"/>
  <c r="Q47"/>
  <c r="P47"/>
  <c r="O47"/>
  <c r="N47"/>
  <c r="M47"/>
  <c r="L47"/>
  <c r="K47"/>
  <c r="J47"/>
  <c r="H47"/>
  <c r="G47"/>
  <c r="AK46"/>
  <c r="AJ46"/>
  <c r="AI46"/>
  <c r="AH46"/>
  <c r="AG46"/>
  <c r="AF46"/>
  <c r="AE46"/>
  <c r="AD46"/>
  <c r="AC46"/>
  <c r="AB46"/>
  <c r="AA46"/>
  <c r="Z46"/>
  <c r="U46"/>
  <c r="T46"/>
  <c r="S46"/>
  <c r="R46"/>
  <c r="Q46"/>
  <c r="P46"/>
  <c r="O46"/>
  <c r="N46"/>
  <c r="M46"/>
  <c r="L46"/>
  <c r="K46"/>
  <c r="J46"/>
  <c r="H46"/>
  <c r="G46"/>
  <c r="AK45"/>
  <c r="AJ45"/>
  <c r="AI45"/>
  <c r="AH45"/>
  <c r="AG45"/>
  <c r="AF45"/>
  <c r="AE45"/>
  <c r="AD45"/>
  <c r="AC45"/>
  <c r="AB45"/>
  <c r="AA45"/>
  <c r="Z45"/>
  <c r="U45"/>
  <c r="T45"/>
  <c r="S45"/>
  <c r="R45"/>
  <c r="Q45"/>
  <c r="P45"/>
  <c r="O45"/>
  <c r="N45"/>
  <c r="M45"/>
  <c r="L45"/>
  <c r="K45"/>
  <c r="J45"/>
  <c r="H45"/>
  <c r="G45"/>
  <c r="AK44"/>
  <c r="AJ44"/>
  <c r="AI44"/>
  <c r="AH44"/>
  <c r="AG44"/>
  <c r="AF44"/>
  <c r="AE44"/>
  <c r="AD44"/>
  <c r="AC44"/>
  <c r="AB44"/>
  <c r="AA44"/>
  <c r="Z44"/>
  <c r="X44"/>
  <c r="U44"/>
  <c r="T44"/>
  <c r="S44"/>
  <c r="R44"/>
  <c r="Q44"/>
  <c r="P44"/>
  <c r="O44"/>
  <c r="N44"/>
  <c r="M44"/>
  <c r="L44"/>
  <c r="K44"/>
  <c r="J44"/>
  <c r="H44"/>
  <c r="G44"/>
  <c r="AN43"/>
  <c r="AK43"/>
  <c r="AJ43"/>
  <c r="AI43"/>
  <c r="AH43"/>
  <c r="AG43"/>
  <c r="AF43"/>
  <c r="AE43"/>
  <c r="AD43"/>
  <c r="AC43"/>
  <c r="AB43"/>
  <c r="AA43"/>
  <c r="Z43"/>
  <c r="X43"/>
  <c r="U43"/>
  <c r="T43"/>
  <c r="S43"/>
  <c r="R43"/>
  <c r="Q43"/>
  <c r="P43"/>
  <c r="O43"/>
  <c r="N43"/>
  <c r="M43"/>
  <c r="L43"/>
  <c r="K43"/>
  <c r="J43"/>
  <c r="H43"/>
  <c r="G43"/>
  <c r="AN42"/>
  <c r="AK42"/>
  <c r="AJ42"/>
  <c r="AI42"/>
  <c r="AH42"/>
  <c r="AG42"/>
  <c r="AF42"/>
  <c r="AE42"/>
  <c r="AD42"/>
  <c r="AC42"/>
  <c r="AB42"/>
  <c r="AA42"/>
  <c r="Z42"/>
  <c r="U42"/>
  <c r="T42"/>
  <c r="S42"/>
  <c r="R42"/>
  <c r="Q42"/>
  <c r="P42"/>
  <c r="O42"/>
  <c r="N42"/>
  <c r="M42"/>
  <c r="L42"/>
  <c r="K42"/>
  <c r="J42"/>
  <c r="H42"/>
  <c r="G42"/>
  <c r="AK41"/>
  <c r="AJ41"/>
  <c r="AI41"/>
  <c r="AH41"/>
  <c r="AG41"/>
  <c r="AF41"/>
  <c r="AE41"/>
  <c r="AD41"/>
  <c r="AC41"/>
  <c r="AB41"/>
  <c r="AA41"/>
  <c r="Z41"/>
  <c r="W41"/>
  <c r="U41"/>
  <c r="T41"/>
  <c r="S41"/>
  <c r="R41"/>
  <c r="Q41"/>
  <c r="P41"/>
  <c r="O41"/>
  <c r="N41"/>
  <c r="M41"/>
  <c r="L41"/>
  <c r="K41"/>
  <c r="J41"/>
  <c r="H41"/>
  <c r="G41"/>
  <c r="AK40"/>
  <c r="AJ40"/>
  <c r="AI40"/>
  <c r="AH40"/>
  <c r="AG40"/>
  <c r="AF40"/>
  <c r="AE40"/>
  <c r="AD40"/>
  <c r="AC40"/>
  <c r="AB40"/>
  <c r="AA40"/>
  <c r="Z40"/>
  <c r="X40"/>
  <c r="W40"/>
  <c r="U40"/>
  <c r="T40"/>
  <c r="S40"/>
  <c r="R40"/>
  <c r="Q40"/>
  <c r="P40"/>
  <c r="O40"/>
  <c r="N40"/>
  <c r="M40"/>
  <c r="L40"/>
  <c r="K40"/>
  <c r="J40"/>
  <c r="H40"/>
  <c r="G40"/>
  <c r="AK39"/>
  <c r="AJ39"/>
  <c r="AI39"/>
  <c r="AH39"/>
  <c r="AG39"/>
  <c r="AF39"/>
  <c r="AE39"/>
  <c r="AD39"/>
  <c r="AC39"/>
  <c r="AB39"/>
  <c r="AA39"/>
  <c r="Z39"/>
  <c r="X39"/>
  <c r="U39"/>
  <c r="T39"/>
  <c r="S39"/>
  <c r="R39"/>
  <c r="Q39"/>
  <c r="P39"/>
  <c r="O39"/>
  <c r="N39"/>
  <c r="M39"/>
  <c r="L39"/>
  <c r="K39"/>
  <c r="J39"/>
  <c r="H39"/>
  <c r="G39"/>
  <c r="AK38"/>
  <c r="AJ38"/>
  <c r="AI38"/>
  <c r="AH38"/>
  <c r="AG38"/>
  <c r="AF38"/>
  <c r="AE38"/>
  <c r="AD38"/>
  <c r="AC38"/>
  <c r="AB38"/>
  <c r="AA38"/>
  <c r="Z38"/>
  <c r="U38"/>
  <c r="T38"/>
  <c r="S38"/>
  <c r="R38"/>
  <c r="Q38"/>
  <c r="P38"/>
  <c r="O38"/>
  <c r="N38"/>
  <c r="M38"/>
  <c r="L38"/>
  <c r="K38"/>
  <c r="J38"/>
  <c r="H38"/>
  <c r="G38"/>
  <c r="AK37"/>
  <c r="AJ37"/>
  <c r="AI37"/>
  <c r="AH37"/>
  <c r="AG37"/>
  <c r="AF37"/>
  <c r="AE37"/>
  <c r="AD37"/>
  <c r="AC37"/>
  <c r="AB37"/>
  <c r="AA37"/>
  <c r="Z37"/>
  <c r="U37"/>
  <c r="T37"/>
  <c r="S37"/>
  <c r="R37"/>
  <c r="Q37"/>
  <c r="P37"/>
  <c r="O37"/>
  <c r="N37"/>
  <c r="M37"/>
  <c r="L37"/>
  <c r="K37"/>
  <c r="J37"/>
  <c r="H37"/>
  <c r="G37"/>
  <c r="AK36"/>
  <c r="AJ36"/>
  <c r="AI36"/>
  <c r="AH36"/>
  <c r="AG36"/>
  <c r="AF36"/>
  <c r="AE36"/>
  <c r="AD36"/>
  <c r="AC36"/>
  <c r="AB36"/>
  <c r="AA36"/>
  <c r="Z36"/>
  <c r="U36"/>
  <c r="T36"/>
  <c r="S36"/>
  <c r="R36"/>
  <c r="Q36"/>
  <c r="P36"/>
  <c r="O36"/>
  <c r="N36"/>
  <c r="M36"/>
  <c r="L36"/>
  <c r="K36"/>
  <c r="J36"/>
  <c r="H36"/>
  <c r="X36" s="1"/>
  <c r="G36"/>
  <c r="AN35"/>
  <c r="AK35"/>
  <c r="AJ35"/>
  <c r="AI35"/>
  <c r="AH35"/>
  <c r="AG35"/>
  <c r="AF35"/>
  <c r="AE35"/>
  <c r="AD35"/>
  <c r="AC35"/>
  <c r="AB35"/>
  <c r="AA35"/>
  <c r="Z35"/>
  <c r="X35"/>
  <c r="U35"/>
  <c r="T35"/>
  <c r="S35"/>
  <c r="R35"/>
  <c r="Q35"/>
  <c r="P35"/>
  <c r="O35"/>
  <c r="N35"/>
  <c r="M35"/>
  <c r="L35"/>
  <c r="K35"/>
  <c r="J35"/>
  <c r="H35"/>
  <c r="G35"/>
  <c r="AK34"/>
  <c r="AJ34"/>
  <c r="AI34"/>
  <c r="AH34"/>
  <c r="AG34"/>
  <c r="AF34"/>
  <c r="AE34"/>
  <c r="AD34"/>
  <c r="AC34"/>
  <c r="AB34"/>
  <c r="AA34"/>
  <c r="Z34"/>
  <c r="U34"/>
  <c r="T34"/>
  <c r="S34"/>
  <c r="R34"/>
  <c r="Q34"/>
  <c r="P34"/>
  <c r="O34"/>
  <c r="N34"/>
  <c r="M34"/>
  <c r="L34"/>
  <c r="K34"/>
  <c r="J34"/>
  <c r="AK33"/>
  <c r="AJ33"/>
  <c r="AI33"/>
  <c r="AH33"/>
  <c r="AG33"/>
  <c r="AF33"/>
  <c r="AE33"/>
  <c r="AD33"/>
  <c r="AC33"/>
  <c r="AB33"/>
  <c r="AA33"/>
  <c r="Z33"/>
  <c r="U33"/>
  <c r="T33"/>
  <c r="S33"/>
  <c r="R33"/>
  <c r="Q33"/>
  <c r="P33"/>
  <c r="O33"/>
  <c r="N33"/>
  <c r="M33"/>
  <c r="L33"/>
  <c r="K33"/>
  <c r="J33"/>
  <c r="AL32"/>
  <c r="AK32"/>
  <c r="AJ32"/>
  <c r="AI32"/>
  <c r="AH32"/>
  <c r="AG32"/>
  <c r="AF32"/>
  <c r="AE32"/>
  <c r="AD32"/>
  <c r="AC32"/>
  <c r="AB32"/>
  <c r="AA32"/>
  <c r="Z32"/>
  <c r="X32"/>
  <c r="U32"/>
  <c r="T32"/>
  <c r="S32"/>
  <c r="R32"/>
  <c r="Q32"/>
  <c r="P32"/>
  <c r="O32"/>
  <c r="N32"/>
  <c r="M32"/>
  <c r="L32"/>
  <c r="K32"/>
  <c r="J32"/>
  <c r="AK31"/>
  <c r="AJ31"/>
  <c r="AI31"/>
  <c r="AH31"/>
  <c r="AG31"/>
  <c r="AF31"/>
  <c r="AE31"/>
  <c r="AD31"/>
  <c r="AC31"/>
  <c r="AB31"/>
  <c r="AA31"/>
  <c r="Z31"/>
  <c r="U31"/>
  <c r="T31"/>
  <c r="S31"/>
  <c r="R31"/>
  <c r="Q31"/>
  <c r="P31"/>
  <c r="O31"/>
  <c r="N31"/>
  <c r="M31"/>
  <c r="L31"/>
  <c r="K31"/>
  <c r="J31"/>
  <c r="AK30"/>
  <c r="AJ30"/>
  <c r="AI30"/>
  <c r="AH30"/>
  <c r="AG30"/>
  <c r="AF30"/>
  <c r="AE30"/>
  <c r="AD30"/>
  <c r="AC30"/>
  <c r="AB30"/>
  <c r="AA30"/>
  <c r="Z30"/>
  <c r="X30"/>
  <c r="U30"/>
  <c r="T30"/>
  <c r="S30"/>
  <c r="R30"/>
  <c r="Q30"/>
  <c r="P30"/>
  <c r="O30"/>
  <c r="N30"/>
  <c r="M30"/>
  <c r="L30"/>
  <c r="K30"/>
  <c r="J30"/>
  <c r="AK29"/>
  <c r="AJ29"/>
  <c r="AI29"/>
  <c r="AH29"/>
  <c r="AG29"/>
  <c r="AF29"/>
  <c r="AE29"/>
  <c r="AD29"/>
  <c r="AC29"/>
  <c r="AB29"/>
  <c r="AA29"/>
  <c r="Z29"/>
  <c r="U29"/>
  <c r="T29"/>
  <c r="S29"/>
  <c r="R29"/>
  <c r="Q29"/>
  <c r="P29"/>
  <c r="O29"/>
  <c r="N29"/>
  <c r="M29"/>
  <c r="L29"/>
  <c r="K29"/>
  <c r="J29"/>
  <c r="AW28"/>
  <c r="AW31" s="1"/>
  <c r="AZ26" s="1"/>
  <c r="AK28"/>
  <c r="AJ28"/>
  <c r="AI28"/>
  <c r="AH28"/>
  <c r="AG28"/>
  <c r="AF28"/>
  <c r="AE28"/>
  <c r="AD28"/>
  <c r="AC28"/>
  <c r="AB28"/>
  <c r="AA28"/>
  <c r="Z28"/>
  <c r="X28"/>
  <c r="U28"/>
  <c r="T28"/>
  <c r="S28"/>
  <c r="R28"/>
  <c r="Q28"/>
  <c r="P28"/>
  <c r="O28"/>
  <c r="N28"/>
  <c r="M28"/>
  <c r="L28"/>
  <c r="K28"/>
  <c r="J28"/>
  <c r="AK27"/>
  <c r="AJ27"/>
  <c r="AI27"/>
  <c r="AH27"/>
  <c r="AG27"/>
  <c r="AF27"/>
  <c r="AE27"/>
  <c r="AD27"/>
  <c r="AC27"/>
  <c r="AB27"/>
  <c r="AA27"/>
  <c r="Z27"/>
  <c r="U27"/>
  <c r="T27"/>
  <c r="S27"/>
  <c r="R27"/>
  <c r="Q27"/>
  <c r="P27"/>
  <c r="O27"/>
  <c r="N27"/>
  <c r="M27"/>
  <c r="L27"/>
  <c r="K27"/>
  <c r="J27"/>
  <c r="AL26"/>
  <c r="AK26"/>
  <c r="AJ26"/>
  <c r="AI26"/>
  <c r="AH26"/>
  <c r="AG26"/>
  <c r="AF26"/>
  <c r="AE26"/>
  <c r="AD26"/>
  <c r="AC26"/>
  <c r="AB26"/>
  <c r="AA26"/>
  <c r="Z26"/>
  <c r="X26"/>
  <c r="U26"/>
  <c r="T26"/>
  <c r="S26"/>
  <c r="R26"/>
  <c r="Q26"/>
  <c r="P26"/>
  <c r="O26"/>
  <c r="N26"/>
  <c r="M26"/>
  <c r="L26"/>
  <c r="K26"/>
  <c r="J26"/>
  <c r="AZ25"/>
  <c r="AR25"/>
  <c r="AM25"/>
  <c r="AK25"/>
  <c r="AJ25"/>
  <c r="AI25"/>
  <c r="AH25"/>
  <c r="AG25"/>
  <c r="AF25"/>
  <c r="AE25"/>
  <c r="AD25"/>
  <c r="AC25"/>
  <c r="AB25"/>
  <c r="AA25"/>
  <c r="Z25"/>
  <c r="X25"/>
  <c r="U25"/>
  <c r="T25"/>
  <c r="S25"/>
  <c r="R25"/>
  <c r="Q25"/>
  <c r="P25"/>
  <c r="O25"/>
  <c r="N25"/>
  <c r="M25"/>
  <c r="L25"/>
  <c r="K25"/>
  <c r="J25"/>
  <c r="AM24"/>
  <c r="AL24"/>
  <c r="AK24"/>
  <c r="AJ24"/>
  <c r="AI24"/>
  <c r="AH24"/>
  <c r="AG24"/>
  <c r="AF24"/>
  <c r="AE24"/>
  <c r="AD24"/>
  <c r="AC24"/>
  <c r="AB24"/>
  <c r="AA24"/>
  <c r="Z24"/>
  <c r="U24"/>
  <c r="T24"/>
  <c r="S24"/>
  <c r="R24"/>
  <c r="Q24"/>
  <c r="P24"/>
  <c r="O24"/>
  <c r="N24"/>
  <c r="M24"/>
  <c r="L24"/>
  <c r="K24"/>
  <c r="J24"/>
  <c r="AK23"/>
  <c r="AJ23"/>
  <c r="AI23"/>
  <c r="AH23"/>
  <c r="AG23"/>
  <c r="AF23"/>
  <c r="AE23"/>
  <c r="AD23"/>
  <c r="AC23"/>
  <c r="AB23"/>
  <c r="AA23"/>
  <c r="Z23"/>
  <c r="X23"/>
  <c r="U23"/>
  <c r="T23"/>
  <c r="S23"/>
  <c r="R23"/>
  <c r="Q23"/>
  <c r="P23"/>
  <c r="O23"/>
  <c r="N23"/>
  <c r="M23"/>
  <c r="L23"/>
  <c r="K23"/>
  <c r="J23"/>
  <c r="AM22"/>
  <c r="AL22"/>
  <c r="AK22"/>
  <c r="AJ22"/>
  <c r="AI22"/>
  <c r="AH22"/>
  <c r="AG22"/>
  <c r="AF22"/>
  <c r="AE22"/>
  <c r="AD22"/>
  <c r="AC22"/>
  <c r="AB22"/>
  <c r="AA22"/>
  <c r="Z22"/>
  <c r="U22"/>
  <c r="T22"/>
  <c r="S22"/>
  <c r="R22"/>
  <c r="Q22"/>
  <c r="P22"/>
  <c r="O22"/>
  <c r="N22"/>
  <c r="M22"/>
  <c r="L22"/>
  <c r="K22"/>
  <c r="J22"/>
  <c r="AK21"/>
  <c r="AJ21"/>
  <c r="AI21"/>
  <c r="AH21"/>
  <c r="AG21"/>
  <c r="AF21"/>
  <c r="AE21"/>
  <c r="AD21"/>
  <c r="AC21"/>
  <c r="AB21"/>
  <c r="AA21"/>
  <c r="Z21"/>
  <c r="X21"/>
  <c r="U21"/>
  <c r="T21"/>
  <c r="S21"/>
  <c r="R21"/>
  <c r="Q21"/>
  <c r="P21"/>
  <c r="O21"/>
  <c r="N21"/>
  <c r="M21"/>
  <c r="L21"/>
  <c r="K21"/>
  <c r="J21"/>
  <c r="AM20"/>
  <c r="AL20"/>
  <c r="AK20"/>
  <c r="AJ20"/>
  <c r="AI20"/>
  <c r="AH20"/>
  <c r="AG20"/>
  <c r="AF20"/>
  <c r="AE20"/>
  <c r="AD20"/>
  <c r="AC20"/>
  <c r="AB20"/>
  <c r="AA20"/>
  <c r="Z20"/>
  <c r="U20"/>
  <c r="T20"/>
  <c r="S20"/>
  <c r="R20"/>
  <c r="Q20"/>
  <c r="P20"/>
  <c r="O20"/>
  <c r="N20"/>
  <c r="M20"/>
  <c r="L20"/>
  <c r="K20"/>
  <c r="J20"/>
  <c r="AK19"/>
  <c r="AJ19"/>
  <c r="AI19"/>
  <c r="AH19"/>
  <c r="AG19"/>
  <c r="AF19"/>
  <c r="AE19"/>
  <c r="AD19"/>
  <c r="AC19"/>
  <c r="AB19"/>
  <c r="AA19"/>
  <c r="Z19"/>
  <c r="X19"/>
  <c r="U19"/>
  <c r="T19"/>
  <c r="S19"/>
  <c r="R19"/>
  <c r="Q19"/>
  <c r="P19"/>
  <c r="O19"/>
  <c r="N19"/>
  <c r="M19"/>
  <c r="L19"/>
  <c r="K19"/>
  <c r="J19"/>
  <c r="AM18"/>
  <c r="AL18"/>
  <c r="AK18"/>
  <c r="AJ18"/>
  <c r="AI18"/>
  <c r="AH18"/>
  <c r="AG18"/>
  <c r="AF18"/>
  <c r="AE18"/>
  <c r="AD18"/>
  <c r="AC18"/>
  <c r="AB18"/>
  <c r="AA18"/>
  <c r="Z18"/>
  <c r="U18"/>
  <c r="T18"/>
  <c r="S18"/>
  <c r="R18"/>
  <c r="Q18"/>
  <c r="P18"/>
  <c r="O18"/>
  <c r="N18"/>
  <c r="M18"/>
  <c r="L18"/>
  <c r="K18"/>
  <c r="J18"/>
  <c r="AL17"/>
  <c r="AK17"/>
  <c r="AJ17"/>
  <c r="AI17"/>
  <c r="AH17"/>
  <c r="AG17"/>
  <c r="AF17"/>
  <c r="AE17"/>
  <c r="AD17"/>
  <c r="AC17"/>
  <c r="AB17"/>
  <c r="AA17"/>
  <c r="Z17"/>
  <c r="U17"/>
  <c r="T17"/>
  <c r="S17"/>
  <c r="R17"/>
  <c r="Q17"/>
  <c r="P17"/>
  <c r="O17"/>
  <c r="N17"/>
  <c r="M17"/>
  <c r="L17"/>
  <c r="K17"/>
  <c r="J17"/>
  <c r="AN17"/>
  <c r="AN16"/>
  <c r="AK16"/>
  <c r="AJ16"/>
  <c r="AI16"/>
  <c r="AH16"/>
  <c r="AG16"/>
  <c r="AE16"/>
  <c r="AD16"/>
  <c r="AC16"/>
  <c r="AB16"/>
  <c r="AA16"/>
  <c r="Z16"/>
  <c r="U16"/>
  <c r="T16"/>
  <c r="S16"/>
  <c r="R16"/>
  <c r="Q16"/>
  <c r="O16"/>
  <c r="N16"/>
  <c r="M16"/>
  <c r="L16"/>
  <c r="K16"/>
  <c r="J16"/>
  <c r="H16"/>
  <c r="P16" s="1"/>
  <c r="G16"/>
  <c r="AF16" s="1"/>
  <c r="AK15"/>
  <c r="AJ15"/>
  <c r="AI15"/>
  <c r="AH15"/>
  <c r="AG15"/>
  <c r="AF15"/>
  <c r="AD15"/>
  <c r="AC15"/>
  <c r="AB15"/>
  <c r="AA15"/>
  <c r="Z15"/>
  <c r="W15"/>
  <c r="V15"/>
  <c r="U15"/>
  <c r="T15"/>
  <c r="S15"/>
  <c r="R15"/>
  <c r="Q15"/>
  <c r="P15"/>
  <c r="O15"/>
  <c r="N15"/>
  <c r="M15"/>
  <c r="L15"/>
  <c r="K15"/>
  <c r="J15"/>
  <c r="H15"/>
  <c r="G15"/>
  <c r="AE15" s="1"/>
  <c r="AL14"/>
  <c r="AK14"/>
  <c r="AJ14"/>
  <c r="AI14"/>
  <c r="AH14"/>
  <c r="AG14"/>
  <c r="AF14"/>
  <c r="AE14"/>
  <c r="AD14"/>
  <c r="AC14"/>
  <c r="AB14"/>
  <c r="AA14"/>
  <c r="Z14"/>
  <c r="U14"/>
  <c r="T14"/>
  <c r="S14"/>
  <c r="R14"/>
  <c r="Q14"/>
  <c r="P14"/>
  <c r="O14"/>
  <c r="N14"/>
  <c r="M14"/>
  <c r="L14"/>
  <c r="K14"/>
  <c r="H14"/>
  <c r="X14" s="1"/>
  <c r="G14"/>
  <c r="AL13"/>
  <c r="AK13"/>
  <c r="AJ13"/>
  <c r="AI13"/>
  <c r="AH13"/>
  <c r="AG13"/>
  <c r="AE13"/>
  <c r="AD13"/>
  <c r="AC13"/>
  <c r="AB13"/>
  <c r="AA13"/>
  <c r="Z13"/>
  <c r="X13"/>
  <c r="U13"/>
  <c r="T13"/>
  <c r="S13"/>
  <c r="R13"/>
  <c r="Q13"/>
  <c r="P13"/>
  <c r="O13"/>
  <c r="N13"/>
  <c r="M13"/>
  <c r="L13"/>
  <c r="K13"/>
  <c r="J13"/>
  <c r="AF13"/>
  <c r="AK12"/>
  <c r="AJ12"/>
  <c r="AI12"/>
  <c r="AH12"/>
  <c r="AG12"/>
  <c r="AF12"/>
  <c r="AE12"/>
  <c r="AD12"/>
  <c r="AC12"/>
  <c r="AB12"/>
  <c r="AA12"/>
  <c r="Z12"/>
  <c r="U12"/>
  <c r="T12"/>
  <c r="S12"/>
  <c r="R12"/>
  <c r="Q12"/>
  <c r="P12"/>
  <c r="O12"/>
  <c r="N12"/>
  <c r="M12"/>
  <c r="L12"/>
  <c r="K12"/>
  <c r="J12"/>
  <c r="X12"/>
  <c r="AK11"/>
  <c r="AJ11"/>
  <c r="AI11"/>
  <c r="AH11"/>
  <c r="AG11"/>
  <c r="AF11"/>
  <c r="AE11"/>
  <c r="AD11"/>
  <c r="AC11"/>
  <c r="AB11"/>
  <c r="AA11"/>
  <c r="Z11"/>
  <c r="V11"/>
  <c r="U11"/>
  <c r="T11"/>
  <c r="S11"/>
  <c r="R11"/>
  <c r="Q11"/>
  <c r="P11"/>
  <c r="O11"/>
  <c r="N11"/>
  <c r="M11"/>
  <c r="L11"/>
  <c r="K11"/>
  <c r="J11"/>
  <c r="AK10"/>
  <c r="AJ10"/>
  <c r="AI10"/>
  <c r="AH10"/>
  <c r="AG10"/>
  <c r="AE10"/>
  <c r="AD10"/>
  <c r="AC10"/>
  <c r="AB10"/>
  <c r="AA10"/>
  <c r="Z10"/>
  <c r="U10"/>
  <c r="T10"/>
  <c r="S10"/>
  <c r="R10"/>
  <c r="Q10"/>
  <c r="O10"/>
  <c r="N10"/>
  <c r="M10"/>
  <c r="L10"/>
  <c r="K10"/>
  <c r="J10"/>
  <c r="P10"/>
  <c r="AF10"/>
  <c r="AN9"/>
  <c r="AK9"/>
  <c r="AJ9"/>
  <c r="AI9"/>
  <c r="AG9"/>
  <c r="AE9"/>
  <c r="AD9"/>
  <c r="AC9"/>
  <c r="AB9"/>
  <c r="AA9"/>
  <c r="Z9"/>
  <c r="X9"/>
  <c r="W9"/>
  <c r="U9"/>
  <c r="T9"/>
  <c r="S9"/>
  <c r="Q9"/>
  <c r="P9"/>
  <c r="O9"/>
  <c r="N9"/>
  <c r="M9"/>
  <c r="L9"/>
  <c r="K9"/>
  <c r="J9"/>
  <c r="R9"/>
  <c r="AH9"/>
  <c r="AM8"/>
  <c r="AK8"/>
  <c r="AJ8"/>
  <c r="AI8"/>
  <c r="AG8"/>
  <c r="AF8"/>
  <c r="AE8"/>
  <c r="AD8"/>
  <c r="AC8"/>
  <c r="AB8"/>
  <c r="AA8"/>
  <c r="Z8"/>
  <c r="W8"/>
  <c r="U8"/>
  <c r="T8"/>
  <c r="S8"/>
  <c r="R8"/>
  <c r="Q8"/>
  <c r="P8"/>
  <c r="O8"/>
  <c r="N8"/>
  <c r="M8"/>
  <c r="L8"/>
  <c r="K8"/>
  <c r="J8"/>
  <c r="AH8"/>
  <c r="AL7"/>
  <c r="AK7"/>
  <c r="AJ7"/>
  <c r="AI7"/>
  <c r="AH7"/>
  <c r="AG7"/>
  <c r="AF7"/>
  <c r="AE7"/>
  <c r="AD7"/>
  <c r="AC7"/>
  <c r="AB7"/>
  <c r="AA7"/>
  <c r="Z7"/>
  <c r="V7"/>
  <c r="U7"/>
  <c r="T7"/>
  <c r="S7"/>
  <c r="R7"/>
  <c r="Q7"/>
  <c r="P7"/>
  <c r="O7"/>
  <c r="N7"/>
  <c r="M7"/>
  <c r="K7"/>
  <c r="J7"/>
  <c r="L7"/>
  <c r="AL6"/>
  <c r="AK6"/>
  <c r="AJ6"/>
  <c r="AI6"/>
  <c r="AH6"/>
  <c r="AG6"/>
  <c r="AF6"/>
  <c r="AE6"/>
  <c r="AD6"/>
  <c r="AC6"/>
  <c r="AB6"/>
  <c r="AA6"/>
  <c r="Z6"/>
  <c r="X6"/>
  <c r="U6"/>
  <c r="T6"/>
  <c r="S6"/>
  <c r="R6"/>
  <c r="Q6"/>
  <c r="P6"/>
  <c r="O6"/>
  <c r="N6"/>
  <c r="M6"/>
  <c r="L6"/>
  <c r="K6"/>
  <c r="J6"/>
  <c r="AM5"/>
  <c r="AL5"/>
  <c r="AK5"/>
  <c r="AJ5"/>
  <c r="AI5"/>
  <c r="AH5"/>
  <c r="AG5"/>
  <c r="AF5"/>
  <c r="AE5"/>
  <c r="AD5"/>
  <c r="AC5"/>
  <c r="AB5"/>
  <c r="AA5"/>
  <c r="Z5"/>
  <c r="U5"/>
  <c r="T5"/>
  <c r="S5"/>
  <c r="R5"/>
  <c r="Q5"/>
  <c r="P5"/>
  <c r="N5"/>
  <c r="M5"/>
  <c r="L5"/>
  <c r="K5"/>
  <c r="J5"/>
  <c r="O5"/>
  <c r="AL4"/>
  <c r="AK4"/>
  <c r="AJ4"/>
  <c r="AH4"/>
  <c r="AG4"/>
  <c r="AF4"/>
  <c r="AE4"/>
  <c r="AD4"/>
  <c r="AC4"/>
  <c r="AB4"/>
  <c r="AA4"/>
  <c r="Z4"/>
  <c r="X4"/>
  <c r="U4"/>
  <c r="T4"/>
  <c r="R4"/>
  <c r="Q4"/>
  <c r="P4"/>
  <c r="O4"/>
  <c r="N4"/>
  <c r="M4"/>
  <c r="L4"/>
  <c r="K4"/>
  <c r="J4"/>
  <c r="S4"/>
  <c r="AI4"/>
  <c r="AN3"/>
  <c r="AK3"/>
  <c r="AJ3"/>
  <c r="AH3"/>
  <c r="AG3"/>
  <c r="AF3"/>
  <c r="AE3"/>
  <c r="AD3"/>
  <c r="AC3"/>
  <c r="AB3"/>
  <c r="AA3"/>
  <c r="Z3"/>
  <c r="X3"/>
  <c r="U3"/>
  <c r="T3"/>
  <c r="S3"/>
  <c r="R3"/>
  <c r="Q3"/>
  <c r="P3"/>
  <c r="O3"/>
  <c r="N3"/>
  <c r="M3"/>
  <c r="L3"/>
  <c r="K3"/>
  <c r="J3"/>
  <c r="AN2"/>
  <c r="AN33" s="1"/>
  <c r="AM2"/>
  <c r="AM16" s="1"/>
  <c r="AL2"/>
  <c r="AL23" s="1"/>
  <c r="X2"/>
  <c r="W2"/>
  <c r="W45" s="1"/>
  <c r="V2"/>
  <c r="V23" s="1"/>
  <c r="AK62" i="12"/>
  <c r="AJ62"/>
  <c r="AI62"/>
  <c r="AH62"/>
  <c r="AG62"/>
  <c r="AF62"/>
  <c r="AE62"/>
  <c r="AD62"/>
  <c r="AC62"/>
  <c r="AB62"/>
  <c r="AA62"/>
  <c r="Z62"/>
  <c r="U62"/>
  <c r="T62"/>
  <c r="S62"/>
  <c r="R62"/>
  <c r="Q62"/>
  <c r="P62"/>
  <c r="O62"/>
  <c r="N62"/>
  <c r="M62"/>
  <c r="L62"/>
  <c r="K62"/>
  <c r="J62"/>
  <c r="H62"/>
  <c r="G62"/>
  <c r="AK61"/>
  <c r="AJ61"/>
  <c r="AI61"/>
  <c r="AH61"/>
  <c r="AG61"/>
  <c r="AF61"/>
  <c r="AE61"/>
  <c r="AD61"/>
  <c r="AC61"/>
  <c r="AB61"/>
  <c r="AA61"/>
  <c r="Z61"/>
  <c r="U61"/>
  <c r="T61"/>
  <c r="S61"/>
  <c r="R61"/>
  <c r="Q61"/>
  <c r="P61"/>
  <c r="O61"/>
  <c r="N61"/>
  <c r="M61"/>
  <c r="L61"/>
  <c r="K61"/>
  <c r="J61"/>
  <c r="H61"/>
  <c r="G61"/>
  <c r="AK60"/>
  <c r="AJ60"/>
  <c r="AI60"/>
  <c r="AH60"/>
  <c r="AG60"/>
  <c r="AF60"/>
  <c r="AE60"/>
  <c r="AD60"/>
  <c r="AC60"/>
  <c r="AB60"/>
  <c r="AA60"/>
  <c r="Z60"/>
  <c r="U60"/>
  <c r="T60"/>
  <c r="S60"/>
  <c r="R60"/>
  <c r="Q60"/>
  <c r="P60"/>
  <c r="O60"/>
  <c r="N60"/>
  <c r="M60"/>
  <c r="L60"/>
  <c r="K60"/>
  <c r="J60"/>
  <c r="H60"/>
  <c r="G60"/>
  <c r="AK59"/>
  <c r="AJ59"/>
  <c r="AI59"/>
  <c r="AH59"/>
  <c r="AG59"/>
  <c r="AF59"/>
  <c r="AE59"/>
  <c r="AD59"/>
  <c r="AC59"/>
  <c r="AB59"/>
  <c r="AA59"/>
  <c r="Z59"/>
  <c r="U59"/>
  <c r="T59"/>
  <c r="S59"/>
  <c r="R59"/>
  <c r="Q59"/>
  <c r="P59"/>
  <c r="O59"/>
  <c r="N59"/>
  <c r="M59"/>
  <c r="L59"/>
  <c r="K59"/>
  <c r="J59"/>
  <c r="H59"/>
  <c r="G59"/>
  <c r="AK58"/>
  <c r="AJ58"/>
  <c r="AI58"/>
  <c r="AH58"/>
  <c r="AG58"/>
  <c r="AF58"/>
  <c r="AE58"/>
  <c r="AD58"/>
  <c r="AC58"/>
  <c r="AB58"/>
  <c r="AA58"/>
  <c r="Z58"/>
  <c r="U58"/>
  <c r="T58"/>
  <c r="S58"/>
  <c r="R58"/>
  <c r="Q58"/>
  <c r="P58"/>
  <c r="O58"/>
  <c r="N58"/>
  <c r="M58"/>
  <c r="L58"/>
  <c r="K58"/>
  <c r="J58"/>
  <c r="H58"/>
  <c r="G58"/>
  <c r="AK57"/>
  <c r="AJ57"/>
  <c r="AI57"/>
  <c r="AH57"/>
  <c r="AG57"/>
  <c r="AF57"/>
  <c r="AE57"/>
  <c r="AD57"/>
  <c r="AC57"/>
  <c r="AB57"/>
  <c r="AA57"/>
  <c r="Z57"/>
  <c r="U57"/>
  <c r="T57"/>
  <c r="S57"/>
  <c r="R57"/>
  <c r="Q57"/>
  <c r="P57"/>
  <c r="O57"/>
  <c r="N57"/>
  <c r="M57"/>
  <c r="L57"/>
  <c r="K57"/>
  <c r="J57"/>
  <c r="H57"/>
  <c r="G57"/>
  <c r="AK56"/>
  <c r="AJ56"/>
  <c r="AI56"/>
  <c r="AH56"/>
  <c r="AG56"/>
  <c r="AF56"/>
  <c r="AE56"/>
  <c r="AD56"/>
  <c r="AC56"/>
  <c r="AB56"/>
  <c r="AA56"/>
  <c r="Z56"/>
  <c r="U56"/>
  <c r="T56"/>
  <c r="S56"/>
  <c r="R56"/>
  <c r="Q56"/>
  <c r="P56"/>
  <c r="O56"/>
  <c r="N56"/>
  <c r="M56"/>
  <c r="L56"/>
  <c r="K56"/>
  <c r="J56"/>
  <c r="H56"/>
  <c r="G56"/>
  <c r="AK55"/>
  <c r="AJ55"/>
  <c r="AI55"/>
  <c r="AH55"/>
  <c r="AG55"/>
  <c r="AF55"/>
  <c r="AE55"/>
  <c r="AD55"/>
  <c r="AC55"/>
  <c r="AB55"/>
  <c r="AA55"/>
  <c r="Z55"/>
  <c r="U55"/>
  <c r="T55"/>
  <c r="S55"/>
  <c r="R55"/>
  <c r="Q55"/>
  <c r="P55"/>
  <c r="O55"/>
  <c r="N55"/>
  <c r="M55"/>
  <c r="L55"/>
  <c r="K55"/>
  <c r="J55"/>
  <c r="H55"/>
  <c r="G55"/>
  <c r="AK54"/>
  <c r="AJ54"/>
  <c r="AI54"/>
  <c r="AH54"/>
  <c r="AG54"/>
  <c r="AF54"/>
  <c r="AE54"/>
  <c r="AD54"/>
  <c r="AC54"/>
  <c r="AB54"/>
  <c r="AA54"/>
  <c r="Z54"/>
  <c r="U54"/>
  <c r="T54"/>
  <c r="S54"/>
  <c r="R54"/>
  <c r="Q54"/>
  <c r="P54"/>
  <c r="O54"/>
  <c r="N54"/>
  <c r="M54"/>
  <c r="L54"/>
  <c r="K54"/>
  <c r="J54"/>
  <c r="H54"/>
  <c r="G54"/>
  <c r="AK53"/>
  <c r="AJ53"/>
  <c r="AI53"/>
  <c r="AH53"/>
  <c r="AG53"/>
  <c r="AF53"/>
  <c r="AE53"/>
  <c r="AD53"/>
  <c r="AC53"/>
  <c r="AB53"/>
  <c r="AA53"/>
  <c r="Z53"/>
  <c r="U53"/>
  <c r="T53"/>
  <c r="S53"/>
  <c r="R53"/>
  <c r="Q53"/>
  <c r="P53"/>
  <c r="O53"/>
  <c r="N53"/>
  <c r="M53"/>
  <c r="L53"/>
  <c r="K53"/>
  <c r="J53"/>
  <c r="H53"/>
  <c r="G53"/>
  <c r="AK52"/>
  <c r="AJ52"/>
  <c r="AI52"/>
  <c r="AH52"/>
  <c r="AG52"/>
  <c r="AF52"/>
  <c r="AE52"/>
  <c r="AD52"/>
  <c r="AC52"/>
  <c r="AB52"/>
  <c r="AA52"/>
  <c r="Z52"/>
  <c r="U52"/>
  <c r="T52"/>
  <c r="S52"/>
  <c r="R52"/>
  <c r="Q52"/>
  <c r="P52"/>
  <c r="O52"/>
  <c r="N52"/>
  <c r="M52"/>
  <c r="L52"/>
  <c r="K52"/>
  <c r="J52"/>
  <c r="H52"/>
  <c r="G52"/>
  <c r="AK51"/>
  <c r="AJ51"/>
  <c r="AI51"/>
  <c r="AH51"/>
  <c r="AG51"/>
  <c r="AF51"/>
  <c r="AE51"/>
  <c r="AD51"/>
  <c r="AC51"/>
  <c r="AB51"/>
  <c r="AA51"/>
  <c r="Z51"/>
  <c r="U51"/>
  <c r="T51"/>
  <c r="S51"/>
  <c r="R51"/>
  <c r="Q51"/>
  <c r="P51"/>
  <c r="O51"/>
  <c r="N51"/>
  <c r="M51"/>
  <c r="L51"/>
  <c r="K51"/>
  <c r="J51"/>
  <c r="H51"/>
  <c r="G51"/>
  <c r="AK50"/>
  <c r="AJ50"/>
  <c r="AI50"/>
  <c r="AH50"/>
  <c r="AG50"/>
  <c r="AF50"/>
  <c r="AE50"/>
  <c r="AD50"/>
  <c r="AC50"/>
  <c r="AB50"/>
  <c r="AA50"/>
  <c r="Z50"/>
  <c r="U50"/>
  <c r="T50"/>
  <c r="S50"/>
  <c r="R50"/>
  <c r="Q50"/>
  <c r="P50"/>
  <c r="O50"/>
  <c r="N50"/>
  <c r="M50"/>
  <c r="L50"/>
  <c r="K50"/>
  <c r="J50"/>
  <c r="H50"/>
  <c r="G50"/>
  <c r="AK49"/>
  <c r="AJ49"/>
  <c r="AI49"/>
  <c r="AH49"/>
  <c r="AG49"/>
  <c r="AF49"/>
  <c r="AE49"/>
  <c r="AD49"/>
  <c r="AC49"/>
  <c r="AB49"/>
  <c r="AA49"/>
  <c r="Z49"/>
  <c r="U49"/>
  <c r="T49"/>
  <c r="S49"/>
  <c r="R49"/>
  <c r="Q49"/>
  <c r="P49"/>
  <c r="O49"/>
  <c r="N49"/>
  <c r="M49"/>
  <c r="L49"/>
  <c r="K49"/>
  <c r="J49"/>
  <c r="H49"/>
  <c r="G49"/>
  <c r="AK48"/>
  <c r="AJ48"/>
  <c r="AI48"/>
  <c r="AH48"/>
  <c r="AG48"/>
  <c r="AF48"/>
  <c r="AE48"/>
  <c r="AD48"/>
  <c r="AC48"/>
  <c r="AB48"/>
  <c r="AA48"/>
  <c r="Z48"/>
  <c r="U48"/>
  <c r="T48"/>
  <c r="S48"/>
  <c r="R48"/>
  <c r="Q48"/>
  <c r="P48"/>
  <c r="O48"/>
  <c r="N48"/>
  <c r="M48"/>
  <c r="L48"/>
  <c r="K48"/>
  <c r="J48"/>
  <c r="H48"/>
  <c r="G48"/>
  <c r="AK47"/>
  <c r="AJ47"/>
  <c r="AI47"/>
  <c r="AH47"/>
  <c r="AG47"/>
  <c r="AF47"/>
  <c r="AE47"/>
  <c r="AD47"/>
  <c r="AC47"/>
  <c r="AB47"/>
  <c r="AA47"/>
  <c r="Z47"/>
  <c r="U47"/>
  <c r="T47"/>
  <c r="S47"/>
  <c r="R47"/>
  <c r="Q47"/>
  <c r="P47"/>
  <c r="O47"/>
  <c r="N47"/>
  <c r="M47"/>
  <c r="L47"/>
  <c r="K47"/>
  <c r="J47"/>
  <c r="H47"/>
  <c r="G47"/>
  <c r="AK46"/>
  <c r="AJ46"/>
  <c r="AI46"/>
  <c r="AH46"/>
  <c r="AG46"/>
  <c r="AF46"/>
  <c r="AE46"/>
  <c r="AD46"/>
  <c r="AC46"/>
  <c r="AB46"/>
  <c r="AA46"/>
  <c r="Z46"/>
  <c r="U46"/>
  <c r="T46"/>
  <c r="S46"/>
  <c r="R46"/>
  <c r="Q46"/>
  <c r="P46"/>
  <c r="O46"/>
  <c r="N46"/>
  <c r="M46"/>
  <c r="L46"/>
  <c r="K46"/>
  <c r="J46"/>
  <c r="H46"/>
  <c r="G46"/>
  <c r="AK45"/>
  <c r="AJ45"/>
  <c r="AI45"/>
  <c r="AH45"/>
  <c r="AG45"/>
  <c r="AF45"/>
  <c r="AE45"/>
  <c r="AD45"/>
  <c r="AC45"/>
  <c r="AB45"/>
  <c r="AA45"/>
  <c r="Z45"/>
  <c r="U45"/>
  <c r="T45"/>
  <c r="S45"/>
  <c r="R45"/>
  <c r="Q45"/>
  <c r="P45"/>
  <c r="O45"/>
  <c r="N45"/>
  <c r="M45"/>
  <c r="L45"/>
  <c r="K45"/>
  <c r="J45"/>
  <c r="H45"/>
  <c r="G45"/>
  <c r="AK44"/>
  <c r="AJ44"/>
  <c r="AI44"/>
  <c r="AH44"/>
  <c r="AG44"/>
  <c r="AF44"/>
  <c r="AE44"/>
  <c r="AD44"/>
  <c r="AC44"/>
  <c r="AB44"/>
  <c r="AA44"/>
  <c r="Z44"/>
  <c r="U44"/>
  <c r="T44"/>
  <c r="S44"/>
  <c r="R44"/>
  <c r="Q44"/>
  <c r="P44"/>
  <c r="O44"/>
  <c r="N44"/>
  <c r="M44"/>
  <c r="L44"/>
  <c r="K44"/>
  <c r="J44"/>
  <c r="H44"/>
  <c r="G44"/>
  <c r="AK43"/>
  <c r="AJ43"/>
  <c r="AI43"/>
  <c r="AH43"/>
  <c r="AG43"/>
  <c r="AF43"/>
  <c r="AE43"/>
  <c r="AD43"/>
  <c r="AC43"/>
  <c r="AB43"/>
  <c r="AA43"/>
  <c r="Z43"/>
  <c r="U43"/>
  <c r="T43"/>
  <c r="S43"/>
  <c r="R43"/>
  <c r="Q43"/>
  <c r="P43"/>
  <c r="O43"/>
  <c r="N43"/>
  <c r="M43"/>
  <c r="L43"/>
  <c r="K43"/>
  <c r="J43"/>
  <c r="H43"/>
  <c r="G43"/>
  <c r="AK42"/>
  <c r="AJ42"/>
  <c r="AI42"/>
  <c r="AH42"/>
  <c r="AG42"/>
  <c r="AF42"/>
  <c r="AE42"/>
  <c r="AD42"/>
  <c r="AC42"/>
  <c r="AB42"/>
  <c r="AA42"/>
  <c r="Z42"/>
  <c r="U42"/>
  <c r="T42"/>
  <c r="S42"/>
  <c r="R42"/>
  <c r="Q42"/>
  <c r="P42"/>
  <c r="O42"/>
  <c r="N42"/>
  <c r="M42"/>
  <c r="L42"/>
  <c r="K42"/>
  <c r="J42"/>
  <c r="H42"/>
  <c r="G42"/>
  <c r="AK41"/>
  <c r="AJ41"/>
  <c r="AI41"/>
  <c r="AH41"/>
  <c r="AG41"/>
  <c r="AF41"/>
  <c r="AE41"/>
  <c r="AD41"/>
  <c r="AC41"/>
  <c r="AB41"/>
  <c r="AA41"/>
  <c r="Z41"/>
  <c r="U41"/>
  <c r="T41"/>
  <c r="S41"/>
  <c r="R41"/>
  <c r="Q41"/>
  <c r="P41"/>
  <c r="O41"/>
  <c r="N41"/>
  <c r="M41"/>
  <c r="L41"/>
  <c r="K41"/>
  <c r="J41"/>
  <c r="H41"/>
  <c r="G41"/>
  <c r="AK40"/>
  <c r="AJ40"/>
  <c r="AI40"/>
  <c r="AH40"/>
  <c r="AG40"/>
  <c r="AF40"/>
  <c r="AE40"/>
  <c r="AD40"/>
  <c r="AC40"/>
  <c r="AB40"/>
  <c r="AA40"/>
  <c r="Z40"/>
  <c r="U40"/>
  <c r="T40"/>
  <c r="S40"/>
  <c r="R40"/>
  <c r="Q40"/>
  <c r="P40"/>
  <c r="O40"/>
  <c r="N40"/>
  <c r="M40"/>
  <c r="L40"/>
  <c r="K40"/>
  <c r="J40"/>
  <c r="H40"/>
  <c r="G40"/>
  <c r="AK39"/>
  <c r="AJ39"/>
  <c r="AI39"/>
  <c r="AH39"/>
  <c r="AG39"/>
  <c r="AF39"/>
  <c r="AE39"/>
  <c r="AD39"/>
  <c r="AC39"/>
  <c r="AB39"/>
  <c r="AA39"/>
  <c r="Z39"/>
  <c r="U39"/>
  <c r="T39"/>
  <c r="S39"/>
  <c r="R39"/>
  <c r="Q39"/>
  <c r="P39"/>
  <c r="O39"/>
  <c r="N39"/>
  <c r="M39"/>
  <c r="L39"/>
  <c r="K39"/>
  <c r="J39"/>
  <c r="H39"/>
  <c r="G39"/>
  <c r="AK38"/>
  <c r="AJ38"/>
  <c r="AI38"/>
  <c r="AH38"/>
  <c r="AG38"/>
  <c r="AF38"/>
  <c r="AE38"/>
  <c r="AD38"/>
  <c r="AC38"/>
  <c r="AB38"/>
  <c r="AA38"/>
  <c r="Z38"/>
  <c r="X38"/>
  <c r="U38"/>
  <c r="T38"/>
  <c r="S38"/>
  <c r="R38"/>
  <c r="Q38"/>
  <c r="P38"/>
  <c r="O38"/>
  <c r="N38"/>
  <c r="M38"/>
  <c r="L38"/>
  <c r="K38"/>
  <c r="J38"/>
  <c r="H38"/>
  <c r="G38"/>
  <c r="AK37"/>
  <c r="AJ37"/>
  <c r="AI37"/>
  <c r="AH37"/>
  <c r="AG37"/>
  <c r="AF37"/>
  <c r="AE37"/>
  <c r="AD37"/>
  <c r="AC37"/>
  <c r="AB37"/>
  <c r="AA37"/>
  <c r="Z37"/>
  <c r="U37"/>
  <c r="T37"/>
  <c r="S37"/>
  <c r="R37"/>
  <c r="Q37"/>
  <c r="P37"/>
  <c r="O37"/>
  <c r="N37"/>
  <c r="M37"/>
  <c r="L37"/>
  <c r="K37"/>
  <c r="J37"/>
  <c r="H37"/>
  <c r="G37"/>
  <c r="AK36"/>
  <c r="AJ36"/>
  <c r="AI36"/>
  <c r="AH36"/>
  <c r="AG36"/>
  <c r="AF36"/>
  <c r="AE36"/>
  <c r="AD36"/>
  <c r="AC36"/>
  <c r="AB36"/>
  <c r="AA36"/>
  <c r="Z36"/>
  <c r="U36"/>
  <c r="T36"/>
  <c r="S36"/>
  <c r="R36"/>
  <c r="Q36"/>
  <c r="P36"/>
  <c r="O36"/>
  <c r="N36"/>
  <c r="M36"/>
  <c r="L36"/>
  <c r="K36"/>
  <c r="J36"/>
  <c r="H36"/>
  <c r="G36"/>
  <c r="AK35"/>
  <c r="AJ35"/>
  <c r="AI35"/>
  <c r="AH35"/>
  <c r="AG35"/>
  <c r="AF35"/>
  <c r="AE35"/>
  <c r="AD35"/>
  <c r="AC35"/>
  <c r="AB35"/>
  <c r="AA35"/>
  <c r="Z35"/>
  <c r="U35"/>
  <c r="T35"/>
  <c r="S35"/>
  <c r="R35"/>
  <c r="Q35"/>
  <c r="P35"/>
  <c r="O35"/>
  <c r="N35"/>
  <c r="M35"/>
  <c r="L35"/>
  <c r="K35"/>
  <c r="J35"/>
  <c r="H35"/>
  <c r="G35"/>
  <c r="AK34"/>
  <c r="AJ34"/>
  <c r="AI34"/>
  <c r="AH34"/>
  <c r="AG34"/>
  <c r="AF34"/>
  <c r="AE34"/>
  <c r="AD34"/>
  <c r="AC34"/>
  <c r="AB34"/>
  <c r="AA34"/>
  <c r="Z34"/>
  <c r="U34"/>
  <c r="T34"/>
  <c r="S34"/>
  <c r="R34"/>
  <c r="Q34"/>
  <c r="P34"/>
  <c r="O34"/>
  <c r="N34"/>
  <c r="M34"/>
  <c r="L34"/>
  <c r="K34"/>
  <c r="J34"/>
  <c r="AK33"/>
  <c r="AJ33"/>
  <c r="AI33"/>
  <c r="AH33"/>
  <c r="AG33"/>
  <c r="AF33"/>
  <c r="AE33"/>
  <c r="AD33"/>
  <c r="AC33"/>
  <c r="AB33"/>
  <c r="AA33"/>
  <c r="Z33"/>
  <c r="U33"/>
  <c r="T33"/>
  <c r="S33"/>
  <c r="R33"/>
  <c r="Q33"/>
  <c r="P33"/>
  <c r="O33"/>
  <c r="N33"/>
  <c r="M33"/>
  <c r="L33"/>
  <c r="K33"/>
  <c r="J33"/>
  <c r="AK32"/>
  <c r="AJ32"/>
  <c r="AI32"/>
  <c r="AH32"/>
  <c r="AG32"/>
  <c r="AF32"/>
  <c r="AE32"/>
  <c r="AD32"/>
  <c r="AC32"/>
  <c r="AB32"/>
  <c r="AA32"/>
  <c r="Z32"/>
  <c r="U32"/>
  <c r="T32"/>
  <c r="S32"/>
  <c r="R32"/>
  <c r="Q32"/>
  <c r="P32"/>
  <c r="O32"/>
  <c r="N32"/>
  <c r="M32"/>
  <c r="L32"/>
  <c r="K32"/>
  <c r="J32"/>
  <c r="AM31"/>
  <c r="AK31"/>
  <c r="AJ31"/>
  <c r="AI31"/>
  <c r="AH31"/>
  <c r="AG31"/>
  <c r="AF31"/>
  <c r="AE31"/>
  <c r="AD31"/>
  <c r="AC31"/>
  <c r="AB31"/>
  <c r="AA31"/>
  <c r="Z31"/>
  <c r="U31"/>
  <c r="T31"/>
  <c r="S31"/>
  <c r="R31"/>
  <c r="Q31"/>
  <c r="P31"/>
  <c r="O31"/>
  <c r="N31"/>
  <c r="M31"/>
  <c r="L31"/>
  <c r="K31"/>
  <c r="J31"/>
  <c r="AK30"/>
  <c r="AJ30"/>
  <c r="AI30"/>
  <c r="AH30"/>
  <c r="AG30"/>
  <c r="AF30"/>
  <c r="AE30"/>
  <c r="AD30"/>
  <c r="AC30"/>
  <c r="AB30"/>
  <c r="AA30"/>
  <c r="Z30"/>
  <c r="U30"/>
  <c r="T30"/>
  <c r="S30"/>
  <c r="R30"/>
  <c r="Q30"/>
  <c r="P30"/>
  <c r="O30"/>
  <c r="N30"/>
  <c r="M30"/>
  <c r="L30"/>
  <c r="K30"/>
  <c r="J30"/>
  <c r="AL29"/>
  <c r="AK29"/>
  <c r="AJ29"/>
  <c r="AI29"/>
  <c r="AH29"/>
  <c r="AG29"/>
  <c r="AF29"/>
  <c r="AE29"/>
  <c r="AD29"/>
  <c r="AC29"/>
  <c r="AB29"/>
  <c r="AA29"/>
  <c r="Z29"/>
  <c r="U29"/>
  <c r="T29"/>
  <c r="S29"/>
  <c r="R29"/>
  <c r="Q29"/>
  <c r="P29"/>
  <c r="O29"/>
  <c r="N29"/>
  <c r="M29"/>
  <c r="L29"/>
  <c r="K29"/>
  <c r="J29"/>
  <c r="AW28"/>
  <c r="AW31" s="1"/>
  <c r="AZ26" s="1"/>
  <c r="AK28"/>
  <c r="AJ28"/>
  <c r="AI28"/>
  <c r="AH28"/>
  <c r="AG28"/>
  <c r="AF28"/>
  <c r="AE28"/>
  <c r="AD28"/>
  <c r="AC28"/>
  <c r="AB28"/>
  <c r="AA28"/>
  <c r="Z28"/>
  <c r="U28"/>
  <c r="T28"/>
  <c r="S28"/>
  <c r="R28"/>
  <c r="Q28"/>
  <c r="P28"/>
  <c r="O28"/>
  <c r="N28"/>
  <c r="M28"/>
  <c r="L28"/>
  <c r="K28"/>
  <c r="J28"/>
  <c r="AK27"/>
  <c r="AJ27"/>
  <c r="AI27"/>
  <c r="AH27"/>
  <c r="AG27"/>
  <c r="AF27"/>
  <c r="AE27"/>
  <c r="AD27"/>
  <c r="AC27"/>
  <c r="AB27"/>
  <c r="AA27"/>
  <c r="Z27"/>
  <c r="X27"/>
  <c r="U27"/>
  <c r="T27"/>
  <c r="S27"/>
  <c r="R27"/>
  <c r="Q27"/>
  <c r="P27"/>
  <c r="O27"/>
  <c r="N27"/>
  <c r="M27"/>
  <c r="L27"/>
  <c r="K27"/>
  <c r="J27"/>
  <c r="AK26"/>
  <c r="AJ26"/>
  <c r="AI26"/>
  <c r="AH26"/>
  <c r="AG26"/>
  <c r="AF26"/>
  <c r="AE26"/>
  <c r="AD26"/>
  <c r="AC26"/>
  <c r="AB26"/>
  <c r="AA26"/>
  <c r="Z26"/>
  <c r="V26"/>
  <c r="U26"/>
  <c r="T26"/>
  <c r="S26"/>
  <c r="R26"/>
  <c r="Q26"/>
  <c r="P26"/>
  <c r="O26"/>
  <c r="N26"/>
  <c r="M26"/>
  <c r="L26"/>
  <c r="K26"/>
  <c r="J26"/>
  <c r="AZ25"/>
  <c r="AR25"/>
  <c r="AK25"/>
  <c r="AJ25"/>
  <c r="AI25"/>
  <c r="AH25"/>
  <c r="AG25"/>
  <c r="AF25"/>
  <c r="AE25"/>
  <c r="AD25"/>
  <c r="AC25"/>
  <c r="AB25"/>
  <c r="AA25"/>
  <c r="Z25"/>
  <c r="U25"/>
  <c r="T25"/>
  <c r="S25"/>
  <c r="R25"/>
  <c r="Q25"/>
  <c r="P25"/>
  <c r="O25"/>
  <c r="N25"/>
  <c r="M25"/>
  <c r="L25"/>
  <c r="K25"/>
  <c r="J25"/>
  <c r="AL24"/>
  <c r="AK24"/>
  <c r="AJ24"/>
  <c r="AI24"/>
  <c r="AH24"/>
  <c r="AG24"/>
  <c r="AF24"/>
  <c r="AE24"/>
  <c r="AD24"/>
  <c r="AC24"/>
  <c r="AB24"/>
  <c r="AA24"/>
  <c r="Z24"/>
  <c r="X24"/>
  <c r="U24"/>
  <c r="T24"/>
  <c r="S24"/>
  <c r="R24"/>
  <c r="Q24"/>
  <c r="P24"/>
  <c r="O24"/>
  <c r="N24"/>
  <c r="M24"/>
  <c r="L24"/>
  <c r="K24"/>
  <c r="J24"/>
  <c r="AM23"/>
  <c r="AK23"/>
  <c r="AJ23"/>
  <c r="AI23"/>
  <c r="AH23"/>
  <c r="AG23"/>
  <c r="AF23"/>
  <c r="AE23"/>
  <c r="AD23"/>
  <c r="AC23"/>
  <c r="AB23"/>
  <c r="AA23"/>
  <c r="Z23"/>
  <c r="U23"/>
  <c r="T23"/>
  <c r="S23"/>
  <c r="R23"/>
  <c r="Q23"/>
  <c r="P23"/>
  <c r="O23"/>
  <c r="N23"/>
  <c r="M23"/>
  <c r="L23"/>
  <c r="K23"/>
  <c r="J23"/>
  <c r="AL22"/>
  <c r="AK22"/>
  <c r="AJ22"/>
  <c r="AI22"/>
  <c r="AH22"/>
  <c r="AG22"/>
  <c r="AF22"/>
  <c r="AE22"/>
  <c r="AD22"/>
  <c r="AC22"/>
  <c r="AB22"/>
  <c r="AA22"/>
  <c r="Z22"/>
  <c r="X22"/>
  <c r="U22"/>
  <c r="T22"/>
  <c r="S22"/>
  <c r="R22"/>
  <c r="Q22"/>
  <c r="P22"/>
  <c r="O22"/>
  <c r="N22"/>
  <c r="M22"/>
  <c r="L22"/>
  <c r="K22"/>
  <c r="J22"/>
  <c r="AM21"/>
  <c r="AL21"/>
  <c r="AK21"/>
  <c r="AJ21"/>
  <c r="AI21"/>
  <c r="AH21"/>
  <c r="AG21"/>
  <c r="AF21"/>
  <c r="AE21"/>
  <c r="AD21"/>
  <c r="AC21"/>
  <c r="AB21"/>
  <c r="AA21"/>
  <c r="Z21"/>
  <c r="U21"/>
  <c r="T21"/>
  <c r="S21"/>
  <c r="R21"/>
  <c r="Q21"/>
  <c r="P21"/>
  <c r="O21"/>
  <c r="N21"/>
  <c r="M21"/>
  <c r="L21"/>
  <c r="K21"/>
  <c r="J21"/>
  <c r="AL20"/>
  <c r="AK20"/>
  <c r="AJ20"/>
  <c r="AI20"/>
  <c r="AH20"/>
  <c r="AG20"/>
  <c r="AF20"/>
  <c r="AE20"/>
  <c r="AD20"/>
  <c r="AC20"/>
  <c r="AB20"/>
  <c r="AA20"/>
  <c r="Z20"/>
  <c r="X20"/>
  <c r="U20"/>
  <c r="T20"/>
  <c r="S20"/>
  <c r="R20"/>
  <c r="Q20"/>
  <c r="P20"/>
  <c r="O20"/>
  <c r="N20"/>
  <c r="M20"/>
  <c r="L20"/>
  <c r="K20"/>
  <c r="J20"/>
  <c r="AM19"/>
  <c r="AL19"/>
  <c r="AK19"/>
  <c r="AJ19"/>
  <c r="AI19"/>
  <c r="AH19"/>
  <c r="AG19"/>
  <c r="AF19"/>
  <c r="AE19"/>
  <c r="AD19"/>
  <c r="AC19"/>
  <c r="AB19"/>
  <c r="AA19"/>
  <c r="Z19"/>
  <c r="U19"/>
  <c r="T19"/>
  <c r="S19"/>
  <c r="R19"/>
  <c r="Q19"/>
  <c r="P19"/>
  <c r="O19"/>
  <c r="N19"/>
  <c r="M19"/>
  <c r="L19"/>
  <c r="K19"/>
  <c r="J19"/>
  <c r="AL18"/>
  <c r="AK18"/>
  <c r="AJ18"/>
  <c r="AI18"/>
  <c r="AH18"/>
  <c r="AG18"/>
  <c r="AF18"/>
  <c r="AC18"/>
  <c r="AB18"/>
  <c r="AA18"/>
  <c r="Z18"/>
  <c r="U18"/>
  <c r="T18"/>
  <c r="S18"/>
  <c r="R18"/>
  <c r="Q18"/>
  <c r="P18"/>
  <c r="N18"/>
  <c r="M18"/>
  <c r="L18"/>
  <c r="K18"/>
  <c r="J18"/>
  <c r="X18"/>
  <c r="AD18"/>
  <c r="AL17"/>
  <c r="AK17"/>
  <c r="AJ17"/>
  <c r="AI17"/>
  <c r="AH17"/>
  <c r="AG17"/>
  <c r="AF17"/>
  <c r="AD17"/>
  <c r="AC17"/>
  <c r="AB17"/>
  <c r="AA17"/>
  <c r="Z17"/>
  <c r="U17"/>
  <c r="T17"/>
  <c r="S17"/>
  <c r="R17"/>
  <c r="Q17"/>
  <c r="P17"/>
  <c r="O17"/>
  <c r="N17"/>
  <c r="M17"/>
  <c r="L17"/>
  <c r="K17"/>
  <c r="H17"/>
  <c r="J17" s="1"/>
  <c r="G17"/>
  <c r="AE17" s="1"/>
  <c r="AK16"/>
  <c r="AJ16"/>
  <c r="AI16"/>
  <c r="AH16"/>
  <c r="AG16"/>
  <c r="AF16"/>
  <c r="AD16"/>
  <c r="AC16"/>
  <c r="AB16"/>
  <c r="AA16"/>
  <c r="V16"/>
  <c r="U16"/>
  <c r="T16"/>
  <c r="S16"/>
  <c r="R16"/>
  <c r="Q16"/>
  <c r="P16"/>
  <c r="N16"/>
  <c r="M16"/>
  <c r="L16"/>
  <c r="K16"/>
  <c r="G16"/>
  <c r="Z16" s="1"/>
  <c r="AK15"/>
  <c r="AJ15"/>
  <c r="AI15"/>
  <c r="AH15"/>
  <c r="AG15"/>
  <c r="AF15"/>
  <c r="AD15"/>
  <c r="AC15"/>
  <c r="AB15"/>
  <c r="Z15"/>
  <c r="U15"/>
  <c r="T15"/>
  <c r="S15"/>
  <c r="R15"/>
  <c r="Q15"/>
  <c r="P15"/>
  <c r="N15"/>
  <c r="M15"/>
  <c r="L15"/>
  <c r="K15"/>
  <c r="J15"/>
  <c r="H15"/>
  <c r="O15" s="1"/>
  <c r="G15"/>
  <c r="AA15" s="1"/>
  <c r="AL14"/>
  <c r="AK14"/>
  <c r="AJ14"/>
  <c r="AI14"/>
  <c r="AH14"/>
  <c r="AG14"/>
  <c r="AF14"/>
  <c r="AE14"/>
  <c r="AD14"/>
  <c r="AC14"/>
  <c r="AB14"/>
  <c r="Z14"/>
  <c r="U14"/>
  <c r="T14"/>
  <c r="S14"/>
  <c r="R14"/>
  <c r="Q14"/>
  <c r="O14"/>
  <c r="N14"/>
  <c r="M14"/>
  <c r="L14"/>
  <c r="K14"/>
  <c r="J14"/>
  <c r="H14"/>
  <c r="P14" s="1"/>
  <c r="G14"/>
  <c r="AA14" s="1"/>
  <c r="AL13"/>
  <c r="AK13"/>
  <c r="AJ13"/>
  <c r="AI13"/>
  <c r="AH13"/>
  <c r="AG13"/>
  <c r="AE13"/>
  <c r="AD13"/>
  <c r="AC13"/>
  <c r="AB13"/>
  <c r="AA13"/>
  <c r="Z13"/>
  <c r="U13"/>
  <c r="T13"/>
  <c r="S13"/>
  <c r="R13"/>
  <c r="Q13"/>
  <c r="P13"/>
  <c r="O13"/>
  <c r="N13"/>
  <c r="M13"/>
  <c r="L13"/>
  <c r="K13"/>
  <c r="J13"/>
  <c r="H13"/>
  <c r="G13"/>
  <c r="AF13" s="1"/>
  <c r="AL12"/>
  <c r="AK12"/>
  <c r="AJ12"/>
  <c r="AI12"/>
  <c r="AH12"/>
  <c r="AG12"/>
  <c r="AF12"/>
  <c r="AE12"/>
  <c r="AD12"/>
  <c r="AC12"/>
  <c r="AB12"/>
  <c r="AA12"/>
  <c r="U12"/>
  <c r="T12"/>
  <c r="S12"/>
  <c r="R12"/>
  <c r="Q12"/>
  <c r="P12"/>
  <c r="O12"/>
  <c r="N12"/>
  <c r="M12"/>
  <c r="L12"/>
  <c r="K12"/>
  <c r="H12"/>
  <c r="J12" s="1"/>
  <c r="G12"/>
  <c r="Z12" s="1"/>
  <c r="AM11"/>
  <c r="AL11"/>
  <c r="AK11"/>
  <c r="AJ11"/>
  <c r="AI11"/>
  <c r="AH11"/>
  <c r="AG11"/>
  <c r="AF11"/>
  <c r="AE11"/>
  <c r="AD11"/>
  <c r="AC11"/>
  <c r="AB11"/>
  <c r="AA11"/>
  <c r="Z11"/>
  <c r="U11"/>
  <c r="T11"/>
  <c r="S11"/>
  <c r="R11"/>
  <c r="Q11"/>
  <c r="P11"/>
  <c r="O11"/>
  <c r="N11"/>
  <c r="M11"/>
  <c r="L11"/>
  <c r="K11"/>
  <c r="J11"/>
  <c r="H11"/>
  <c r="V11" s="1"/>
  <c r="G11"/>
  <c r="AL10"/>
  <c r="AK10"/>
  <c r="AJ10"/>
  <c r="AI10"/>
  <c r="AH10"/>
  <c r="AG10"/>
  <c r="AE10"/>
  <c r="AD10"/>
  <c r="AC10"/>
  <c r="AB10"/>
  <c r="AA10"/>
  <c r="Z10"/>
  <c r="U10"/>
  <c r="T10"/>
  <c r="S10"/>
  <c r="R10"/>
  <c r="Q10"/>
  <c r="O10"/>
  <c r="N10"/>
  <c r="M10"/>
  <c r="L10"/>
  <c r="K10"/>
  <c r="J10"/>
  <c r="H10"/>
  <c r="P10" s="1"/>
  <c r="G10"/>
  <c r="AF10" s="1"/>
  <c r="AL9"/>
  <c r="AK9"/>
  <c r="AJ9"/>
  <c r="AI9"/>
  <c r="AG9"/>
  <c r="AF9"/>
  <c r="AE9"/>
  <c r="AD9"/>
  <c r="AC9"/>
  <c r="AB9"/>
  <c r="AA9"/>
  <c r="Z9"/>
  <c r="X9"/>
  <c r="U9"/>
  <c r="T9"/>
  <c r="S9"/>
  <c r="Q9"/>
  <c r="P9"/>
  <c r="O9"/>
  <c r="N9"/>
  <c r="M9"/>
  <c r="L9"/>
  <c r="K9"/>
  <c r="J9"/>
  <c r="H9"/>
  <c r="R9" s="1"/>
  <c r="G9"/>
  <c r="AH9" s="1"/>
  <c r="AK8"/>
  <c r="AJ8"/>
  <c r="AI8"/>
  <c r="AG8"/>
  <c r="AF8"/>
  <c r="AE8"/>
  <c r="AD8"/>
  <c r="AC8"/>
  <c r="AB8"/>
  <c r="AA8"/>
  <c r="Z8"/>
  <c r="U8"/>
  <c r="T8"/>
  <c r="S8"/>
  <c r="R8"/>
  <c r="Q8"/>
  <c r="P8"/>
  <c r="O8"/>
  <c r="N8"/>
  <c r="M8"/>
  <c r="L8"/>
  <c r="K8"/>
  <c r="J8"/>
  <c r="H8"/>
  <c r="G8"/>
  <c r="AH8" s="1"/>
  <c r="AM7"/>
  <c r="AL7"/>
  <c r="AK7"/>
  <c r="AJ7"/>
  <c r="AI7"/>
  <c r="AH7"/>
  <c r="AG7"/>
  <c r="AF7"/>
  <c r="AE7"/>
  <c r="AD7"/>
  <c r="AC7"/>
  <c r="AB7"/>
  <c r="AA7"/>
  <c r="Z7"/>
  <c r="V7"/>
  <c r="U7"/>
  <c r="T7"/>
  <c r="S7"/>
  <c r="R7"/>
  <c r="Q7"/>
  <c r="P7"/>
  <c r="O7"/>
  <c r="N7"/>
  <c r="M7"/>
  <c r="K7"/>
  <c r="J7"/>
  <c r="H7"/>
  <c r="L7" s="1"/>
  <c r="G7"/>
  <c r="AM6"/>
  <c r="AL6"/>
  <c r="AK6"/>
  <c r="AJ6"/>
  <c r="AI6"/>
  <c r="AH6"/>
  <c r="AG6"/>
  <c r="AF6"/>
  <c r="AE6"/>
  <c r="AD6"/>
  <c r="AC6"/>
  <c r="AB6"/>
  <c r="AA6"/>
  <c r="Z6"/>
  <c r="V6"/>
  <c r="U6"/>
  <c r="T6"/>
  <c r="S6"/>
  <c r="R6"/>
  <c r="Q6"/>
  <c r="P6"/>
  <c r="O6"/>
  <c r="N6"/>
  <c r="M6"/>
  <c r="L6"/>
  <c r="K6"/>
  <c r="J6"/>
  <c r="AM5"/>
  <c r="AL5"/>
  <c r="AK5"/>
  <c r="AJ5"/>
  <c r="AI5"/>
  <c r="AH5"/>
  <c r="AG5"/>
  <c r="AF5"/>
  <c r="AD5"/>
  <c r="AC5"/>
  <c r="AB5"/>
  <c r="AA5"/>
  <c r="Z5"/>
  <c r="V5"/>
  <c r="U5"/>
  <c r="T5"/>
  <c r="S5"/>
  <c r="R5"/>
  <c r="Q5"/>
  <c r="P5"/>
  <c r="O5"/>
  <c r="N5"/>
  <c r="M5"/>
  <c r="L5"/>
  <c r="K5"/>
  <c r="J5"/>
  <c r="H5"/>
  <c r="G5"/>
  <c r="AE5" s="1"/>
  <c r="AM4"/>
  <c r="AL4"/>
  <c r="AK4"/>
  <c r="AJ4"/>
  <c r="AI4"/>
  <c r="AH4"/>
  <c r="AG4"/>
  <c r="AF4"/>
  <c r="AE4"/>
  <c r="AD4"/>
  <c r="AC4"/>
  <c r="AB4"/>
  <c r="AA4"/>
  <c r="Z4"/>
  <c r="V4"/>
  <c r="U4"/>
  <c r="T4"/>
  <c r="R4"/>
  <c r="Q4"/>
  <c r="P4"/>
  <c r="O4"/>
  <c r="N4"/>
  <c r="M4"/>
  <c r="L4"/>
  <c r="K4"/>
  <c r="J4"/>
  <c r="H4"/>
  <c r="S4" s="1"/>
  <c r="G4"/>
  <c r="AL3"/>
  <c r="AK3"/>
  <c r="AJ3"/>
  <c r="AH3"/>
  <c r="AG3"/>
  <c r="AF3"/>
  <c r="AE3"/>
  <c r="AD3"/>
  <c r="AC3"/>
  <c r="AB3"/>
  <c r="AA3"/>
  <c r="Z3"/>
  <c r="X3"/>
  <c r="U3"/>
  <c r="T3"/>
  <c r="R3"/>
  <c r="Q3"/>
  <c r="P3"/>
  <c r="O3"/>
  <c r="N3"/>
  <c r="M3"/>
  <c r="L3"/>
  <c r="K3"/>
  <c r="J3"/>
  <c r="H3"/>
  <c r="G3"/>
  <c r="AN2"/>
  <c r="AN36" s="1"/>
  <c r="AM2"/>
  <c r="AL2"/>
  <c r="AL23" s="1"/>
  <c r="X2"/>
  <c r="X37" s="1"/>
  <c r="W2"/>
  <c r="W38" s="1"/>
  <c r="V2"/>
  <c r="K30" i="1"/>
  <c r="J14" i="13" l="1"/>
  <c r="AE16" i="12"/>
  <c r="AE18"/>
  <c r="O18"/>
  <c r="AE15"/>
  <c r="AF9" i="13"/>
  <c r="AF63" s="1"/>
  <c r="AS8" s="1"/>
  <c r="V10"/>
  <c r="AH63"/>
  <c r="AS10" s="1"/>
  <c r="AA63"/>
  <c r="AS3" s="1"/>
  <c r="AN8"/>
  <c r="Z63"/>
  <c r="AS2" s="1"/>
  <c r="AD63"/>
  <c r="AS6" s="1"/>
  <c r="Q63"/>
  <c r="AT9" s="1"/>
  <c r="P63"/>
  <c r="AT8" s="1"/>
  <c r="U63"/>
  <c r="AT13" s="1"/>
  <c r="L63"/>
  <c r="AT4" s="1"/>
  <c r="T63"/>
  <c r="AT12" s="1"/>
  <c r="AJ63"/>
  <c r="AS12" s="1"/>
  <c r="AM11"/>
  <c r="V31"/>
  <c r="V53"/>
  <c r="V55"/>
  <c r="V59"/>
  <c r="V61"/>
  <c r="K63"/>
  <c r="AT3" s="1"/>
  <c r="O63"/>
  <c r="AT7" s="1"/>
  <c r="S63"/>
  <c r="AT11" s="1"/>
  <c r="AC63"/>
  <c r="AS5" s="1"/>
  <c r="AG63"/>
  <c r="AS9" s="1"/>
  <c r="AR9" s="1"/>
  <c r="J63"/>
  <c r="AT2" s="1"/>
  <c r="V8"/>
  <c r="V19"/>
  <c r="V21"/>
  <c r="W34"/>
  <c r="W36"/>
  <c r="W37"/>
  <c r="W44"/>
  <c r="H63"/>
  <c r="G63"/>
  <c r="AI3"/>
  <c r="AI63" s="1"/>
  <c r="AS11" s="1"/>
  <c r="V32"/>
  <c r="V29"/>
  <c r="V17"/>
  <c r="V13"/>
  <c r="V49"/>
  <c r="V48"/>
  <c r="V47"/>
  <c r="V46"/>
  <c r="V45"/>
  <c r="V44"/>
  <c r="V43"/>
  <c r="V42"/>
  <c r="V41"/>
  <c r="V40"/>
  <c r="V39"/>
  <c r="V38"/>
  <c r="V37"/>
  <c r="V36"/>
  <c r="V35"/>
  <c r="V30"/>
  <c r="V28"/>
  <c r="V27"/>
  <c r="V62"/>
  <c r="V60"/>
  <c r="V58"/>
  <c r="V56"/>
  <c r="V54"/>
  <c r="V52"/>
  <c r="V50"/>
  <c r="V26"/>
  <c r="V14"/>
  <c r="V9"/>
  <c r="V3"/>
  <c r="V33"/>
  <c r="V25"/>
  <c r="V24"/>
  <c r="V22"/>
  <c r="V20"/>
  <c r="V18"/>
  <c r="V12"/>
  <c r="V6"/>
  <c r="V4"/>
  <c r="AM32"/>
  <c r="AM29"/>
  <c r="AM17"/>
  <c r="AM13"/>
  <c r="AM49"/>
  <c r="AM48"/>
  <c r="AM47"/>
  <c r="AM46"/>
  <c r="AM45"/>
  <c r="AM44"/>
  <c r="AM43"/>
  <c r="AM42"/>
  <c r="AM41"/>
  <c r="AM40"/>
  <c r="AM39"/>
  <c r="AM38"/>
  <c r="AM37"/>
  <c r="AM36"/>
  <c r="AM35"/>
  <c r="AM30"/>
  <c r="AM28"/>
  <c r="AM27"/>
  <c r="AM61"/>
  <c r="AM59"/>
  <c r="AM57"/>
  <c r="AM55"/>
  <c r="AM53"/>
  <c r="AM51"/>
  <c r="AM31"/>
  <c r="AM23"/>
  <c r="AM21"/>
  <c r="AM19"/>
  <c r="AM15"/>
  <c r="AM10"/>
  <c r="AM9"/>
  <c r="AM3"/>
  <c r="AM34"/>
  <c r="AM26"/>
  <c r="AM14"/>
  <c r="AM6"/>
  <c r="AM4"/>
  <c r="AM62"/>
  <c r="M63"/>
  <c r="AT5" s="1"/>
  <c r="AE63"/>
  <c r="AS7" s="1"/>
  <c r="V51"/>
  <c r="V57"/>
  <c r="W26"/>
  <c r="W24"/>
  <c r="W23"/>
  <c r="W22"/>
  <c r="W21"/>
  <c r="W20"/>
  <c r="W19"/>
  <c r="W18"/>
  <c r="W14"/>
  <c r="W10"/>
  <c r="W32"/>
  <c r="W29"/>
  <c r="W47"/>
  <c r="W43"/>
  <c r="W39"/>
  <c r="W35"/>
  <c r="W33"/>
  <c r="W30"/>
  <c r="W28"/>
  <c r="W25"/>
  <c r="W13"/>
  <c r="W12"/>
  <c r="W6"/>
  <c r="W4"/>
  <c r="W61"/>
  <c r="W59"/>
  <c r="W57"/>
  <c r="W55"/>
  <c r="W53"/>
  <c r="W51"/>
  <c r="W46"/>
  <c r="W42"/>
  <c r="W38"/>
  <c r="W31"/>
  <c r="W27"/>
  <c r="W17"/>
  <c r="W16"/>
  <c r="W11"/>
  <c r="W7"/>
  <c r="W5"/>
  <c r="AN26"/>
  <c r="AN24"/>
  <c r="AN23"/>
  <c r="AN22"/>
  <c r="AN21"/>
  <c r="AN20"/>
  <c r="AN19"/>
  <c r="AN18"/>
  <c r="AN14"/>
  <c r="AN10"/>
  <c r="AN32"/>
  <c r="AN29"/>
  <c r="AN49"/>
  <c r="AN45"/>
  <c r="AN41"/>
  <c r="AN37"/>
  <c r="AN34"/>
  <c r="AN6"/>
  <c r="AN4"/>
  <c r="AN62"/>
  <c r="AN60"/>
  <c r="AN58"/>
  <c r="AN56"/>
  <c r="AN54"/>
  <c r="AN52"/>
  <c r="AN50"/>
  <c r="AN48"/>
  <c r="AN44"/>
  <c r="AN40"/>
  <c r="AN36"/>
  <c r="AN25"/>
  <c r="AN13"/>
  <c r="AN12"/>
  <c r="AN7"/>
  <c r="AN5"/>
  <c r="N63"/>
  <c r="AT6" s="1"/>
  <c r="AR6" s="1"/>
  <c r="W3"/>
  <c r="AB63"/>
  <c r="AS4" s="1"/>
  <c r="AK63"/>
  <c r="AS13" s="1"/>
  <c r="R63"/>
  <c r="AT10" s="1"/>
  <c r="AR10" s="1"/>
  <c r="V5"/>
  <c r="AM7"/>
  <c r="AN11"/>
  <c r="AM12"/>
  <c r="AN15"/>
  <c r="V16"/>
  <c r="AN27"/>
  <c r="AN28"/>
  <c r="AN30"/>
  <c r="AN31"/>
  <c r="AM33"/>
  <c r="V34"/>
  <c r="AN38"/>
  <c r="AN39"/>
  <c r="AN46"/>
  <c r="AN47"/>
  <c r="AM50"/>
  <c r="AN51"/>
  <c r="AM52"/>
  <c r="AN53"/>
  <c r="AM54"/>
  <c r="AN55"/>
  <c r="AM56"/>
  <c r="AN57"/>
  <c r="AM58"/>
  <c r="AN59"/>
  <c r="AM60"/>
  <c r="AN61"/>
  <c r="X62"/>
  <c r="X61"/>
  <c r="X60"/>
  <c r="X59"/>
  <c r="X58"/>
  <c r="X57"/>
  <c r="X56"/>
  <c r="X55"/>
  <c r="X54"/>
  <c r="X53"/>
  <c r="X52"/>
  <c r="X51"/>
  <c r="X50"/>
  <c r="X34"/>
  <c r="X33"/>
  <c r="X31"/>
  <c r="X15"/>
  <c r="X11"/>
  <c r="AL3"/>
  <c r="X8"/>
  <c r="AL9"/>
  <c r="X10"/>
  <c r="AL10"/>
  <c r="AL15"/>
  <c r="AL19"/>
  <c r="AL21"/>
  <c r="X29"/>
  <c r="X37"/>
  <c r="X41"/>
  <c r="X45"/>
  <c r="X49"/>
  <c r="AL49"/>
  <c r="AL48"/>
  <c r="AL47"/>
  <c r="AL46"/>
  <c r="AL45"/>
  <c r="AL44"/>
  <c r="AL43"/>
  <c r="AL42"/>
  <c r="AL41"/>
  <c r="AL40"/>
  <c r="AL39"/>
  <c r="AL38"/>
  <c r="AL37"/>
  <c r="AL36"/>
  <c r="AL35"/>
  <c r="AL30"/>
  <c r="AL28"/>
  <c r="AL27"/>
  <c r="AL25"/>
  <c r="AL16"/>
  <c r="AL12"/>
  <c r="AL62"/>
  <c r="AL61"/>
  <c r="AL60"/>
  <c r="AL59"/>
  <c r="AL58"/>
  <c r="AL57"/>
  <c r="AL56"/>
  <c r="AL55"/>
  <c r="AL54"/>
  <c r="AL53"/>
  <c r="AL52"/>
  <c r="AL51"/>
  <c r="AL50"/>
  <c r="AL34"/>
  <c r="AL33"/>
  <c r="AL31"/>
  <c r="X5"/>
  <c r="X7"/>
  <c r="AL8"/>
  <c r="AL11"/>
  <c r="X16"/>
  <c r="X17"/>
  <c r="X18"/>
  <c r="X20"/>
  <c r="X22"/>
  <c r="X24"/>
  <c r="X27"/>
  <c r="AL29"/>
  <c r="X38"/>
  <c r="X42"/>
  <c r="X46"/>
  <c r="X17" i="12"/>
  <c r="M63"/>
  <c r="AT5" s="1"/>
  <c r="T63"/>
  <c r="AT12" s="1"/>
  <c r="AD63"/>
  <c r="AS6" s="1"/>
  <c r="G63"/>
  <c r="U63"/>
  <c r="AT13" s="1"/>
  <c r="AK63"/>
  <c r="AS13" s="1"/>
  <c r="Q63"/>
  <c r="AT9" s="1"/>
  <c r="AC63"/>
  <c r="AS5" s="1"/>
  <c r="AG63"/>
  <c r="AS9" s="1"/>
  <c r="Z63"/>
  <c r="AS2" s="1"/>
  <c r="AH63"/>
  <c r="AS10" s="1"/>
  <c r="L63"/>
  <c r="AT4" s="1"/>
  <c r="P63"/>
  <c r="AT8" s="1"/>
  <c r="W25"/>
  <c r="V32"/>
  <c r="V29"/>
  <c r="V17"/>
  <c r="V12"/>
  <c r="V49"/>
  <c r="V48"/>
  <c r="V47"/>
  <c r="V46"/>
  <c r="V45"/>
  <c r="V44"/>
  <c r="V43"/>
  <c r="V42"/>
  <c r="V41"/>
  <c r="V40"/>
  <c r="V39"/>
  <c r="V38"/>
  <c r="V37"/>
  <c r="V36"/>
  <c r="V35"/>
  <c r="V30"/>
  <c r="V28"/>
  <c r="V27"/>
  <c r="AM32"/>
  <c r="AM29"/>
  <c r="AM17"/>
  <c r="AM12"/>
  <c r="AM49"/>
  <c r="AM48"/>
  <c r="AM47"/>
  <c r="AM46"/>
  <c r="AM45"/>
  <c r="AM44"/>
  <c r="AM43"/>
  <c r="AM42"/>
  <c r="AM41"/>
  <c r="AM40"/>
  <c r="AM39"/>
  <c r="AM38"/>
  <c r="AM37"/>
  <c r="AM36"/>
  <c r="AM35"/>
  <c r="AM30"/>
  <c r="AM28"/>
  <c r="AM27"/>
  <c r="K63"/>
  <c r="AT3" s="1"/>
  <c r="S3"/>
  <c r="S63" s="1"/>
  <c r="AT11" s="1"/>
  <c r="W3"/>
  <c r="AB63"/>
  <c r="AS4" s="1"/>
  <c r="AF63"/>
  <c r="AS8" s="1"/>
  <c r="AJ63"/>
  <c r="AS12" s="1"/>
  <c r="AN3"/>
  <c r="X4"/>
  <c r="X6"/>
  <c r="V8"/>
  <c r="AM8"/>
  <c r="W9"/>
  <c r="AN9"/>
  <c r="X10"/>
  <c r="X12"/>
  <c r="X13"/>
  <c r="W14"/>
  <c r="V15"/>
  <c r="AN15"/>
  <c r="AN16"/>
  <c r="W17"/>
  <c r="V18"/>
  <c r="V20"/>
  <c r="V22"/>
  <c r="V24"/>
  <c r="V25"/>
  <c r="AN25"/>
  <c r="AM26"/>
  <c r="W27"/>
  <c r="X29"/>
  <c r="W31"/>
  <c r="V33"/>
  <c r="AM34"/>
  <c r="W26"/>
  <c r="W24"/>
  <c r="W23"/>
  <c r="W22"/>
  <c r="W21"/>
  <c r="W20"/>
  <c r="W19"/>
  <c r="W18"/>
  <c r="W13"/>
  <c r="W62"/>
  <c r="W61"/>
  <c r="W60"/>
  <c r="W59"/>
  <c r="W58"/>
  <c r="W57"/>
  <c r="W56"/>
  <c r="W55"/>
  <c r="W54"/>
  <c r="W53"/>
  <c r="W52"/>
  <c r="W51"/>
  <c r="W50"/>
  <c r="W32"/>
  <c r="W29"/>
  <c r="AN26"/>
  <c r="AN24"/>
  <c r="AN23"/>
  <c r="AN22"/>
  <c r="AN21"/>
  <c r="AN20"/>
  <c r="AN19"/>
  <c r="AN18"/>
  <c r="AN13"/>
  <c r="AN62"/>
  <c r="AN61"/>
  <c r="AN60"/>
  <c r="AN59"/>
  <c r="AN58"/>
  <c r="AN57"/>
  <c r="AN56"/>
  <c r="AN55"/>
  <c r="AN54"/>
  <c r="AN53"/>
  <c r="AN52"/>
  <c r="AN51"/>
  <c r="AN50"/>
  <c r="AN32"/>
  <c r="AN29"/>
  <c r="W8"/>
  <c r="AN8"/>
  <c r="W15"/>
  <c r="W28"/>
  <c r="W30"/>
  <c r="W33"/>
  <c r="AN34"/>
  <c r="W35"/>
  <c r="AN37"/>
  <c r="W39"/>
  <c r="X62"/>
  <c r="X61"/>
  <c r="X60"/>
  <c r="X59"/>
  <c r="X58"/>
  <c r="X57"/>
  <c r="X56"/>
  <c r="X55"/>
  <c r="X54"/>
  <c r="X53"/>
  <c r="X52"/>
  <c r="X51"/>
  <c r="X50"/>
  <c r="X34"/>
  <c r="X33"/>
  <c r="X31"/>
  <c r="X14"/>
  <c r="X49"/>
  <c r="X48"/>
  <c r="X47"/>
  <c r="X46"/>
  <c r="X45"/>
  <c r="X44"/>
  <c r="X43"/>
  <c r="X42"/>
  <c r="X41"/>
  <c r="X40"/>
  <c r="W5"/>
  <c r="AN5"/>
  <c r="W7"/>
  <c r="AN7"/>
  <c r="X8"/>
  <c r="V10"/>
  <c r="AM10"/>
  <c r="W11"/>
  <c r="AN11"/>
  <c r="AN12"/>
  <c r="AM13"/>
  <c r="AM14"/>
  <c r="X15"/>
  <c r="W16"/>
  <c r="V19"/>
  <c r="V21"/>
  <c r="V23"/>
  <c r="X25"/>
  <c r="X26"/>
  <c r="AN27"/>
  <c r="X28"/>
  <c r="X30"/>
  <c r="AN31"/>
  <c r="X32"/>
  <c r="AM33"/>
  <c r="V34"/>
  <c r="X35"/>
  <c r="W36"/>
  <c r="AN38"/>
  <c r="X39"/>
  <c r="W40"/>
  <c r="W41"/>
  <c r="W42"/>
  <c r="W43"/>
  <c r="W44"/>
  <c r="W45"/>
  <c r="W46"/>
  <c r="W47"/>
  <c r="W48"/>
  <c r="W49"/>
  <c r="V50"/>
  <c r="V51"/>
  <c r="V52"/>
  <c r="V53"/>
  <c r="V54"/>
  <c r="V55"/>
  <c r="V56"/>
  <c r="V57"/>
  <c r="V58"/>
  <c r="V59"/>
  <c r="V60"/>
  <c r="V61"/>
  <c r="V62"/>
  <c r="AL49"/>
  <c r="AL48"/>
  <c r="AL47"/>
  <c r="AL46"/>
  <c r="AL45"/>
  <c r="AL44"/>
  <c r="AL43"/>
  <c r="AL42"/>
  <c r="AL41"/>
  <c r="AL40"/>
  <c r="AL39"/>
  <c r="AL38"/>
  <c r="AL37"/>
  <c r="AL36"/>
  <c r="AL35"/>
  <c r="AL30"/>
  <c r="AL28"/>
  <c r="AL27"/>
  <c r="AL25"/>
  <c r="AL16"/>
  <c r="AL15"/>
  <c r="AL62"/>
  <c r="AL61"/>
  <c r="AL60"/>
  <c r="AL59"/>
  <c r="AL58"/>
  <c r="AL57"/>
  <c r="AL56"/>
  <c r="AL55"/>
  <c r="AL54"/>
  <c r="AL53"/>
  <c r="AL52"/>
  <c r="AL51"/>
  <c r="AL50"/>
  <c r="AL34"/>
  <c r="AL33"/>
  <c r="AL31"/>
  <c r="N63"/>
  <c r="AT6" s="1"/>
  <c r="R63"/>
  <c r="AT10" s="1"/>
  <c r="V3"/>
  <c r="AA63"/>
  <c r="AS3" s="1"/>
  <c r="AE63"/>
  <c r="AS7" s="1"/>
  <c r="AI3"/>
  <c r="AI63" s="1"/>
  <c r="AS11" s="1"/>
  <c r="AM3"/>
  <c r="W4"/>
  <c r="AN4"/>
  <c r="X5"/>
  <c r="W6"/>
  <c r="AN6"/>
  <c r="X7"/>
  <c r="AL8"/>
  <c r="V9"/>
  <c r="AM9"/>
  <c r="W10"/>
  <c r="AN10"/>
  <c r="X11"/>
  <c r="W12"/>
  <c r="V13"/>
  <c r="V14"/>
  <c r="AN14"/>
  <c r="AM15"/>
  <c r="E63"/>
  <c r="H16"/>
  <c r="X16"/>
  <c r="AM16"/>
  <c r="AN17"/>
  <c r="AM18"/>
  <c r="X19"/>
  <c r="AM20"/>
  <c r="X21"/>
  <c r="AM22"/>
  <c r="X23"/>
  <c r="AM24"/>
  <c r="AM25"/>
  <c r="AL26"/>
  <c r="AN28"/>
  <c r="AN30"/>
  <c r="V31"/>
  <c r="AL32"/>
  <c r="AN33"/>
  <c r="W34"/>
  <c r="AN35"/>
  <c r="X36"/>
  <c r="W37"/>
  <c r="AN39"/>
  <c r="AN40"/>
  <c r="AN41"/>
  <c r="AN42"/>
  <c r="AN43"/>
  <c r="AN44"/>
  <c r="AN45"/>
  <c r="AN46"/>
  <c r="AN47"/>
  <c r="AN48"/>
  <c r="AN49"/>
  <c r="AM50"/>
  <c r="AM51"/>
  <c r="AM52"/>
  <c r="AM53"/>
  <c r="AM54"/>
  <c r="AM55"/>
  <c r="AM56"/>
  <c r="AM57"/>
  <c r="AM58"/>
  <c r="AM59"/>
  <c r="AM60"/>
  <c r="AM61"/>
  <c r="AM62"/>
  <c r="X21" i="24"/>
  <c r="X22" s="1"/>
  <c r="K10" i="1"/>
  <c r="J18"/>
  <c r="K19"/>
  <c r="AR3" i="13" l="1"/>
  <c r="J16" i="12"/>
  <c r="J63" s="1"/>
  <c r="AT2" s="1"/>
  <c r="AR2" s="1"/>
  <c r="O16"/>
  <c r="O63" s="1"/>
  <c r="AT7" s="1"/>
  <c r="X63" i="13"/>
  <c r="AT16" s="1"/>
  <c r="AR8"/>
  <c r="AR13"/>
  <c r="AN63"/>
  <c r="AS16" s="1"/>
  <c r="AR4"/>
  <c r="AR7"/>
  <c r="AR12"/>
  <c r="W63"/>
  <c r="AT15" s="1"/>
  <c r="AR5"/>
  <c r="V63"/>
  <c r="AT14" s="1"/>
  <c r="AR11"/>
  <c r="AL63"/>
  <c r="AS14" s="1"/>
  <c r="AM63"/>
  <c r="AS15" s="1"/>
  <c r="AR2"/>
  <c r="AR12" i="12"/>
  <c r="H63"/>
  <c r="AR5"/>
  <c r="AL63"/>
  <c r="AS14" s="1"/>
  <c r="AR6"/>
  <c r="AR11"/>
  <c r="AR8"/>
  <c r="AR9"/>
  <c r="X63"/>
  <c r="AT16" s="1"/>
  <c r="AR4"/>
  <c r="AR7"/>
  <c r="AR13"/>
  <c r="AR10"/>
  <c r="AM63"/>
  <c r="AS15" s="1"/>
  <c r="AN63"/>
  <c r="AS16" s="1"/>
  <c r="W63"/>
  <c r="AT15" s="1"/>
  <c r="V63"/>
  <c r="AT14" s="1"/>
  <c r="AR3"/>
  <c r="BG11" i="27"/>
  <c r="AR16" i="13" l="1"/>
  <c r="AT17"/>
  <c r="AZ32" s="1"/>
  <c r="AS17"/>
  <c r="AZ24" s="1"/>
  <c r="AR14"/>
  <c r="AR15"/>
  <c r="AR14" i="12"/>
  <c r="AR15"/>
  <c r="AR16"/>
  <c r="AS17"/>
  <c r="AR31" s="1"/>
  <c r="AT17"/>
  <c r="K8" i="1"/>
  <c r="AR32" i="13" l="1"/>
  <c r="AR31"/>
  <c r="AR17"/>
  <c r="AR24" s="1"/>
  <c r="AR26" s="1"/>
  <c r="AR28" s="1"/>
  <c r="AZ28"/>
  <c r="AZ30"/>
  <c r="AZ34" s="1"/>
  <c r="AR17" i="12"/>
  <c r="AR24" s="1"/>
  <c r="AR26" s="1"/>
  <c r="AR28" s="1"/>
  <c r="AZ24"/>
  <c r="AZ30" s="1"/>
  <c r="AZ32"/>
  <c r="AR32"/>
  <c r="AR34" s="1"/>
  <c r="J24" i="1"/>
  <c r="J21"/>
  <c r="AT34" i="12" l="1"/>
  <c r="AR34" i="13"/>
  <c r="AT34"/>
  <c r="AZ49"/>
  <c r="AR29"/>
  <c r="AZ28" i="12"/>
  <c r="AZ49"/>
  <c r="AR29"/>
  <c r="AZ34"/>
  <c r="O54" i="1"/>
  <c r="J25"/>
  <c r="J27" l="1"/>
  <c r="E16" i="11"/>
  <c r="U45" i="25" l="1"/>
  <c r="U54"/>
  <c r="U61"/>
  <c r="N61"/>
  <c r="N51"/>
  <c r="N50"/>
  <c r="N47"/>
  <c r="S45"/>
  <c r="Q44"/>
  <c r="O35"/>
  <c r="O34"/>
  <c r="O33"/>
  <c r="J17" i="1"/>
  <c r="BI33" i="27" l="1"/>
  <c r="BI34"/>
  <c r="BI35"/>
  <c r="BI36"/>
  <c r="BI37"/>
  <c r="BI38"/>
  <c r="BI39"/>
  <c r="BI40"/>
  <c r="BI41"/>
  <c r="BI42"/>
  <c r="BI43"/>
  <c r="BI44"/>
  <c r="BI45"/>
  <c r="BI46"/>
  <c r="BI47"/>
  <c r="J42" i="1"/>
  <c r="C83" i="27" l="1"/>
  <c r="C82"/>
  <c r="C81"/>
  <c r="C80"/>
  <c r="C77"/>
  <c r="C76"/>
  <c r="C75"/>
  <c r="AH16" i="25"/>
  <c r="N47" i="27" l="1"/>
  <c r="M47"/>
  <c r="N46"/>
  <c r="M46"/>
  <c r="N45"/>
  <c r="M45"/>
  <c r="N44"/>
  <c r="M44"/>
  <c r="N43"/>
  <c r="M43"/>
  <c r="N42"/>
  <c r="M42"/>
  <c r="N41"/>
  <c r="M41"/>
  <c r="N40"/>
  <c r="M40"/>
  <c r="N39"/>
  <c r="M39"/>
  <c r="N38"/>
  <c r="M38"/>
  <c r="N37"/>
  <c r="M37"/>
  <c r="N36"/>
  <c r="M36"/>
  <c r="N35"/>
  <c r="M35"/>
  <c r="N34"/>
  <c r="M34"/>
  <c r="N33"/>
  <c r="M33"/>
  <c r="N32"/>
  <c r="M32"/>
  <c r="T47"/>
  <c r="S47"/>
  <c r="T46"/>
  <c r="S46"/>
  <c r="T45"/>
  <c r="S45"/>
  <c r="T44"/>
  <c r="S44"/>
  <c r="T43"/>
  <c r="S43"/>
  <c r="T42"/>
  <c r="S42"/>
  <c r="T41"/>
  <c r="S41"/>
  <c r="T40"/>
  <c r="S40"/>
  <c r="T39"/>
  <c r="S39"/>
  <c r="T38"/>
  <c r="S38"/>
  <c r="T37"/>
  <c r="S37"/>
  <c r="T36"/>
  <c r="S36"/>
  <c r="T35"/>
  <c r="S35"/>
  <c r="T34"/>
  <c r="S34"/>
  <c r="T33"/>
  <c r="S33"/>
  <c r="T32"/>
  <c r="S32"/>
  <c r="Z47"/>
  <c r="Y47"/>
  <c r="Z46"/>
  <c r="Y46"/>
  <c r="Z45"/>
  <c r="Y45"/>
  <c r="Z44"/>
  <c r="Y44"/>
  <c r="Z43"/>
  <c r="Y43"/>
  <c r="Z42"/>
  <c r="Y42"/>
  <c r="Z41"/>
  <c r="Y41"/>
  <c r="Z40"/>
  <c r="Y40"/>
  <c r="Z39"/>
  <c r="Y39"/>
  <c r="Z38"/>
  <c r="Y38"/>
  <c r="Z37"/>
  <c r="Y37"/>
  <c r="Z36"/>
  <c r="Y36"/>
  <c r="Z35"/>
  <c r="Y35"/>
  <c r="Z34"/>
  <c r="Y34"/>
  <c r="Z33"/>
  <c r="Y33"/>
  <c r="Z32"/>
  <c r="Y32"/>
  <c r="AF47"/>
  <c r="AE47"/>
  <c r="AF46"/>
  <c r="AE46"/>
  <c r="AF45"/>
  <c r="AE45"/>
  <c r="AF44"/>
  <c r="AE44"/>
  <c r="AF43"/>
  <c r="AE43"/>
  <c r="AF42"/>
  <c r="AE42"/>
  <c r="AF41"/>
  <c r="AE41"/>
  <c r="AF40"/>
  <c r="AE40"/>
  <c r="AF39"/>
  <c r="AE39"/>
  <c r="AF38"/>
  <c r="AE38"/>
  <c r="AF37"/>
  <c r="AE37"/>
  <c r="AF36"/>
  <c r="AE36"/>
  <c r="AF35"/>
  <c r="AE35"/>
  <c r="AF34"/>
  <c r="AE34"/>
  <c r="AF33"/>
  <c r="AE33"/>
  <c r="AF32"/>
  <c r="AE32"/>
  <c r="AL47"/>
  <c r="AK47"/>
  <c r="AL46"/>
  <c r="AK46"/>
  <c r="AL45"/>
  <c r="AK45"/>
  <c r="AL44"/>
  <c r="AK44"/>
  <c r="AL43"/>
  <c r="AK43"/>
  <c r="AL42"/>
  <c r="AK42"/>
  <c r="AL41"/>
  <c r="AK41"/>
  <c r="AL40"/>
  <c r="AK40"/>
  <c r="AL39"/>
  <c r="AK39"/>
  <c r="AL38"/>
  <c r="AK38"/>
  <c r="AL37"/>
  <c r="AK37"/>
  <c r="AL36"/>
  <c r="AK36"/>
  <c r="AL35"/>
  <c r="AK35"/>
  <c r="AL34"/>
  <c r="AK34"/>
  <c r="AL33"/>
  <c r="AK33"/>
  <c r="AL32"/>
  <c r="AK32"/>
  <c r="AR47"/>
  <c r="AQ47"/>
  <c r="AR46"/>
  <c r="AQ46"/>
  <c r="AR45"/>
  <c r="AQ45"/>
  <c r="AR44"/>
  <c r="AQ44"/>
  <c r="AR43"/>
  <c r="AQ43"/>
  <c r="AR42"/>
  <c r="AQ42"/>
  <c r="AR41"/>
  <c r="AQ41"/>
  <c r="AR40"/>
  <c r="AQ40"/>
  <c r="AR39"/>
  <c r="AQ39"/>
  <c r="AR38"/>
  <c r="AQ38"/>
  <c r="AR37"/>
  <c r="AQ37"/>
  <c r="AR36"/>
  <c r="AQ36"/>
  <c r="AR35"/>
  <c r="AQ35"/>
  <c r="AR34"/>
  <c r="AQ34"/>
  <c r="AR33"/>
  <c r="AQ33"/>
  <c r="AR32"/>
  <c r="AQ32"/>
  <c r="AX47"/>
  <c r="AW47"/>
  <c r="AX46"/>
  <c r="AW46"/>
  <c r="AX45"/>
  <c r="AW45"/>
  <c r="AX44"/>
  <c r="AW44"/>
  <c r="AX43"/>
  <c r="AW43"/>
  <c r="AX42"/>
  <c r="AW42"/>
  <c r="AX41"/>
  <c r="AW41"/>
  <c r="AX40"/>
  <c r="AW40"/>
  <c r="AX39"/>
  <c r="AW39"/>
  <c r="AX38"/>
  <c r="AW38"/>
  <c r="AX37"/>
  <c r="AW37"/>
  <c r="AX36"/>
  <c r="AW36"/>
  <c r="AX35"/>
  <c r="AW35"/>
  <c r="AX34"/>
  <c r="AW34"/>
  <c r="AX33"/>
  <c r="AW33"/>
  <c r="AX32"/>
  <c r="AW32"/>
  <c r="CB47"/>
  <c r="CB46"/>
  <c r="CB45"/>
  <c r="CB44"/>
  <c r="CB43"/>
  <c r="CB41"/>
  <c r="CB40"/>
  <c r="CB39"/>
  <c r="CB37"/>
  <c r="CB36"/>
  <c r="CB35"/>
  <c r="CB34"/>
  <c r="BV47"/>
  <c r="BV46"/>
  <c r="BV45"/>
  <c r="BV44"/>
  <c r="BV43"/>
  <c r="BV42"/>
  <c r="BV41"/>
  <c r="BV40"/>
  <c r="BV39"/>
  <c r="BV38"/>
  <c r="BV37"/>
  <c r="BV36"/>
  <c r="BV35"/>
  <c r="BV34"/>
  <c r="BV33"/>
  <c r="BJ47"/>
  <c r="BJ46"/>
  <c r="BJ45"/>
  <c r="BJ44"/>
  <c r="BJ43"/>
  <c r="BJ42"/>
  <c r="BJ41"/>
  <c r="BJ40"/>
  <c r="BJ39"/>
  <c r="BJ38"/>
  <c r="BJ37"/>
  <c r="BJ36"/>
  <c r="BJ35"/>
  <c r="BJ34"/>
  <c r="BJ33"/>
  <c r="BJ32"/>
  <c r="BD32"/>
  <c r="BD33"/>
  <c r="BD34"/>
  <c r="BD35"/>
  <c r="BD36"/>
  <c r="BD37"/>
  <c r="BD38"/>
  <c r="BD39"/>
  <c r="BD40"/>
  <c r="BD41"/>
  <c r="BD42"/>
  <c r="BD43"/>
  <c r="BD44"/>
  <c r="BD45"/>
  <c r="BD46"/>
  <c r="BD47"/>
  <c r="BC33"/>
  <c r="BC34"/>
  <c r="BC35"/>
  <c r="BC36"/>
  <c r="BC37"/>
  <c r="BC38"/>
  <c r="BC39"/>
  <c r="BC40"/>
  <c r="BC41"/>
  <c r="BC42"/>
  <c r="BC43"/>
  <c r="BC44"/>
  <c r="BC45"/>
  <c r="BC46"/>
  <c r="BC47"/>
  <c r="J26" i="1"/>
  <c r="J30"/>
  <c r="J10" l="1"/>
  <c r="C52" i="27"/>
  <c r="AE38" i="25" l="1"/>
  <c r="AE40" s="1"/>
  <c r="AS33"/>
  <c r="AQ33"/>
  <c r="AP33"/>
  <c r="AO33"/>
  <c r="AO32"/>
  <c r="J8" i="1" l="1"/>
  <c r="J19" l="1"/>
  <c r="J6"/>
  <c r="I18"/>
  <c r="CB22" i="27" l="1"/>
  <c r="CA22"/>
  <c r="CB21"/>
  <c r="CA21"/>
  <c r="CB20"/>
  <c r="CA20"/>
  <c r="CB19"/>
  <c r="CB18"/>
  <c r="CA18"/>
  <c r="CA17"/>
  <c r="CB14"/>
  <c r="CB13"/>
  <c r="CB10"/>
  <c r="CB7"/>
  <c r="BV22"/>
  <c r="BV21"/>
  <c r="BV20"/>
  <c r="BV19"/>
  <c r="BV18"/>
  <c r="BV14"/>
  <c r="BV13"/>
  <c r="BV12"/>
  <c r="BV10"/>
  <c r="BV8"/>
  <c r="BV7"/>
  <c r="BV6"/>
  <c r="BP22"/>
  <c r="BP20"/>
  <c r="BP19"/>
  <c r="BP18"/>
  <c r="BP17"/>
  <c r="BP14"/>
  <c r="BP13"/>
  <c r="BP12"/>
  <c r="BP11"/>
  <c r="BP10"/>
  <c r="BP8"/>
  <c r="BP7"/>
  <c r="BP6"/>
  <c r="BP5"/>
  <c r="BP4"/>
  <c r="BJ22"/>
  <c r="BJ21"/>
  <c r="BJ20"/>
  <c r="BJ19"/>
  <c r="BJ18"/>
  <c r="BJ17"/>
  <c r="BJ14"/>
  <c r="BJ13"/>
  <c r="BJ12"/>
  <c r="BJ11"/>
  <c r="BJ10"/>
  <c r="BJ8"/>
  <c r="BJ7"/>
  <c r="BJ6"/>
  <c r="BJ5"/>
  <c r="BD22"/>
  <c r="BD21"/>
  <c r="BD20"/>
  <c r="BD19"/>
  <c r="BD18"/>
  <c r="BD17"/>
  <c r="AX22"/>
  <c r="AW22"/>
  <c r="AX21"/>
  <c r="AW21"/>
  <c r="AX20"/>
  <c r="AW20"/>
  <c r="AX19"/>
  <c r="AX18"/>
  <c r="AW18"/>
  <c r="AX17"/>
  <c r="AW17"/>
  <c r="AX15"/>
  <c r="AW15"/>
  <c r="AX14"/>
  <c r="AX13"/>
  <c r="AX12"/>
  <c r="AX11"/>
  <c r="AX10"/>
  <c r="AX8"/>
  <c r="AX7"/>
  <c r="AX6"/>
  <c r="AX5"/>
  <c r="AX4"/>
  <c r="AR22"/>
  <c r="AQ22"/>
  <c r="AR21"/>
  <c r="AQ21"/>
  <c r="AR20"/>
  <c r="AQ20"/>
  <c r="AR19"/>
  <c r="AR18"/>
  <c r="AQ18"/>
  <c r="AR17"/>
  <c r="AQ17"/>
  <c r="AR15"/>
  <c r="AQ15"/>
  <c r="AR14"/>
  <c r="AR13"/>
  <c r="AR12"/>
  <c r="AR11"/>
  <c r="AR10"/>
  <c r="AR8"/>
  <c r="AR7"/>
  <c r="AR6"/>
  <c r="AR5"/>
  <c r="AR4"/>
  <c r="AL22"/>
  <c r="AK22"/>
  <c r="AL21"/>
  <c r="AK21"/>
  <c r="AL20"/>
  <c r="AK20"/>
  <c r="AL19"/>
  <c r="AL18"/>
  <c r="AK18"/>
  <c r="AL17"/>
  <c r="AK17"/>
  <c r="AL15"/>
  <c r="AK15"/>
  <c r="AL14"/>
  <c r="AL13"/>
  <c r="AL12"/>
  <c r="AL11"/>
  <c r="AL10"/>
  <c r="AL8"/>
  <c r="AL7"/>
  <c r="AL6"/>
  <c r="AL5"/>
  <c r="AL4"/>
  <c r="AF22"/>
  <c r="AE22"/>
  <c r="AF21"/>
  <c r="AE21"/>
  <c r="AF20"/>
  <c r="AE20"/>
  <c r="AF19"/>
  <c r="AF18"/>
  <c r="AE18"/>
  <c r="AF17"/>
  <c r="AE17"/>
  <c r="AF15"/>
  <c r="AE15"/>
  <c r="AF14"/>
  <c r="AF13"/>
  <c r="AF12"/>
  <c r="AF11"/>
  <c r="AF10"/>
  <c r="AF8"/>
  <c r="AF7"/>
  <c r="AF6"/>
  <c r="AF5"/>
  <c r="AF4"/>
  <c r="Z22"/>
  <c r="Y22"/>
  <c r="Z21"/>
  <c r="Y21"/>
  <c r="Z20"/>
  <c r="Y20"/>
  <c r="Z19"/>
  <c r="Z18"/>
  <c r="Y18"/>
  <c r="Z17"/>
  <c r="Y17"/>
  <c r="Z15"/>
  <c r="Y15"/>
  <c r="Z14"/>
  <c r="Z13"/>
  <c r="Z12"/>
  <c r="Z11"/>
  <c r="Z10"/>
  <c r="Z8"/>
  <c r="Z7"/>
  <c r="Z6"/>
  <c r="Z5"/>
  <c r="Z4"/>
  <c r="S22"/>
  <c r="S21"/>
  <c r="S20"/>
  <c r="S18"/>
  <c r="S17"/>
  <c r="S15"/>
  <c r="AH12" i="25" l="1"/>
  <c r="AI12"/>
  <c r="AC15" l="1"/>
  <c r="AE36"/>
  <c r="AE37" s="1"/>
  <c r="J29" i="1" l="1"/>
  <c r="S40" i="17"/>
  <c r="S37"/>
  <c r="S36"/>
  <c r="R51" i="1"/>
  <c r="AI9" i="25" l="1"/>
  <c r="AI8"/>
  <c r="AH27"/>
  <c r="AH11"/>
  <c r="AH9"/>
  <c r="AH8"/>
  <c r="AO9" l="1"/>
  <c r="AO8"/>
  <c r="AS11"/>
  <c r="AS26"/>
  <c r="AQ9"/>
  <c r="AQ10"/>
  <c r="AQ13"/>
  <c r="AK9"/>
  <c r="AK10"/>
  <c r="AK11"/>
  <c r="AM11" s="1"/>
  <c r="AI11" s="1"/>
  <c r="AI27" s="1"/>
  <c r="AH28" s="1"/>
  <c r="AH29" s="1"/>
  <c r="AK12"/>
  <c r="AK13"/>
  <c r="AK14"/>
  <c r="AM14" s="1"/>
  <c r="AK15"/>
  <c r="AM15" s="1"/>
  <c r="AK17"/>
  <c r="AM17" s="1"/>
  <c r="AK18"/>
  <c r="AM18" s="1"/>
  <c r="AK19"/>
  <c r="AM19" s="1"/>
  <c r="AK20"/>
  <c r="AK21"/>
  <c r="AM21" s="1"/>
  <c r="AK22"/>
  <c r="AM22" s="1"/>
  <c r="AK23"/>
  <c r="AM23" s="1"/>
  <c r="AK24"/>
  <c r="AM24" s="1"/>
  <c r="AK25"/>
  <c r="AM25" s="1"/>
  <c r="AK26"/>
  <c r="AM26" s="1"/>
  <c r="AN9"/>
  <c r="AP9" s="1"/>
  <c r="AN8"/>
  <c r="AP8" s="1"/>
  <c r="AM12"/>
  <c r="AN12" s="1"/>
  <c r="AQ12" s="1"/>
  <c r="AM13"/>
  <c r="AN13" s="1"/>
  <c r="AM16"/>
  <c r="AM20"/>
  <c r="AM8"/>
  <c r="AM9"/>
  <c r="AM10"/>
  <c r="AN10" s="1"/>
  <c r="AR8"/>
  <c r="AR9"/>
  <c r="AR10"/>
  <c r="AS10" s="1"/>
  <c r="AO10" s="1"/>
  <c r="AR11"/>
  <c r="AR12"/>
  <c r="AS12" s="1"/>
  <c r="AR13"/>
  <c r="AS13" s="1"/>
  <c r="AO13" s="1"/>
  <c r="AR14"/>
  <c r="AS14" s="1"/>
  <c r="AR15"/>
  <c r="AS15" s="1"/>
  <c r="AR16"/>
  <c r="AR17"/>
  <c r="AS17" s="1"/>
  <c r="AR18"/>
  <c r="AS18" s="1"/>
  <c r="AR19"/>
  <c r="AS19" s="1"/>
  <c r="AR20"/>
  <c r="AS20" s="1"/>
  <c r="AR21"/>
  <c r="AS21" s="1"/>
  <c r="AR22"/>
  <c r="AS22" s="1"/>
  <c r="AR23"/>
  <c r="AS23" s="1"/>
  <c r="AR24"/>
  <c r="AS24" s="1"/>
  <c r="AR25"/>
  <c r="AS25" s="1"/>
  <c r="AR26"/>
  <c r="AO12" l="1"/>
  <c r="AP12" s="1"/>
  <c r="AP10"/>
  <c r="AN11"/>
  <c r="AP13"/>
  <c r="AQ8"/>
  <c r="C49" i="27"/>
  <c r="BY23"/>
  <c r="BW23"/>
  <c r="BZ22"/>
  <c r="BZ21"/>
  <c r="BZ20"/>
  <c r="BZ19"/>
  <c r="BZ18"/>
  <c r="BZ17"/>
  <c r="BZ23" s="1"/>
  <c r="BS23"/>
  <c r="BQ23"/>
  <c r="BT19"/>
  <c r="BT23" s="1"/>
  <c r="BM23"/>
  <c r="BK23"/>
  <c r="BK20"/>
  <c r="BN19"/>
  <c r="BK17"/>
  <c r="BN23" s="1"/>
  <c r="BG23"/>
  <c r="BE23"/>
  <c r="BH23"/>
  <c r="BA23"/>
  <c r="AY23"/>
  <c r="BB23"/>
  <c r="AU23"/>
  <c r="AS23"/>
  <c r="AV22"/>
  <c r="AV21"/>
  <c r="AV20"/>
  <c r="AV19"/>
  <c r="AV18"/>
  <c r="AV17"/>
  <c r="AV23" s="1"/>
  <c r="AO23"/>
  <c r="AM23"/>
  <c r="AP22"/>
  <c r="AP21"/>
  <c r="AP20"/>
  <c r="AP19"/>
  <c r="AP18"/>
  <c r="AP17"/>
  <c r="AP23" s="1"/>
  <c r="AI23"/>
  <c r="AG23"/>
  <c r="AJ22"/>
  <c r="AJ21"/>
  <c r="AJ20"/>
  <c r="AJ19"/>
  <c r="AJ18"/>
  <c r="AJ17"/>
  <c r="AJ23" s="1"/>
  <c r="AC23"/>
  <c r="AA23"/>
  <c r="AD22"/>
  <c r="AD21"/>
  <c r="AD20"/>
  <c r="AD19"/>
  <c r="AD18"/>
  <c r="AD17"/>
  <c r="AD23" s="1"/>
  <c r="W23"/>
  <c r="U23"/>
  <c r="X22"/>
  <c r="X21"/>
  <c r="X20"/>
  <c r="X19"/>
  <c r="X18"/>
  <c r="X17"/>
  <c r="X23" s="1"/>
  <c r="Q23"/>
  <c r="O23"/>
  <c r="R22"/>
  <c r="R21"/>
  <c r="R20"/>
  <c r="R19"/>
  <c r="R18"/>
  <c r="R17"/>
  <c r="R23" s="1"/>
  <c r="H47"/>
  <c r="H22" s="1"/>
  <c r="H46"/>
  <c r="H21" s="1"/>
  <c r="H45"/>
  <c r="B68" s="1"/>
  <c r="H44"/>
  <c r="B43" s="1"/>
  <c r="H43"/>
  <c r="H18" s="1"/>
  <c r="H42"/>
  <c r="B65" s="1"/>
  <c r="AL67"/>
  <c r="D46" s="1"/>
  <c r="AN66"/>
  <c r="AN65"/>
  <c r="AN64"/>
  <c r="AN63"/>
  <c r="AN62"/>
  <c r="AN61"/>
  <c r="AN60"/>
  <c r="AN59"/>
  <c r="AN58"/>
  <c r="AN57"/>
  <c r="AN56"/>
  <c r="AN55"/>
  <c r="L19"/>
  <c r="L20"/>
  <c r="L21"/>
  <c r="L22"/>
  <c r="L18"/>
  <c r="L17"/>
  <c r="F24"/>
  <c r="E24"/>
  <c r="B17"/>
  <c r="I23"/>
  <c r="K23"/>
  <c r="I16"/>
  <c r="AG67"/>
  <c r="D45" s="1"/>
  <c r="AB67"/>
  <c r="D44" s="1"/>
  <c r="W67"/>
  <c r="G19" s="1"/>
  <c r="M67"/>
  <c r="G17" s="1"/>
  <c r="AI66"/>
  <c r="AD66"/>
  <c r="Y66"/>
  <c r="T66"/>
  <c r="O66"/>
  <c r="AI65"/>
  <c r="AD65"/>
  <c r="Y65"/>
  <c r="T65"/>
  <c r="O65"/>
  <c r="AI64"/>
  <c r="AD64"/>
  <c r="Y64"/>
  <c r="T64"/>
  <c r="O64"/>
  <c r="AI63"/>
  <c r="AD63"/>
  <c r="Y63"/>
  <c r="T63"/>
  <c r="O63"/>
  <c r="AI62"/>
  <c r="AD62"/>
  <c r="Y62"/>
  <c r="T62"/>
  <c r="O62"/>
  <c r="AI61"/>
  <c r="AD61"/>
  <c r="Y61"/>
  <c r="T61"/>
  <c r="O61"/>
  <c r="AI60"/>
  <c r="AD60"/>
  <c r="Y60"/>
  <c r="T60"/>
  <c r="O60"/>
  <c r="AI59"/>
  <c r="AD59"/>
  <c r="Y59"/>
  <c r="T59"/>
  <c r="O59"/>
  <c r="AI58"/>
  <c r="AD58"/>
  <c r="Y58"/>
  <c r="T58"/>
  <c r="O58"/>
  <c r="AI57"/>
  <c r="AD57"/>
  <c r="Y57"/>
  <c r="T57"/>
  <c r="R67"/>
  <c r="D42" s="1"/>
  <c r="O57"/>
  <c r="AI56"/>
  <c r="AD56"/>
  <c r="Y56"/>
  <c r="T56"/>
  <c r="O56"/>
  <c r="AI55"/>
  <c r="AD55"/>
  <c r="Y55"/>
  <c r="T55"/>
  <c r="O55"/>
  <c r="B67"/>
  <c r="AQ11" i="25" l="1"/>
  <c r="AO11"/>
  <c r="O67" i="27"/>
  <c r="E41" s="1"/>
  <c r="G20"/>
  <c r="D43"/>
  <c r="B66"/>
  <c r="H20"/>
  <c r="B41"/>
  <c r="H17"/>
  <c r="G21"/>
  <c r="G18"/>
  <c r="G22"/>
  <c r="D41"/>
  <c r="B70"/>
  <c r="B46"/>
  <c r="B69"/>
  <c r="B45"/>
  <c r="B44"/>
  <c r="H19"/>
  <c r="B42"/>
  <c r="AN67"/>
  <c r="E46" s="1"/>
  <c r="L23"/>
  <c r="T67"/>
  <c r="E42" s="1"/>
  <c r="AD67"/>
  <c r="E44" s="1"/>
  <c r="Y67"/>
  <c r="E43" s="1"/>
  <c r="AI67"/>
  <c r="E45" s="1"/>
  <c r="BI32"/>
  <c r="BJ4" s="1"/>
  <c r="CB6"/>
  <c r="CB8"/>
  <c r="CB12"/>
  <c r="CB17"/>
  <c r="BP21"/>
  <c r="BC32"/>
  <c r="BD4" s="1"/>
  <c r="BD5"/>
  <c r="BD6"/>
  <c r="BD7"/>
  <c r="BD8"/>
  <c r="BD10"/>
  <c r="BD11"/>
  <c r="BD12"/>
  <c r="BD13"/>
  <c r="BD14"/>
  <c r="T4"/>
  <c r="T5"/>
  <c r="T6"/>
  <c r="T7"/>
  <c r="T8"/>
  <c r="T10"/>
  <c r="T11"/>
  <c r="T12"/>
  <c r="T13"/>
  <c r="T14"/>
  <c r="T18"/>
  <c r="T19"/>
  <c r="T20"/>
  <c r="T21"/>
  <c r="T22"/>
  <c r="N5"/>
  <c r="N6"/>
  <c r="N7"/>
  <c r="N8"/>
  <c r="N10"/>
  <c r="N11"/>
  <c r="N12"/>
  <c r="N13"/>
  <c r="N14"/>
  <c r="N18"/>
  <c r="N19"/>
  <c r="N20"/>
  <c r="N21"/>
  <c r="N22"/>
  <c r="N4"/>
  <c r="AV4"/>
  <c r="BB4"/>
  <c r="BH4"/>
  <c r="BN4"/>
  <c r="AV5"/>
  <c r="BB5"/>
  <c r="BH5"/>
  <c r="BN5"/>
  <c r="BT5"/>
  <c r="AV6"/>
  <c r="BB6"/>
  <c r="BH6"/>
  <c r="BN6"/>
  <c r="BT6"/>
  <c r="BZ6"/>
  <c r="AV7"/>
  <c r="BB7"/>
  <c r="BH7"/>
  <c r="BN7"/>
  <c r="BT7"/>
  <c r="BT9" s="1"/>
  <c r="BZ7"/>
  <c r="BZ9" s="1"/>
  <c r="AV8"/>
  <c r="BB8"/>
  <c r="BH8"/>
  <c r="BN8"/>
  <c r="BT8"/>
  <c r="BZ8"/>
  <c r="AS9"/>
  <c r="AU9"/>
  <c r="AY9"/>
  <c r="BA9"/>
  <c r="BE9"/>
  <c r="BG9"/>
  <c r="BK9"/>
  <c r="BM9"/>
  <c r="BQ9"/>
  <c r="BS9"/>
  <c r="BW9"/>
  <c r="BY9"/>
  <c r="AV10"/>
  <c r="BB10"/>
  <c r="BB16" s="1"/>
  <c r="BH10"/>
  <c r="BH16" s="1"/>
  <c r="BN10"/>
  <c r="BN16" s="1"/>
  <c r="BT10"/>
  <c r="BT16" s="1"/>
  <c r="BZ10"/>
  <c r="BZ16" s="1"/>
  <c r="AV11"/>
  <c r="BB11"/>
  <c r="BH11"/>
  <c r="BN11"/>
  <c r="AV12"/>
  <c r="BB12"/>
  <c r="BH12"/>
  <c r="BN12"/>
  <c r="BT12"/>
  <c r="BZ12"/>
  <c r="AV13"/>
  <c r="BB13"/>
  <c r="BH13"/>
  <c r="BN13"/>
  <c r="BT13"/>
  <c r="BZ13"/>
  <c r="AV14"/>
  <c r="BB14"/>
  <c r="BH14"/>
  <c r="BN14"/>
  <c r="BT14"/>
  <c r="BZ14"/>
  <c r="AV15"/>
  <c r="BB15"/>
  <c r="AS16"/>
  <c r="AU16"/>
  <c r="AY16"/>
  <c r="BA16"/>
  <c r="BB27" s="1"/>
  <c r="BE16"/>
  <c r="BG16"/>
  <c r="BK16"/>
  <c r="BK24" s="1"/>
  <c r="BM16"/>
  <c r="BQ16"/>
  <c r="BS16"/>
  <c r="BW16"/>
  <c r="BY16"/>
  <c r="BY24" s="1"/>
  <c r="AD4"/>
  <c r="AJ4"/>
  <c r="AP4"/>
  <c r="AD5"/>
  <c r="AJ5"/>
  <c r="AP5"/>
  <c r="AD6"/>
  <c r="AJ6"/>
  <c r="AP6"/>
  <c r="AD7"/>
  <c r="AJ7"/>
  <c r="AP7"/>
  <c r="AD8"/>
  <c r="AJ8"/>
  <c r="AP8"/>
  <c r="AA9"/>
  <c r="AC9"/>
  <c r="AG9"/>
  <c r="AI9"/>
  <c r="AM9"/>
  <c r="AO9"/>
  <c r="AD10"/>
  <c r="AJ10"/>
  <c r="AP10"/>
  <c r="AD11"/>
  <c r="AJ11"/>
  <c r="AP11"/>
  <c r="AD12"/>
  <c r="AJ12"/>
  <c r="AP12"/>
  <c r="AD13"/>
  <c r="AJ13"/>
  <c r="AP13"/>
  <c r="AD14"/>
  <c r="AJ14"/>
  <c r="AP14"/>
  <c r="AD15"/>
  <c r="AJ15"/>
  <c r="AP15"/>
  <c r="AA16"/>
  <c r="AC16"/>
  <c r="AG16"/>
  <c r="AI16"/>
  <c r="AM16"/>
  <c r="AO16"/>
  <c r="W16"/>
  <c r="U16"/>
  <c r="X15"/>
  <c r="X14"/>
  <c r="X13"/>
  <c r="X12"/>
  <c r="X11"/>
  <c r="X10"/>
  <c r="W9"/>
  <c r="W24" s="1"/>
  <c r="X27" s="1"/>
  <c r="U9"/>
  <c r="X8"/>
  <c r="X7"/>
  <c r="X6"/>
  <c r="X5"/>
  <c r="X4"/>
  <c r="Q16"/>
  <c r="O16"/>
  <c r="R15"/>
  <c r="R14"/>
  <c r="R13"/>
  <c r="R12"/>
  <c r="R11"/>
  <c r="R10"/>
  <c r="Q9"/>
  <c r="O9"/>
  <c r="R8"/>
  <c r="R7"/>
  <c r="R6"/>
  <c r="R5"/>
  <c r="R4"/>
  <c r="K16"/>
  <c r="L27" s="1"/>
  <c r="I9"/>
  <c r="L15"/>
  <c r="L14"/>
  <c r="L13"/>
  <c r="L12"/>
  <c r="L5"/>
  <c r="L6"/>
  <c r="L7"/>
  <c r="L8"/>
  <c r="L10"/>
  <c r="L4"/>
  <c r="H14"/>
  <c r="H41" s="1"/>
  <c r="H13"/>
  <c r="H40" s="1"/>
  <c r="H12"/>
  <c r="H39" s="1"/>
  <c r="H11"/>
  <c r="H38" s="1"/>
  <c r="H10"/>
  <c r="H37" s="1"/>
  <c r="H8"/>
  <c r="H36" s="1"/>
  <c r="H7"/>
  <c r="H35" s="1"/>
  <c r="H6"/>
  <c r="H34" s="1"/>
  <c r="H5"/>
  <c r="H33" s="1"/>
  <c r="B10"/>
  <c r="B4"/>
  <c r="H4"/>
  <c r="H32" s="1"/>
  <c r="AG86"/>
  <c r="R134"/>
  <c r="T134" s="1"/>
  <c r="AH76"/>
  <c r="AI76" s="1"/>
  <c r="AI85"/>
  <c r="AI84"/>
  <c r="AI83"/>
  <c r="AI82"/>
  <c r="AI81"/>
  <c r="AI80"/>
  <c r="AI79"/>
  <c r="AI78"/>
  <c r="AI77"/>
  <c r="AI75"/>
  <c r="AI74"/>
  <c r="S132"/>
  <c r="T133"/>
  <c r="R132"/>
  <c r="R130"/>
  <c r="T130" s="1"/>
  <c r="R128"/>
  <c r="T128" s="1"/>
  <c r="T129"/>
  <c r="T131"/>
  <c r="R127"/>
  <c r="T127" s="1"/>
  <c r="K6" i="19"/>
  <c r="X95" i="27"/>
  <c r="Y95" s="1"/>
  <c r="N94"/>
  <c r="AB86"/>
  <c r="S77"/>
  <c r="T77" s="1"/>
  <c r="S76"/>
  <c r="R76"/>
  <c r="R86" s="1"/>
  <c r="S74"/>
  <c r="T74" s="1"/>
  <c r="T94"/>
  <c r="AG105"/>
  <c r="AB105"/>
  <c r="W105"/>
  <c r="R105"/>
  <c r="M105"/>
  <c r="AI104"/>
  <c r="AD104"/>
  <c r="Y104"/>
  <c r="T104"/>
  <c r="O104"/>
  <c r="AI103"/>
  <c r="AD103"/>
  <c r="Y103"/>
  <c r="T103"/>
  <c r="O103"/>
  <c r="AI102"/>
  <c r="AD102"/>
  <c r="Y102"/>
  <c r="T102"/>
  <c r="O102"/>
  <c r="AI101"/>
  <c r="AD101"/>
  <c r="Y101"/>
  <c r="T101"/>
  <c r="O101"/>
  <c r="AI100"/>
  <c r="AD100"/>
  <c r="Y100"/>
  <c r="T100"/>
  <c r="O100"/>
  <c r="AI99"/>
  <c r="AD99"/>
  <c r="Y99"/>
  <c r="T99"/>
  <c r="O99"/>
  <c r="AI98"/>
  <c r="AD98"/>
  <c r="Y98"/>
  <c r="T98"/>
  <c r="O98"/>
  <c r="AI97"/>
  <c r="AD97"/>
  <c r="Y97"/>
  <c r="T97"/>
  <c r="O97"/>
  <c r="AI96"/>
  <c r="AD96"/>
  <c r="Y96"/>
  <c r="T96"/>
  <c r="O96"/>
  <c r="AI95"/>
  <c r="AD95"/>
  <c r="T95"/>
  <c r="O95"/>
  <c r="AI94"/>
  <c r="AD94"/>
  <c r="Y94"/>
  <c r="O94"/>
  <c r="AI93"/>
  <c r="AD93"/>
  <c r="Y93"/>
  <c r="T93"/>
  <c r="O93"/>
  <c r="Z91"/>
  <c r="U91"/>
  <c r="W86"/>
  <c r="M86"/>
  <c r="AD85"/>
  <c r="Y85"/>
  <c r="T85"/>
  <c r="O85"/>
  <c r="AD84"/>
  <c r="Y84"/>
  <c r="T84"/>
  <c r="O84"/>
  <c r="AD83"/>
  <c r="Y83"/>
  <c r="T83"/>
  <c r="O83"/>
  <c r="AD82"/>
  <c r="Y82"/>
  <c r="T82"/>
  <c r="O82"/>
  <c r="AD81"/>
  <c r="Y81"/>
  <c r="T81"/>
  <c r="O81"/>
  <c r="AD80"/>
  <c r="Y80"/>
  <c r="T80"/>
  <c r="O80"/>
  <c r="AD79"/>
  <c r="Y79"/>
  <c r="T79"/>
  <c r="O79"/>
  <c r="AD78"/>
  <c r="Y78"/>
  <c r="T78"/>
  <c r="O78"/>
  <c r="AD77"/>
  <c r="Y77"/>
  <c r="O77"/>
  <c r="AD76"/>
  <c r="Y76"/>
  <c r="O76"/>
  <c r="AD75"/>
  <c r="Y75"/>
  <c r="T75"/>
  <c r="O75"/>
  <c r="AD74"/>
  <c r="Y74"/>
  <c r="O74"/>
  <c r="I17" i="1"/>
  <c r="AU55" i="27" l="1"/>
  <c r="BF60"/>
  <c r="BH60" s="1"/>
  <c r="BW24"/>
  <c r="BN9"/>
  <c r="BM24"/>
  <c r="BN27" s="1"/>
  <c r="AV16"/>
  <c r="AP16"/>
  <c r="AD9"/>
  <c r="AJ16"/>
  <c r="AJ9"/>
  <c r="X9"/>
  <c r="AD16"/>
  <c r="X16"/>
  <c r="R16"/>
  <c r="Q24"/>
  <c r="R27" s="1"/>
  <c r="BH27"/>
  <c r="BH9"/>
  <c r="M19"/>
  <c r="AQ19"/>
  <c r="AE19"/>
  <c r="S19"/>
  <c r="AW19"/>
  <c r="AK19"/>
  <c r="Y19"/>
  <c r="BB9"/>
  <c r="C46"/>
  <c r="M22"/>
  <c r="C45"/>
  <c r="M21"/>
  <c r="C44"/>
  <c r="M20"/>
  <c r="C42"/>
  <c r="M18"/>
  <c r="M15"/>
  <c r="C41"/>
  <c r="M17"/>
  <c r="AU24"/>
  <c r="AV27" s="1"/>
  <c r="AI24"/>
  <c r="AJ27" s="1"/>
  <c r="AY24"/>
  <c r="AO24"/>
  <c r="AP27" s="1"/>
  <c r="BE24"/>
  <c r="AC24"/>
  <c r="AD27" s="1"/>
  <c r="C43"/>
  <c r="C17"/>
  <c r="G5"/>
  <c r="D32"/>
  <c r="G8"/>
  <c r="D35"/>
  <c r="G10"/>
  <c r="D36"/>
  <c r="G14"/>
  <c r="D40"/>
  <c r="BT27"/>
  <c r="T15"/>
  <c r="T17"/>
  <c r="T24" s="1"/>
  <c r="Z24"/>
  <c r="AL24"/>
  <c r="AX24"/>
  <c r="BJ24"/>
  <c r="G6"/>
  <c r="D33"/>
  <c r="G13"/>
  <c r="D39"/>
  <c r="N17"/>
  <c r="N24" s="1"/>
  <c r="N15"/>
  <c r="G11"/>
  <c r="D37"/>
  <c r="G12"/>
  <c r="D38"/>
  <c r="G7"/>
  <c r="D34"/>
  <c r="BZ27"/>
  <c r="AF24"/>
  <c r="AR24"/>
  <c r="CB24"/>
  <c r="BP24"/>
  <c r="G4"/>
  <c r="D31"/>
  <c r="B63"/>
  <c r="B39"/>
  <c r="B37"/>
  <c r="B61"/>
  <c r="B58"/>
  <c r="B34"/>
  <c r="B62"/>
  <c r="B38"/>
  <c r="B33"/>
  <c r="B57"/>
  <c r="B35"/>
  <c r="B59"/>
  <c r="B55"/>
  <c r="B31"/>
  <c r="B32"/>
  <c r="B56"/>
  <c r="B60"/>
  <c r="B36"/>
  <c r="B64"/>
  <c r="B40"/>
  <c r="R9"/>
  <c r="AP9"/>
  <c r="AV9"/>
  <c r="L9"/>
  <c r="T132"/>
  <c r="T135" s="1"/>
  <c r="AI86"/>
  <c r="E35" s="1"/>
  <c r="T76"/>
  <c r="T86" s="1"/>
  <c r="E32" s="1"/>
  <c r="O105"/>
  <c r="E36" s="1"/>
  <c r="AI105"/>
  <c r="E40" s="1"/>
  <c r="T105"/>
  <c r="E37" s="1"/>
  <c r="Y86"/>
  <c r="E33" s="1"/>
  <c r="AD86"/>
  <c r="E34" s="1"/>
  <c r="AD105"/>
  <c r="E39" s="1"/>
  <c r="Y105"/>
  <c r="E38" s="1"/>
  <c r="O86"/>
  <c r="E31" s="1"/>
  <c r="AL47" i="19"/>
  <c r="AB48"/>
  <c r="E63" i="11"/>
  <c r="AK62"/>
  <c r="AJ62"/>
  <c r="AI62"/>
  <c r="AH62"/>
  <c r="AG62"/>
  <c r="AF62"/>
  <c r="AE62"/>
  <c r="AD62"/>
  <c r="AC62"/>
  <c r="AB62"/>
  <c r="AA62"/>
  <c r="Z62"/>
  <c r="U62"/>
  <c r="T62"/>
  <c r="S62"/>
  <c r="R62"/>
  <c r="Q62"/>
  <c r="P62"/>
  <c r="O62"/>
  <c r="N62"/>
  <c r="M62"/>
  <c r="L62"/>
  <c r="K62"/>
  <c r="J62"/>
  <c r="H62"/>
  <c r="G62"/>
  <c r="AN62" s="1"/>
  <c r="AK61"/>
  <c r="AJ61"/>
  <c r="AI61"/>
  <c r="AH61"/>
  <c r="AG61"/>
  <c r="AF61"/>
  <c r="AE61"/>
  <c r="AD61"/>
  <c r="AC61"/>
  <c r="AB61"/>
  <c r="AA61"/>
  <c r="Z61"/>
  <c r="W61"/>
  <c r="U61"/>
  <c r="T61"/>
  <c r="S61"/>
  <c r="R61"/>
  <c r="Q61"/>
  <c r="P61"/>
  <c r="O61"/>
  <c r="N61"/>
  <c r="M61"/>
  <c r="L61"/>
  <c r="K61"/>
  <c r="J61"/>
  <c r="H61"/>
  <c r="G61"/>
  <c r="AK60"/>
  <c r="AJ60"/>
  <c r="AI60"/>
  <c r="AH60"/>
  <c r="AG60"/>
  <c r="AF60"/>
  <c r="AE60"/>
  <c r="AD60"/>
  <c r="AC60"/>
  <c r="AB60"/>
  <c r="AA60"/>
  <c r="Z60"/>
  <c r="U60"/>
  <c r="T60"/>
  <c r="S60"/>
  <c r="R60"/>
  <c r="Q60"/>
  <c r="P60"/>
  <c r="O60"/>
  <c r="N60"/>
  <c r="M60"/>
  <c r="L60"/>
  <c r="K60"/>
  <c r="J60"/>
  <c r="H60"/>
  <c r="G60"/>
  <c r="AK59"/>
  <c r="AJ59"/>
  <c r="AI59"/>
  <c r="AH59"/>
  <c r="AG59"/>
  <c r="AF59"/>
  <c r="AE59"/>
  <c r="AD59"/>
  <c r="AC59"/>
  <c r="AB59"/>
  <c r="AA59"/>
  <c r="Z59"/>
  <c r="U59"/>
  <c r="T59"/>
  <c r="S59"/>
  <c r="R59"/>
  <c r="Q59"/>
  <c r="P59"/>
  <c r="O59"/>
  <c r="N59"/>
  <c r="M59"/>
  <c r="L59"/>
  <c r="K59"/>
  <c r="J59"/>
  <c r="H59"/>
  <c r="G59"/>
  <c r="AN58"/>
  <c r="AK58"/>
  <c r="AJ58"/>
  <c r="AI58"/>
  <c r="AH58"/>
  <c r="AG58"/>
  <c r="AF58"/>
  <c r="AE58"/>
  <c r="AD58"/>
  <c r="AC58"/>
  <c r="AB58"/>
  <c r="AA58"/>
  <c r="Z58"/>
  <c r="U58"/>
  <c r="T58"/>
  <c r="S58"/>
  <c r="R58"/>
  <c r="Q58"/>
  <c r="P58"/>
  <c r="O58"/>
  <c r="N58"/>
  <c r="M58"/>
  <c r="L58"/>
  <c r="K58"/>
  <c r="J58"/>
  <c r="H58"/>
  <c r="G58"/>
  <c r="AK57"/>
  <c r="AJ57"/>
  <c r="AI57"/>
  <c r="AH57"/>
  <c r="AG57"/>
  <c r="AF57"/>
  <c r="AE57"/>
  <c r="AD57"/>
  <c r="AC57"/>
  <c r="AB57"/>
  <c r="AA57"/>
  <c r="Z57"/>
  <c r="W57"/>
  <c r="U57"/>
  <c r="T57"/>
  <c r="S57"/>
  <c r="R57"/>
  <c r="Q57"/>
  <c r="P57"/>
  <c r="O57"/>
  <c r="N57"/>
  <c r="M57"/>
  <c r="L57"/>
  <c r="K57"/>
  <c r="J57"/>
  <c r="H57"/>
  <c r="G57"/>
  <c r="AL56"/>
  <c r="AK56"/>
  <c r="AJ56"/>
  <c r="AI56"/>
  <c r="AH56"/>
  <c r="AG56"/>
  <c r="AF56"/>
  <c r="AE56"/>
  <c r="AD56"/>
  <c r="AC56"/>
  <c r="AB56"/>
  <c r="AA56"/>
  <c r="Z56"/>
  <c r="U56"/>
  <c r="T56"/>
  <c r="S56"/>
  <c r="R56"/>
  <c r="Q56"/>
  <c r="P56"/>
  <c r="O56"/>
  <c r="N56"/>
  <c r="M56"/>
  <c r="L56"/>
  <c r="K56"/>
  <c r="J56"/>
  <c r="H56"/>
  <c r="G56"/>
  <c r="AK55"/>
  <c r="AJ55"/>
  <c r="AI55"/>
  <c r="AH55"/>
  <c r="AG55"/>
  <c r="AF55"/>
  <c r="AE55"/>
  <c r="AD55"/>
  <c r="AC55"/>
  <c r="AB55"/>
  <c r="AA55"/>
  <c r="Z55"/>
  <c r="U55"/>
  <c r="T55"/>
  <c r="S55"/>
  <c r="R55"/>
  <c r="Q55"/>
  <c r="P55"/>
  <c r="O55"/>
  <c r="N55"/>
  <c r="M55"/>
  <c r="L55"/>
  <c r="K55"/>
  <c r="J55"/>
  <c r="H55"/>
  <c r="G55"/>
  <c r="AN54"/>
  <c r="AK54"/>
  <c r="AJ54"/>
  <c r="AI54"/>
  <c r="AH54"/>
  <c r="AG54"/>
  <c r="AF54"/>
  <c r="AE54"/>
  <c r="AD54"/>
  <c r="AC54"/>
  <c r="AB54"/>
  <c r="AA54"/>
  <c r="Z54"/>
  <c r="U54"/>
  <c r="T54"/>
  <c r="S54"/>
  <c r="R54"/>
  <c r="Q54"/>
  <c r="P54"/>
  <c r="O54"/>
  <c r="N54"/>
  <c r="M54"/>
  <c r="L54"/>
  <c r="K54"/>
  <c r="J54"/>
  <c r="H54"/>
  <c r="G54"/>
  <c r="AK53"/>
  <c r="AJ53"/>
  <c r="AI53"/>
  <c r="AH53"/>
  <c r="AG53"/>
  <c r="AF53"/>
  <c r="AE53"/>
  <c r="AD53"/>
  <c r="AC53"/>
  <c r="AB53"/>
  <c r="AA53"/>
  <c r="Z53"/>
  <c r="W53"/>
  <c r="U53"/>
  <c r="T53"/>
  <c r="S53"/>
  <c r="R53"/>
  <c r="Q53"/>
  <c r="P53"/>
  <c r="O53"/>
  <c r="N53"/>
  <c r="M53"/>
  <c r="L53"/>
  <c r="K53"/>
  <c r="J53"/>
  <c r="H53"/>
  <c r="G53"/>
  <c r="AK52"/>
  <c r="AJ52"/>
  <c r="AI52"/>
  <c r="AH52"/>
  <c r="AG52"/>
  <c r="AF52"/>
  <c r="AE52"/>
  <c r="AD52"/>
  <c r="AC52"/>
  <c r="AB52"/>
  <c r="AA52"/>
  <c r="Z52"/>
  <c r="U52"/>
  <c r="T52"/>
  <c r="S52"/>
  <c r="R52"/>
  <c r="Q52"/>
  <c r="P52"/>
  <c r="O52"/>
  <c r="N52"/>
  <c r="M52"/>
  <c r="L52"/>
  <c r="K52"/>
  <c r="J52"/>
  <c r="H52"/>
  <c r="G52"/>
  <c r="AK51"/>
  <c r="AJ51"/>
  <c r="AI51"/>
  <c r="AH51"/>
  <c r="AG51"/>
  <c r="AF51"/>
  <c r="AE51"/>
  <c r="AD51"/>
  <c r="AC51"/>
  <c r="AB51"/>
  <c r="AA51"/>
  <c r="Z51"/>
  <c r="U51"/>
  <c r="T51"/>
  <c r="S51"/>
  <c r="R51"/>
  <c r="Q51"/>
  <c r="P51"/>
  <c r="O51"/>
  <c r="N51"/>
  <c r="M51"/>
  <c r="L51"/>
  <c r="K51"/>
  <c r="J51"/>
  <c r="H51"/>
  <c r="G51"/>
  <c r="AN50"/>
  <c r="AK50"/>
  <c r="AJ50"/>
  <c r="AI50"/>
  <c r="AH50"/>
  <c r="AG50"/>
  <c r="AF50"/>
  <c r="AE50"/>
  <c r="AD50"/>
  <c r="AC50"/>
  <c r="AB50"/>
  <c r="AA50"/>
  <c r="Z50"/>
  <c r="U50"/>
  <c r="T50"/>
  <c r="S50"/>
  <c r="R50"/>
  <c r="Q50"/>
  <c r="P50"/>
  <c r="O50"/>
  <c r="N50"/>
  <c r="M50"/>
  <c r="L50"/>
  <c r="K50"/>
  <c r="J50"/>
  <c r="H50"/>
  <c r="G50"/>
  <c r="AK49"/>
  <c r="AJ49"/>
  <c r="AI49"/>
  <c r="AH49"/>
  <c r="AG49"/>
  <c r="AF49"/>
  <c r="AE49"/>
  <c r="AD49"/>
  <c r="AC49"/>
  <c r="AB49"/>
  <c r="AA49"/>
  <c r="Z49"/>
  <c r="U49"/>
  <c r="T49"/>
  <c r="S49"/>
  <c r="R49"/>
  <c r="Q49"/>
  <c r="P49"/>
  <c r="O49"/>
  <c r="N49"/>
  <c r="M49"/>
  <c r="L49"/>
  <c r="K49"/>
  <c r="J49"/>
  <c r="H49"/>
  <c r="G49"/>
  <c r="AK48"/>
  <c r="AJ48"/>
  <c r="AI48"/>
  <c r="AH48"/>
  <c r="AG48"/>
  <c r="AF48"/>
  <c r="AE48"/>
  <c r="AD48"/>
  <c r="AC48"/>
  <c r="AB48"/>
  <c r="AA48"/>
  <c r="Z48"/>
  <c r="U48"/>
  <c r="T48"/>
  <c r="S48"/>
  <c r="R48"/>
  <c r="Q48"/>
  <c r="P48"/>
  <c r="O48"/>
  <c r="N48"/>
  <c r="M48"/>
  <c r="L48"/>
  <c r="K48"/>
  <c r="J48"/>
  <c r="H48"/>
  <c r="G48"/>
  <c r="AK47"/>
  <c r="AJ47"/>
  <c r="AI47"/>
  <c r="AH47"/>
  <c r="AG47"/>
  <c r="AF47"/>
  <c r="AE47"/>
  <c r="AD47"/>
  <c r="AC47"/>
  <c r="AB47"/>
  <c r="AA47"/>
  <c r="Z47"/>
  <c r="U47"/>
  <c r="T47"/>
  <c r="S47"/>
  <c r="R47"/>
  <c r="Q47"/>
  <c r="P47"/>
  <c r="O47"/>
  <c r="N47"/>
  <c r="M47"/>
  <c r="L47"/>
  <c r="K47"/>
  <c r="J47"/>
  <c r="H47"/>
  <c r="G47"/>
  <c r="AN47" s="1"/>
  <c r="AK46"/>
  <c r="AJ46"/>
  <c r="AI46"/>
  <c r="AH46"/>
  <c r="AG46"/>
  <c r="AF46"/>
  <c r="AE46"/>
  <c r="AD46"/>
  <c r="AC46"/>
  <c r="AB46"/>
  <c r="AA46"/>
  <c r="Z46"/>
  <c r="W46"/>
  <c r="U46"/>
  <c r="T46"/>
  <c r="S46"/>
  <c r="R46"/>
  <c r="Q46"/>
  <c r="P46"/>
  <c r="O46"/>
  <c r="N46"/>
  <c r="M46"/>
  <c r="L46"/>
  <c r="K46"/>
  <c r="J46"/>
  <c r="H46"/>
  <c r="G46"/>
  <c r="AK45"/>
  <c r="AJ45"/>
  <c r="AI45"/>
  <c r="AH45"/>
  <c r="AG45"/>
  <c r="AF45"/>
  <c r="AE45"/>
  <c r="AD45"/>
  <c r="AC45"/>
  <c r="AB45"/>
  <c r="AA45"/>
  <c r="Z45"/>
  <c r="U45"/>
  <c r="T45"/>
  <c r="S45"/>
  <c r="R45"/>
  <c r="Q45"/>
  <c r="P45"/>
  <c r="O45"/>
  <c r="N45"/>
  <c r="M45"/>
  <c r="L45"/>
  <c r="K45"/>
  <c r="J45"/>
  <c r="H45"/>
  <c r="G45"/>
  <c r="AK44"/>
  <c r="AJ44"/>
  <c r="AI44"/>
  <c r="AH44"/>
  <c r="AG44"/>
  <c r="AF44"/>
  <c r="AE44"/>
  <c r="AD44"/>
  <c r="AC44"/>
  <c r="AB44"/>
  <c r="AA44"/>
  <c r="Z44"/>
  <c r="W44"/>
  <c r="U44"/>
  <c r="T44"/>
  <c r="S44"/>
  <c r="R44"/>
  <c r="Q44"/>
  <c r="P44"/>
  <c r="O44"/>
  <c r="N44"/>
  <c r="M44"/>
  <c r="L44"/>
  <c r="K44"/>
  <c r="J44"/>
  <c r="H44"/>
  <c r="G44"/>
  <c r="AK43"/>
  <c r="AJ43"/>
  <c r="AI43"/>
  <c r="AH43"/>
  <c r="AG43"/>
  <c r="AF43"/>
  <c r="AE43"/>
  <c r="AD43"/>
  <c r="AC43"/>
  <c r="AB43"/>
  <c r="AA43"/>
  <c r="Z43"/>
  <c r="U43"/>
  <c r="T43"/>
  <c r="S43"/>
  <c r="R43"/>
  <c r="Q43"/>
  <c r="P43"/>
  <c r="O43"/>
  <c r="N43"/>
  <c r="M43"/>
  <c r="L43"/>
  <c r="K43"/>
  <c r="J43"/>
  <c r="H43"/>
  <c r="G43"/>
  <c r="AN43" s="1"/>
  <c r="AK42"/>
  <c r="AJ42"/>
  <c r="AI42"/>
  <c r="AH42"/>
  <c r="AG42"/>
  <c r="AF42"/>
  <c r="AE42"/>
  <c r="AD42"/>
  <c r="AC42"/>
  <c r="AB42"/>
  <c r="AA42"/>
  <c r="Z42"/>
  <c r="W42"/>
  <c r="U42"/>
  <c r="T42"/>
  <c r="S42"/>
  <c r="R42"/>
  <c r="Q42"/>
  <c r="P42"/>
  <c r="O42"/>
  <c r="N42"/>
  <c r="M42"/>
  <c r="L42"/>
  <c r="K42"/>
  <c r="J42"/>
  <c r="H42"/>
  <c r="G42"/>
  <c r="AK41"/>
  <c r="AJ41"/>
  <c r="AI41"/>
  <c r="AH41"/>
  <c r="AG41"/>
  <c r="AF41"/>
  <c r="AE41"/>
  <c r="AD41"/>
  <c r="AC41"/>
  <c r="AB41"/>
  <c r="AA41"/>
  <c r="Z41"/>
  <c r="U41"/>
  <c r="T41"/>
  <c r="S41"/>
  <c r="R41"/>
  <c r="Q41"/>
  <c r="P41"/>
  <c r="O41"/>
  <c r="N41"/>
  <c r="M41"/>
  <c r="L41"/>
  <c r="K41"/>
  <c r="J41"/>
  <c r="H41"/>
  <c r="G41"/>
  <c r="AN41" s="1"/>
  <c r="AK40"/>
  <c r="AJ40"/>
  <c r="AI40"/>
  <c r="AH40"/>
  <c r="AG40"/>
  <c r="AF40"/>
  <c r="AE40"/>
  <c r="AD40"/>
  <c r="AC40"/>
  <c r="AB40"/>
  <c r="AA40"/>
  <c r="Z40"/>
  <c r="U40"/>
  <c r="T40"/>
  <c r="S40"/>
  <c r="R40"/>
  <c r="Q40"/>
  <c r="P40"/>
  <c r="O40"/>
  <c r="N40"/>
  <c r="M40"/>
  <c r="L40"/>
  <c r="K40"/>
  <c r="J40"/>
  <c r="H40"/>
  <c r="G40"/>
  <c r="AK39"/>
  <c r="AJ39"/>
  <c r="AI39"/>
  <c r="AH39"/>
  <c r="AG39"/>
  <c r="AF39"/>
  <c r="AE39"/>
  <c r="AD39"/>
  <c r="AC39"/>
  <c r="AB39"/>
  <c r="AA39"/>
  <c r="Z39"/>
  <c r="U39"/>
  <c r="T39"/>
  <c r="S39"/>
  <c r="R39"/>
  <c r="Q39"/>
  <c r="P39"/>
  <c r="O39"/>
  <c r="N39"/>
  <c r="M39"/>
  <c r="L39"/>
  <c r="K39"/>
  <c r="J39"/>
  <c r="H39"/>
  <c r="G39"/>
  <c r="AN39" s="1"/>
  <c r="AK38"/>
  <c r="AJ38"/>
  <c r="AI38"/>
  <c r="AH38"/>
  <c r="AG38"/>
  <c r="AF38"/>
  <c r="AE38"/>
  <c r="AD38"/>
  <c r="AC38"/>
  <c r="AB38"/>
  <c r="AA38"/>
  <c r="Z38"/>
  <c r="W38"/>
  <c r="U38"/>
  <c r="T38"/>
  <c r="S38"/>
  <c r="R38"/>
  <c r="Q38"/>
  <c r="P38"/>
  <c r="O38"/>
  <c r="N38"/>
  <c r="M38"/>
  <c r="L38"/>
  <c r="K38"/>
  <c r="J38"/>
  <c r="H38"/>
  <c r="G38"/>
  <c r="AK37"/>
  <c r="AJ37"/>
  <c r="AI37"/>
  <c r="AH37"/>
  <c r="AG37"/>
  <c r="AF37"/>
  <c r="AE37"/>
  <c r="AD37"/>
  <c r="AC37"/>
  <c r="AB37"/>
  <c r="AA37"/>
  <c r="Z37"/>
  <c r="U37"/>
  <c r="T37"/>
  <c r="S37"/>
  <c r="R37"/>
  <c r="Q37"/>
  <c r="P37"/>
  <c r="O37"/>
  <c r="N37"/>
  <c r="M37"/>
  <c r="L37"/>
  <c r="K37"/>
  <c r="J37"/>
  <c r="H37"/>
  <c r="G37"/>
  <c r="AK36"/>
  <c r="AJ36"/>
  <c r="AI36"/>
  <c r="AH36"/>
  <c r="AG36"/>
  <c r="AF36"/>
  <c r="AE36"/>
  <c r="AD36"/>
  <c r="AC36"/>
  <c r="AB36"/>
  <c r="AA36"/>
  <c r="Z36"/>
  <c r="W36"/>
  <c r="U36"/>
  <c r="T36"/>
  <c r="S36"/>
  <c r="R36"/>
  <c r="Q36"/>
  <c r="P36"/>
  <c r="O36"/>
  <c r="N36"/>
  <c r="M36"/>
  <c r="L36"/>
  <c r="K36"/>
  <c r="J36"/>
  <c r="H36"/>
  <c r="G36"/>
  <c r="AK35"/>
  <c r="AJ35"/>
  <c r="AI35"/>
  <c r="AH35"/>
  <c r="AG35"/>
  <c r="AF35"/>
  <c r="AE35"/>
  <c r="AD35"/>
  <c r="AC35"/>
  <c r="AB35"/>
  <c r="AA35"/>
  <c r="Z35"/>
  <c r="V35"/>
  <c r="U35"/>
  <c r="T35"/>
  <c r="S35"/>
  <c r="R35"/>
  <c r="Q35"/>
  <c r="P35"/>
  <c r="O35"/>
  <c r="N35"/>
  <c r="M35"/>
  <c r="L35"/>
  <c r="K35"/>
  <c r="J35"/>
  <c r="AN35"/>
  <c r="AM34"/>
  <c r="AK34"/>
  <c r="AJ34"/>
  <c r="AI34"/>
  <c r="AH34"/>
  <c r="AG34"/>
  <c r="AF34"/>
  <c r="AE34"/>
  <c r="AD34"/>
  <c r="AC34"/>
  <c r="AB34"/>
  <c r="AA34"/>
  <c r="Z34"/>
  <c r="U34"/>
  <c r="T34"/>
  <c r="S34"/>
  <c r="R34"/>
  <c r="Q34"/>
  <c r="P34"/>
  <c r="O34"/>
  <c r="N34"/>
  <c r="M34"/>
  <c r="L34"/>
  <c r="K34"/>
  <c r="J34"/>
  <c r="AN33"/>
  <c r="AK33"/>
  <c r="AJ33"/>
  <c r="AI33"/>
  <c r="AH33"/>
  <c r="AG33"/>
  <c r="AF33"/>
  <c r="AE33"/>
  <c r="AD33"/>
  <c r="AC33"/>
  <c r="AB33"/>
  <c r="AA33"/>
  <c r="Z33"/>
  <c r="U33"/>
  <c r="T33"/>
  <c r="S33"/>
  <c r="R33"/>
  <c r="Q33"/>
  <c r="P33"/>
  <c r="O33"/>
  <c r="N33"/>
  <c r="M33"/>
  <c r="L33"/>
  <c r="K33"/>
  <c r="J33"/>
  <c r="AL32"/>
  <c r="AK32"/>
  <c r="AJ32"/>
  <c r="AI32"/>
  <c r="AH32"/>
  <c r="AG32"/>
  <c r="AF32"/>
  <c r="AE32"/>
  <c r="AD32"/>
  <c r="AC32"/>
  <c r="AB32"/>
  <c r="AA32"/>
  <c r="Z32"/>
  <c r="W32"/>
  <c r="U32"/>
  <c r="T32"/>
  <c r="S32"/>
  <c r="R32"/>
  <c r="Q32"/>
  <c r="P32"/>
  <c r="O32"/>
  <c r="N32"/>
  <c r="M32"/>
  <c r="L32"/>
  <c r="K32"/>
  <c r="J32"/>
  <c r="AN31"/>
  <c r="AK31"/>
  <c r="AJ31"/>
  <c r="AI31"/>
  <c r="AH31"/>
  <c r="AG31"/>
  <c r="AF31"/>
  <c r="AE31"/>
  <c r="AD31"/>
  <c r="AC31"/>
  <c r="AB31"/>
  <c r="AA31"/>
  <c r="Z31"/>
  <c r="V31"/>
  <c r="U31"/>
  <c r="T31"/>
  <c r="S31"/>
  <c r="R31"/>
  <c r="Q31"/>
  <c r="P31"/>
  <c r="O31"/>
  <c r="N31"/>
  <c r="M31"/>
  <c r="L31"/>
  <c r="K31"/>
  <c r="J31"/>
  <c r="AK30"/>
  <c r="AJ30"/>
  <c r="AI30"/>
  <c r="AH30"/>
  <c r="AG30"/>
  <c r="AF30"/>
  <c r="AE30"/>
  <c r="AD30"/>
  <c r="AC30"/>
  <c r="AB30"/>
  <c r="AA30"/>
  <c r="Z30"/>
  <c r="U30"/>
  <c r="T30"/>
  <c r="S30"/>
  <c r="R30"/>
  <c r="Q30"/>
  <c r="P30"/>
  <c r="O30"/>
  <c r="N30"/>
  <c r="M30"/>
  <c r="L30"/>
  <c r="K30"/>
  <c r="J30"/>
  <c r="AN30"/>
  <c r="AM29"/>
  <c r="AK29"/>
  <c r="AJ29"/>
  <c r="AI29"/>
  <c r="AH29"/>
  <c r="AG29"/>
  <c r="AF29"/>
  <c r="AE29"/>
  <c r="AD29"/>
  <c r="AC29"/>
  <c r="AB29"/>
  <c r="AA29"/>
  <c r="Z29"/>
  <c r="U29"/>
  <c r="T29"/>
  <c r="S29"/>
  <c r="R29"/>
  <c r="Q29"/>
  <c r="P29"/>
  <c r="O29"/>
  <c r="N29"/>
  <c r="M29"/>
  <c r="L29"/>
  <c r="K29"/>
  <c r="J29"/>
  <c r="AW28"/>
  <c r="AW31" s="1"/>
  <c r="AZ26" s="1"/>
  <c r="AN28"/>
  <c r="AK28"/>
  <c r="AJ28"/>
  <c r="AI28"/>
  <c r="AH28"/>
  <c r="AG28"/>
  <c r="AF28"/>
  <c r="AE28"/>
  <c r="AD28"/>
  <c r="AC28"/>
  <c r="AB28"/>
  <c r="AA28"/>
  <c r="Z28"/>
  <c r="V28"/>
  <c r="U28"/>
  <c r="T28"/>
  <c r="S28"/>
  <c r="R28"/>
  <c r="Q28"/>
  <c r="P28"/>
  <c r="O28"/>
  <c r="N28"/>
  <c r="M28"/>
  <c r="L28"/>
  <c r="K28"/>
  <c r="J28"/>
  <c r="AK27"/>
  <c r="AJ27"/>
  <c r="AI27"/>
  <c r="AH27"/>
  <c r="AG27"/>
  <c r="AF27"/>
  <c r="AE27"/>
  <c r="AD27"/>
  <c r="AC27"/>
  <c r="AB27"/>
  <c r="AA27"/>
  <c r="Z27"/>
  <c r="W27"/>
  <c r="U27"/>
  <c r="T27"/>
  <c r="S27"/>
  <c r="R27"/>
  <c r="Q27"/>
  <c r="P27"/>
  <c r="O27"/>
  <c r="N27"/>
  <c r="M27"/>
  <c r="L27"/>
  <c r="K27"/>
  <c r="J27"/>
  <c r="AN26"/>
  <c r="AK26"/>
  <c r="AJ26"/>
  <c r="AI26"/>
  <c r="AH26"/>
  <c r="AG26"/>
  <c r="AF26"/>
  <c r="AE26"/>
  <c r="AD26"/>
  <c r="AC26"/>
  <c r="AB26"/>
  <c r="AA26"/>
  <c r="Z26"/>
  <c r="U26"/>
  <c r="T26"/>
  <c r="S26"/>
  <c r="R26"/>
  <c r="Q26"/>
  <c r="P26"/>
  <c r="O26"/>
  <c r="N26"/>
  <c r="M26"/>
  <c r="L26"/>
  <c r="K26"/>
  <c r="J26"/>
  <c r="AZ25"/>
  <c r="AR25"/>
  <c r="AN25"/>
  <c r="AK25"/>
  <c r="AJ25"/>
  <c r="AI25"/>
  <c r="AH25"/>
  <c r="AG25"/>
  <c r="AF25"/>
  <c r="AE25"/>
  <c r="AD25"/>
  <c r="AC25"/>
  <c r="AB25"/>
  <c r="AA25"/>
  <c r="Z25"/>
  <c r="V25"/>
  <c r="U25"/>
  <c r="T25"/>
  <c r="S25"/>
  <c r="R25"/>
  <c r="Q25"/>
  <c r="P25"/>
  <c r="O25"/>
  <c r="N25"/>
  <c r="M25"/>
  <c r="L25"/>
  <c r="K25"/>
  <c r="J25"/>
  <c r="AK24"/>
  <c r="AJ24"/>
  <c r="AI24"/>
  <c r="AH24"/>
  <c r="AG24"/>
  <c r="AF24"/>
  <c r="AE24"/>
  <c r="AD24"/>
  <c r="AC24"/>
  <c r="AB24"/>
  <c r="AA24"/>
  <c r="Z24"/>
  <c r="W24"/>
  <c r="U24"/>
  <c r="T24"/>
  <c r="S24"/>
  <c r="R24"/>
  <c r="Q24"/>
  <c r="P24"/>
  <c r="O24"/>
  <c r="N24"/>
  <c r="M24"/>
  <c r="L24"/>
  <c r="K24"/>
  <c r="J24"/>
  <c r="AN24"/>
  <c r="AK23"/>
  <c r="AJ23"/>
  <c r="AI23"/>
  <c r="AH23"/>
  <c r="AG23"/>
  <c r="AF23"/>
  <c r="AE23"/>
  <c r="AD23"/>
  <c r="AC23"/>
  <c r="AB23"/>
  <c r="AA23"/>
  <c r="Z23"/>
  <c r="W23"/>
  <c r="U23"/>
  <c r="T23"/>
  <c r="S23"/>
  <c r="R23"/>
  <c r="Q23"/>
  <c r="P23"/>
  <c r="O23"/>
  <c r="N23"/>
  <c r="M23"/>
  <c r="L23"/>
  <c r="K23"/>
  <c r="J23"/>
  <c r="AK22"/>
  <c r="AJ22"/>
  <c r="AI22"/>
  <c r="AH22"/>
  <c r="AG22"/>
  <c r="AF22"/>
  <c r="AE22"/>
  <c r="AD22"/>
  <c r="AC22"/>
  <c r="AB22"/>
  <c r="AA22"/>
  <c r="Z22"/>
  <c r="W22"/>
  <c r="U22"/>
  <c r="T22"/>
  <c r="S22"/>
  <c r="R22"/>
  <c r="Q22"/>
  <c r="P22"/>
  <c r="O22"/>
  <c r="N22"/>
  <c r="M22"/>
  <c r="L22"/>
  <c r="K22"/>
  <c r="J22"/>
  <c r="AN22"/>
  <c r="AK21"/>
  <c r="AJ21"/>
  <c r="AI21"/>
  <c r="AH21"/>
  <c r="AG21"/>
  <c r="AF21"/>
  <c r="AE21"/>
  <c r="AD21"/>
  <c r="AC21"/>
  <c r="AB21"/>
  <c r="AA21"/>
  <c r="Z21"/>
  <c r="U21"/>
  <c r="T21"/>
  <c r="S21"/>
  <c r="R21"/>
  <c r="Q21"/>
  <c r="P21"/>
  <c r="O21"/>
  <c r="N21"/>
  <c r="M21"/>
  <c r="L21"/>
  <c r="K21"/>
  <c r="J21"/>
  <c r="AK20"/>
  <c r="AJ20"/>
  <c r="AI20"/>
  <c r="AH20"/>
  <c r="AG20"/>
  <c r="AF20"/>
  <c r="AE20"/>
  <c r="AD20"/>
  <c r="AC20"/>
  <c r="AB20"/>
  <c r="AA20"/>
  <c r="Z20"/>
  <c r="W20"/>
  <c r="U20"/>
  <c r="T20"/>
  <c r="S20"/>
  <c r="R20"/>
  <c r="Q20"/>
  <c r="P20"/>
  <c r="O20"/>
  <c r="N20"/>
  <c r="M20"/>
  <c r="L20"/>
  <c r="K20"/>
  <c r="J20"/>
  <c r="AN20"/>
  <c r="AK19"/>
  <c r="AJ19"/>
  <c r="AI19"/>
  <c r="AH19"/>
  <c r="AG19"/>
  <c r="AF19"/>
  <c r="AE19"/>
  <c r="AD19"/>
  <c r="AC19"/>
  <c r="AB19"/>
  <c r="AA19"/>
  <c r="Z19"/>
  <c r="W19"/>
  <c r="U19"/>
  <c r="T19"/>
  <c r="S19"/>
  <c r="R19"/>
  <c r="Q19"/>
  <c r="P19"/>
  <c r="O19"/>
  <c r="N19"/>
  <c r="M19"/>
  <c r="L19"/>
  <c r="K19"/>
  <c r="J19"/>
  <c r="AK18"/>
  <c r="AJ18"/>
  <c r="AI18"/>
  <c r="AH18"/>
  <c r="AG18"/>
  <c r="AF18"/>
  <c r="AE18"/>
  <c r="AC18"/>
  <c r="AB18"/>
  <c r="AA18"/>
  <c r="Z18"/>
  <c r="W18"/>
  <c r="U18"/>
  <c r="T18"/>
  <c r="S18"/>
  <c r="R18"/>
  <c r="Q18"/>
  <c r="P18"/>
  <c r="O18"/>
  <c r="M18"/>
  <c r="L18"/>
  <c r="K18"/>
  <c r="J18"/>
  <c r="H18"/>
  <c r="N18" s="1"/>
  <c r="G18"/>
  <c r="AN18" s="1"/>
  <c r="AN17"/>
  <c r="AK17"/>
  <c r="AJ17"/>
  <c r="AI17"/>
  <c r="AH17"/>
  <c r="AG17"/>
  <c r="AF17"/>
  <c r="AE17"/>
  <c r="AD17"/>
  <c r="AC17"/>
  <c r="AB17"/>
  <c r="AA17"/>
  <c r="W17"/>
  <c r="U17"/>
  <c r="T17"/>
  <c r="S17"/>
  <c r="R17"/>
  <c r="Q17"/>
  <c r="P17"/>
  <c r="O17"/>
  <c r="N17"/>
  <c r="M17"/>
  <c r="L17"/>
  <c r="K17"/>
  <c r="H17"/>
  <c r="J17" s="1"/>
  <c r="G17"/>
  <c r="Z17" s="1"/>
  <c r="AK16"/>
  <c r="AJ16"/>
  <c r="AI16"/>
  <c r="AH16"/>
  <c r="AG16"/>
  <c r="AF16"/>
  <c r="AE16"/>
  <c r="AD16"/>
  <c r="AC16"/>
  <c r="AB16"/>
  <c r="AA16"/>
  <c r="W16"/>
  <c r="U16"/>
  <c r="T16"/>
  <c r="S16"/>
  <c r="R16"/>
  <c r="Q16"/>
  <c r="P16"/>
  <c r="O16"/>
  <c r="N16"/>
  <c r="M16"/>
  <c r="L16"/>
  <c r="K16"/>
  <c r="H16"/>
  <c r="J16" s="1"/>
  <c r="G16"/>
  <c r="AN16" s="1"/>
  <c r="AM15"/>
  <c r="AK15"/>
  <c r="AJ15"/>
  <c r="AI15"/>
  <c r="AH15"/>
  <c r="AG15"/>
  <c r="AF15"/>
  <c r="AE15"/>
  <c r="AD15"/>
  <c r="AC15"/>
  <c r="AB15"/>
  <c r="Z15"/>
  <c r="U15"/>
  <c r="T15"/>
  <c r="S15"/>
  <c r="R15"/>
  <c r="Q15"/>
  <c r="P15"/>
  <c r="N15"/>
  <c r="M15"/>
  <c r="L15"/>
  <c r="K15"/>
  <c r="J15"/>
  <c r="H15"/>
  <c r="O15" s="1"/>
  <c r="G15"/>
  <c r="AA15" s="1"/>
  <c r="AL14"/>
  <c r="AK14"/>
  <c r="AJ14"/>
  <c r="AI14"/>
  <c r="AH14"/>
  <c r="AG14"/>
  <c r="AD14"/>
  <c r="AC14"/>
  <c r="AB14"/>
  <c r="AA14"/>
  <c r="Z14"/>
  <c r="W14"/>
  <c r="U14"/>
  <c r="T14"/>
  <c r="S14"/>
  <c r="R14"/>
  <c r="Q14"/>
  <c r="N14"/>
  <c r="M14"/>
  <c r="L14"/>
  <c r="K14"/>
  <c r="J14"/>
  <c r="H14"/>
  <c r="O14" s="1"/>
  <c r="G14"/>
  <c r="AE14" s="1"/>
  <c r="AK13"/>
  <c r="AJ13"/>
  <c r="AI13"/>
  <c r="AH13"/>
  <c r="AG13"/>
  <c r="AF13"/>
  <c r="AE13"/>
  <c r="AD13"/>
  <c r="AC13"/>
  <c r="AB13"/>
  <c r="AA13"/>
  <c r="Z13"/>
  <c r="U13"/>
  <c r="T13"/>
  <c r="S13"/>
  <c r="R13"/>
  <c r="Q13"/>
  <c r="P13"/>
  <c r="O13"/>
  <c r="N13"/>
  <c r="M13"/>
  <c r="L13"/>
  <c r="K13"/>
  <c r="J13"/>
  <c r="H13"/>
  <c r="W13" s="1"/>
  <c r="G13"/>
  <c r="AN13" s="1"/>
  <c r="AM12"/>
  <c r="AK12"/>
  <c r="AJ12"/>
  <c r="AI12"/>
  <c r="AH12"/>
  <c r="AG12"/>
  <c r="AF12"/>
  <c r="AE12"/>
  <c r="AD12"/>
  <c r="AC12"/>
  <c r="AB12"/>
  <c r="AA12"/>
  <c r="W12"/>
  <c r="U12"/>
  <c r="T12"/>
  <c r="S12"/>
  <c r="R12"/>
  <c r="Q12"/>
  <c r="P12"/>
  <c r="O12"/>
  <c r="N12"/>
  <c r="M12"/>
  <c r="L12"/>
  <c r="K12"/>
  <c r="J12"/>
  <c r="H12"/>
  <c r="G12"/>
  <c r="Z12" s="1"/>
  <c r="AL11"/>
  <c r="AK11"/>
  <c r="AJ11"/>
  <c r="AI11"/>
  <c r="AH11"/>
  <c r="AG11"/>
  <c r="AF11"/>
  <c r="AE11"/>
  <c r="AD11"/>
  <c r="AC11"/>
  <c r="AB11"/>
  <c r="AA11"/>
  <c r="Z11"/>
  <c r="U11"/>
  <c r="T11"/>
  <c r="S11"/>
  <c r="Q11"/>
  <c r="P11"/>
  <c r="O11"/>
  <c r="N11"/>
  <c r="M11"/>
  <c r="L11"/>
  <c r="K11"/>
  <c r="J11"/>
  <c r="H11"/>
  <c r="R11" s="1"/>
  <c r="G11"/>
  <c r="AL10"/>
  <c r="AK10"/>
  <c r="AJ10"/>
  <c r="AI10"/>
  <c r="AH10"/>
  <c r="AG10"/>
  <c r="AE10"/>
  <c r="AD10"/>
  <c r="AC10"/>
  <c r="AB10"/>
  <c r="AA10"/>
  <c r="Z10"/>
  <c r="W10"/>
  <c r="U10"/>
  <c r="T10"/>
  <c r="S10"/>
  <c r="Q10"/>
  <c r="O10"/>
  <c r="N10"/>
  <c r="M10"/>
  <c r="L10"/>
  <c r="K10"/>
  <c r="J10"/>
  <c r="H10"/>
  <c r="R10" s="1"/>
  <c r="G10"/>
  <c r="AF10" s="1"/>
  <c r="AN9"/>
  <c r="AK9"/>
  <c r="AJ9"/>
  <c r="AI9"/>
  <c r="AG9"/>
  <c r="AF9"/>
  <c r="AE9"/>
  <c r="AD9"/>
  <c r="AC9"/>
  <c r="AB9"/>
  <c r="AA9"/>
  <c r="Z9"/>
  <c r="W9"/>
  <c r="U9"/>
  <c r="S9"/>
  <c r="R9"/>
  <c r="Q9"/>
  <c r="P9"/>
  <c r="O9"/>
  <c r="N9"/>
  <c r="M9"/>
  <c r="L9"/>
  <c r="K9"/>
  <c r="J9"/>
  <c r="H9"/>
  <c r="T9" s="1"/>
  <c r="G9"/>
  <c r="AH9" s="1"/>
  <c r="AN8"/>
  <c r="AK8"/>
  <c r="AJ8"/>
  <c r="AI8"/>
  <c r="AG8"/>
  <c r="AF8"/>
  <c r="AE8"/>
  <c r="AD8"/>
  <c r="AC8"/>
  <c r="AB8"/>
  <c r="AA8"/>
  <c r="Z8"/>
  <c r="W8"/>
  <c r="U8"/>
  <c r="T8"/>
  <c r="S8"/>
  <c r="R8"/>
  <c r="Q8"/>
  <c r="P8"/>
  <c r="O8"/>
  <c r="N8"/>
  <c r="M8"/>
  <c r="L8"/>
  <c r="K8"/>
  <c r="J8"/>
  <c r="H8"/>
  <c r="G8"/>
  <c r="AH8" s="1"/>
  <c r="AN7"/>
  <c r="AL7"/>
  <c r="AK7"/>
  <c r="AJ7"/>
  <c r="AI7"/>
  <c r="AH7"/>
  <c r="AG7"/>
  <c r="AF7"/>
  <c r="AE7"/>
  <c r="AD7"/>
  <c r="AC7"/>
  <c r="AB7"/>
  <c r="AA7"/>
  <c r="Z7"/>
  <c r="W7"/>
  <c r="U7"/>
  <c r="T7"/>
  <c r="S7"/>
  <c r="R7"/>
  <c r="Q7"/>
  <c r="P7"/>
  <c r="O7"/>
  <c r="N7"/>
  <c r="M7"/>
  <c r="K7"/>
  <c r="J7"/>
  <c r="H7"/>
  <c r="L7" s="1"/>
  <c r="G7"/>
  <c r="AN6"/>
  <c r="AM6"/>
  <c r="AK6"/>
  <c r="AJ6"/>
  <c r="AI6"/>
  <c r="AH6"/>
  <c r="AG6"/>
  <c r="AF6"/>
  <c r="AE6"/>
  <c r="AD6"/>
  <c r="AC6"/>
  <c r="AB6"/>
  <c r="AA6"/>
  <c r="Z6"/>
  <c r="W6"/>
  <c r="V6"/>
  <c r="U6"/>
  <c r="T6"/>
  <c r="S6"/>
  <c r="R6"/>
  <c r="Q6"/>
  <c r="P6"/>
  <c r="O6"/>
  <c r="N6"/>
  <c r="M6"/>
  <c r="L6"/>
  <c r="K6"/>
  <c r="J6"/>
  <c r="AN5"/>
  <c r="AL5"/>
  <c r="AK5"/>
  <c r="AJ5"/>
  <c r="AI5"/>
  <c r="AH5"/>
  <c r="AG5"/>
  <c r="AF5"/>
  <c r="AE5"/>
  <c r="AD5"/>
  <c r="AC5"/>
  <c r="AB5"/>
  <c r="AA5"/>
  <c r="Z5"/>
  <c r="W5"/>
  <c r="U5"/>
  <c r="T5"/>
  <c r="S5"/>
  <c r="Q5"/>
  <c r="P5"/>
  <c r="O5"/>
  <c r="N5"/>
  <c r="M5"/>
  <c r="L5"/>
  <c r="K5"/>
  <c r="J5"/>
  <c r="H5"/>
  <c r="R5" s="1"/>
  <c r="G5"/>
  <c r="AN4"/>
  <c r="AM4"/>
  <c r="AK4"/>
  <c r="AJ4"/>
  <c r="AI4"/>
  <c r="AH4"/>
  <c r="AG4"/>
  <c r="AF4"/>
  <c r="AE4"/>
  <c r="AD4"/>
  <c r="AC4"/>
  <c r="AB4"/>
  <c r="AA4"/>
  <c r="Z4"/>
  <c r="W4"/>
  <c r="V4"/>
  <c r="U4"/>
  <c r="T4"/>
  <c r="S4"/>
  <c r="R4"/>
  <c r="Q4"/>
  <c r="P4"/>
  <c r="O4"/>
  <c r="N4"/>
  <c r="M4"/>
  <c r="L4"/>
  <c r="K4"/>
  <c r="J4"/>
  <c r="H4"/>
  <c r="G4"/>
  <c r="AN3"/>
  <c r="AL3"/>
  <c r="AK3"/>
  <c r="AJ3"/>
  <c r="AI3"/>
  <c r="AH3"/>
  <c r="AG3"/>
  <c r="AF3"/>
  <c r="AE3"/>
  <c r="AD3"/>
  <c r="AC3"/>
  <c r="AB3"/>
  <c r="AA3"/>
  <c r="Z3"/>
  <c r="W3"/>
  <c r="U3"/>
  <c r="T3"/>
  <c r="R3"/>
  <c r="Q3"/>
  <c r="P3"/>
  <c r="O3"/>
  <c r="N3"/>
  <c r="M3"/>
  <c r="L3"/>
  <c r="K3"/>
  <c r="J3"/>
  <c r="H3"/>
  <c r="G3"/>
  <c r="AN2"/>
  <c r="AM2"/>
  <c r="AL2"/>
  <c r="AL62" s="1"/>
  <c r="X2"/>
  <c r="W2"/>
  <c r="V2"/>
  <c r="H17" i="10"/>
  <c r="G17"/>
  <c r="H16"/>
  <c r="G16"/>
  <c r="H15"/>
  <c r="G15"/>
  <c r="H14"/>
  <c r="G14"/>
  <c r="H13"/>
  <c r="G13"/>
  <c r="H12"/>
  <c r="G12"/>
  <c r="H11"/>
  <c r="G11"/>
  <c r="H10"/>
  <c r="G10"/>
  <c r="H9"/>
  <c r="G9"/>
  <c r="H8"/>
  <c r="G8"/>
  <c r="H7"/>
  <c r="G7"/>
  <c r="H5"/>
  <c r="G5"/>
  <c r="H4"/>
  <c r="G4"/>
  <c r="H3"/>
  <c r="G3"/>
  <c r="I38" i="1"/>
  <c r="AU53" i="27" l="1"/>
  <c r="BF53"/>
  <c r="BH53" s="1"/>
  <c r="BF56"/>
  <c r="BH56" s="1"/>
  <c r="AU57"/>
  <c r="BF55"/>
  <c r="BH55" s="1"/>
  <c r="AU56"/>
  <c r="AV55" s="1"/>
  <c r="AW12"/>
  <c r="AQ12"/>
  <c r="AK12"/>
  <c r="AE12"/>
  <c r="Y12"/>
  <c r="M12"/>
  <c r="S12"/>
  <c r="BF57"/>
  <c r="BH57" s="1"/>
  <c r="AU59"/>
  <c r="AV59" s="1"/>
  <c r="AK6"/>
  <c r="S6"/>
  <c r="M6"/>
  <c r="AQ6"/>
  <c r="AW6"/>
  <c r="Y6"/>
  <c r="AE6"/>
  <c r="BF62"/>
  <c r="BH62" s="1"/>
  <c r="AU58"/>
  <c r="AV58" s="1"/>
  <c r="AQ7"/>
  <c r="AE7"/>
  <c r="M7"/>
  <c r="AW7"/>
  <c r="AK7"/>
  <c r="Y7"/>
  <c r="S7"/>
  <c r="BF58"/>
  <c r="BH58" s="1"/>
  <c r="AU60"/>
  <c r="AW58" s="1"/>
  <c r="AQ8"/>
  <c r="M8"/>
  <c r="S8"/>
  <c r="Y8"/>
  <c r="AK8"/>
  <c r="AE8"/>
  <c r="AW8"/>
  <c r="BF54"/>
  <c r="BH54" s="1"/>
  <c r="AU54"/>
  <c r="BF59"/>
  <c r="BH59" s="1"/>
  <c r="E47"/>
  <c r="D27" s="1"/>
  <c r="F27" s="1"/>
  <c r="AW5"/>
  <c r="AQ5"/>
  <c r="AK5"/>
  <c r="AE5"/>
  <c r="Y5"/>
  <c r="S5"/>
  <c r="M5"/>
  <c r="CC27"/>
  <c r="D28" s="1"/>
  <c r="AK10"/>
  <c r="M10"/>
  <c r="Y10"/>
  <c r="AQ10"/>
  <c r="S10"/>
  <c r="AE10"/>
  <c r="AW10"/>
  <c r="AD18" i="11"/>
  <c r="S4" i="27"/>
  <c r="AQ4"/>
  <c r="AE4"/>
  <c r="M4"/>
  <c r="AW4"/>
  <c r="AK4"/>
  <c r="Y4"/>
  <c r="AQ11"/>
  <c r="AW11"/>
  <c r="Y11"/>
  <c r="S11"/>
  <c r="AE11"/>
  <c r="M11"/>
  <c r="AK11"/>
  <c r="Z16" i="11"/>
  <c r="Z63" s="1"/>
  <c r="AS2" s="1"/>
  <c r="P14"/>
  <c r="P63" s="1"/>
  <c r="AT8" s="1"/>
  <c r="AF14"/>
  <c r="AF63" s="1"/>
  <c r="AS8" s="1"/>
  <c r="S13" i="27"/>
  <c r="AQ13"/>
  <c r="M13"/>
  <c r="AW13"/>
  <c r="AK13"/>
  <c r="AE13"/>
  <c r="Y13"/>
  <c r="AE14"/>
  <c r="C40"/>
  <c r="AQ14"/>
  <c r="S14"/>
  <c r="AK14"/>
  <c r="AW14"/>
  <c r="Y14"/>
  <c r="M14"/>
  <c r="P10" i="11"/>
  <c r="C36" i="27"/>
  <c r="C10"/>
  <c r="C32"/>
  <c r="C37"/>
  <c r="C39"/>
  <c r="C33"/>
  <c r="C38"/>
  <c r="C35"/>
  <c r="C4"/>
  <c r="C34"/>
  <c r="C31"/>
  <c r="N128"/>
  <c r="N130" s="1"/>
  <c r="AA63" i="11"/>
  <c r="AS3" s="1"/>
  <c r="AI63"/>
  <c r="AS11" s="1"/>
  <c r="U63"/>
  <c r="AT13" s="1"/>
  <c r="G63"/>
  <c r="H63"/>
  <c r="M63"/>
  <c r="AT5" s="1"/>
  <c r="Q63"/>
  <c r="AT9" s="1"/>
  <c r="AG63"/>
  <c r="AS9" s="1"/>
  <c r="J63"/>
  <c r="AT2" s="1"/>
  <c r="AD63"/>
  <c r="AS6" s="1"/>
  <c r="AH63"/>
  <c r="AS10" s="1"/>
  <c r="R63"/>
  <c r="AT10" s="1"/>
  <c r="X62"/>
  <c r="X61"/>
  <c r="X60"/>
  <c r="X59"/>
  <c r="X58"/>
  <c r="X57"/>
  <c r="X56"/>
  <c r="X55"/>
  <c r="X54"/>
  <c r="X53"/>
  <c r="X52"/>
  <c r="X51"/>
  <c r="X50"/>
  <c r="X34"/>
  <c r="X33"/>
  <c r="X31"/>
  <c r="X28"/>
  <c r="X27"/>
  <c r="X25"/>
  <c r="X16"/>
  <c r="X12"/>
  <c r="X46"/>
  <c r="X42"/>
  <c r="X38"/>
  <c r="X29"/>
  <c r="X48"/>
  <c r="X44"/>
  <c r="X40"/>
  <c r="X36"/>
  <c r="X32"/>
  <c r="X24"/>
  <c r="X22"/>
  <c r="X20"/>
  <c r="X18"/>
  <c r="X17"/>
  <c r="X11"/>
  <c r="X10"/>
  <c r="X21"/>
  <c r="V32"/>
  <c r="V26"/>
  <c r="V24"/>
  <c r="V23"/>
  <c r="V22"/>
  <c r="V21"/>
  <c r="V20"/>
  <c r="V19"/>
  <c r="V18"/>
  <c r="V14"/>
  <c r="V10"/>
  <c r="V61"/>
  <c r="V57"/>
  <c r="V53"/>
  <c r="V48"/>
  <c r="V44"/>
  <c r="V40"/>
  <c r="V36"/>
  <c r="V34"/>
  <c r="V59"/>
  <c r="V55"/>
  <c r="V51"/>
  <c r="V46"/>
  <c r="V42"/>
  <c r="V38"/>
  <c r="V29"/>
  <c r="V27"/>
  <c r="V15"/>
  <c r="V12"/>
  <c r="V9"/>
  <c r="AM32"/>
  <c r="AM26"/>
  <c r="AM24"/>
  <c r="AM23"/>
  <c r="AM22"/>
  <c r="AM21"/>
  <c r="AM20"/>
  <c r="AM19"/>
  <c r="AM18"/>
  <c r="AM14"/>
  <c r="AM10"/>
  <c r="AM60"/>
  <c r="AM56"/>
  <c r="AM52"/>
  <c r="AM47"/>
  <c r="AM43"/>
  <c r="AM39"/>
  <c r="AM35"/>
  <c r="AM33"/>
  <c r="AM31"/>
  <c r="AM30"/>
  <c r="AM28"/>
  <c r="AM25"/>
  <c r="AM62"/>
  <c r="AM58"/>
  <c r="AM54"/>
  <c r="AM50"/>
  <c r="AM49"/>
  <c r="AM45"/>
  <c r="AM41"/>
  <c r="AM37"/>
  <c r="AM16"/>
  <c r="AM13"/>
  <c r="AM9"/>
  <c r="K63"/>
  <c r="AT3" s="1"/>
  <c r="O63"/>
  <c r="AT7" s="1"/>
  <c r="S3"/>
  <c r="S63" s="1"/>
  <c r="AT11" s="1"/>
  <c r="AB63"/>
  <c r="AS4" s="1"/>
  <c r="AJ63"/>
  <c r="AS12" s="1"/>
  <c r="X4"/>
  <c r="X6"/>
  <c r="X9"/>
  <c r="X14"/>
  <c r="X15"/>
  <c r="X19"/>
  <c r="X23"/>
  <c r="V33"/>
  <c r="AM36"/>
  <c r="X37"/>
  <c r="V39"/>
  <c r="AM44"/>
  <c r="X45"/>
  <c r="V47"/>
  <c r="AM51"/>
  <c r="AL52"/>
  <c r="V54"/>
  <c r="AM59"/>
  <c r="AL60"/>
  <c r="V62"/>
  <c r="W15"/>
  <c r="W11"/>
  <c r="W62"/>
  <c r="W58"/>
  <c r="W54"/>
  <c r="W50"/>
  <c r="W49"/>
  <c r="W45"/>
  <c r="W41"/>
  <c r="W37"/>
  <c r="W60"/>
  <c r="W56"/>
  <c r="W52"/>
  <c r="W47"/>
  <c r="W43"/>
  <c r="W39"/>
  <c r="W35"/>
  <c r="W33"/>
  <c r="W31"/>
  <c r="W30"/>
  <c r="W28"/>
  <c r="W26"/>
  <c r="W25"/>
  <c r="AN15"/>
  <c r="AN11"/>
  <c r="AN61"/>
  <c r="AN57"/>
  <c r="AN53"/>
  <c r="AN48"/>
  <c r="AN44"/>
  <c r="AN40"/>
  <c r="AN36"/>
  <c r="AN34"/>
  <c r="AN32"/>
  <c r="AN59"/>
  <c r="AN55"/>
  <c r="AN51"/>
  <c r="AN46"/>
  <c r="AN42"/>
  <c r="AN38"/>
  <c r="AN29"/>
  <c r="AN27"/>
  <c r="AN23"/>
  <c r="AN21"/>
  <c r="AN19"/>
  <c r="AN14"/>
  <c r="AN12"/>
  <c r="L63"/>
  <c r="AT4" s="1"/>
  <c r="T63"/>
  <c r="AT12" s="1"/>
  <c r="X3"/>
  <c r="AC63"/>
  <c r="AS5" s="1"/>
  <c r="AK63"/>
  <c r="AS13" s="1"/>
  <c r="AL4"/>
  <c r="V5"/>
  <c r="AM5"/>
  <c r="AL6"/>
  <c r="V7"/>
  <c r="AM7"/>
  <c r="X8"/>
  <c r="AM8"/>
  <c r="AL9"/>
  <c r="AN10"/>
  <c r="V11"/>
  <c r="AL12"/>
  <c r="X13"/>
  <c r="AL15"/>
  <c r="AL16"/>
  <c r="AM17"/>
  <c r="AL19"/>
  <c r="AL20"/>
  <c r="W21"/>
  <c r="AL23"/>
  <c r="AL24"/>
  <c r="X26"/>
  <c r="W29"/>
  <c r="V30"/>
  <c r="AL33"/>
  <c r="W34"/>
  <c r="AN37"/>
  <c r="AM38"/>
  <c r="X39"/>
  <c r="W40"/>
  <c r="V41"/>
  <c r="AN45"/>
  <c r="AM46"/>
  <c r="X47"/>
  <c r="W48"/>
  <c r="V49"/>
  <c r="AN52"/>
  <c r="AM53"/>
  <c r="AL54"/>
  <c r="W55"/>
  <c r="V56"/>
  <c r="AN60"/>
  <c r="AM61"/>
  <c r="X30"/>
  <c r="AM40"/>
  <c r="X41"/>
  <c r="V43"/>
  <c r="AM48"/>
  <c r="X49"/>
  <c r="V50"/>
  <c r="AM55"/>
  <c r="V58"/>
  <c r="AL49"/>
  <c r="AL48"/>
  <c r="AL47"/>
  <c r="AL46"/>
  <c r="AL45"/>
  <c r="AL44"/>
  <c r="AL43"/>
  <c r="AL42"/>
  <c r="AL41"/>
  <c r="AL40"/>
  <c r="AL39"/>
  <c r="AL38"/>
  <c r="AL37"/>
  <c r="AL36"/>
  <c r="AL35"/>
  <c r="AL30"/>
  <c r="AL29"/>
  <c r="AL17"/>
  <c r="AL13"/>
  <c r="AL59"/>
  <c r="AL55"/>
  <c r="AL51"/>
  <c r="AL27"/>
  <c r="AL26"/>
  <c r="AL61"/>
  <c r="AL57"/>
  <c r="AL53"/>
  <c r="AL34"/>
  <c r="AL8"/>
  <c r="N63"/>
  <c r="AT6" s="1"/>
  <c r="AR6" s="1"/>
  <c r="V3"/>
  <c r="AE63"/>
  <c r="AS7" s="1"/>
  <c r="AM3"/>
  <c r="X5"/>
  <c r="X7"/>
  <c r="V8"/>
  <c r="AM11"/>
  <c r="V13"/>
  <c r="V16"/>
  <c r="V17"/>
  <c r="AL18"/>
  <c r="AL21"/>
  <c r="AL22"/>
  <c r="AL25"/>
  <c r="AM27"/>
  <c r="AL28"/>
  <c r="AL31"/>
  <c r="X35"/>
  <c r="V37"/>
  <c r="AM42"/>
  <c r="X43"/>
  <c r="V45"/>
  <c r="AN49"/>
  <c r="AL50"/>
  <c r="W51"/>
  <c r="V52"/>
  <c r="AN56"/>
  <c r="AM57"/>
  <c r="AL58"/>
  <c r="W59"/>
  <c r="V60"/>
  <c r="AW53" i="27" l="1"/>
  <c r="AX53" s="1"/>
  <c r="AY58" s="1"/>
  <c r="BH66"/>
  <c r="BI66" s="1"/>
  <c r="BO24"/>
  <c r="BI24"/>
  <c r="C24"/>
  <c r="D17" s="1"/>
  <c r="M24"/>
  <c r="AR3" i="11"/>
  <c r="W63"/>
  <c r="AT15" s="1"/>
  <c r="AR13"/>
  <c r="AR4"/>
  <c r="AW24" i="27"/>
  <c r="AK24"/>
  <c r="AE24"/>
  <c r="Y24"/>
  <c r="S24"/>
  <c r="CA24"/>
  <c r="AQ24"/>
  <c r="AR11" i="11"/>
  <c r="AR2"/>
  <c r="AN63"/>
  <c r="AS16" s="1"/>
  <c r="AL63"/>
  <c r="AS14" s="1"/>
  <c r="AR8"/>
  <c r="AR10"/>
  <c r="AR7"/>
  <c r="AR5"/>
  <c r="AR9"/>
  <c r="V63"/>
  <c r="AT14" s="1"/>
  <c r="AM63"/>
  <c r="AS15" s="1"/>
  <c r="X63"/>
  <c r="AT16" s="1"/>
  <c r="AR12"/>
  <c r="BG66" i="27" l="1"/>
  <c r="AY53"/>
  <c r="D4"/>
  <c r="D10"/>
  <c r="AR15" i="11"/>
  <c r="AR16"/>
  <c r="AS17"/>
  <c r="AR31" s="1"/>
  <c r="AR14"/>
  <c r="AT17"/>
  <c r="D24" i="27" l="1"/>
  <c r="AR17" i="11"/>
  <c r="AR24" s="1"/>
  <c r="AR26" s="1"/>
  <c r="AR28" s="1"/>
  <c r="AZ24"/>
  <c r="AZ28" s="1"/>
  <c r="AZ32"/>
  <c r="AR32"/>
  <c r="AR34" s="1"/>
  <c r="V48" i="22"/>
  <c r="W49" s="1"/>
  <c r="I29" i="1"/>
  <c r="AG47" i="19"/>
  <c r="AB47"/>
  <c r="AZ49" i="11" l="1"/>
  <c r="AR29"/>
  <c r="AZ30"/>
  <c r="AZ34" s="1"/>
  <c r="AT34"/>
  <c r="V78" i="22"/>
  <c r="T76"/>
  <c r="V76" s="1"/>
  <c r="T77"/>
  <c r="V77" s="1"/>
  <c r="T78"/>
  <c r="T79"/>
  <c r="V79" s="1"/>
  <c r="T80"/>
  <c r="V80" s="1"/>
  <c r="T81"/>
  <c r="V81" s="1"/>
  <c r="T82"/>
  <c r="V82" s="1"/>
  <c r="T83"/>
  <c r="V83" s="1"/>
  <c r="T84"/>
  <c r="V84" s="1"/>
  <c r="T85"/>
  <c r="V85" s="1"/>
  <c r="T86"/>
  <c r="V86" s="1"/>
  <c r="T87"/>
  <c r="V87" s="1"/>
  <c r="T88"/>
  <c r="V88" s="1"/>
  <c r="T75"/>
  <c r="V75" s="1"/>
  <c r="R46" i="18"/>
  <c r="R47"/>
  <c r="R48"/>
  <c r="R49"/>
  <c r="R37"/>
  <c r="R38"/>
  <c r="R39"/>
  <c r="R40"/>
  <c r="R41"/>
  <c r="R42"/>
  <c r="R43"/>
  <c r="R44"/>
  <c r="R36"/>
  <c r="R35"/>
  <c r="I24" i="1"/>
  <c r="I42"/>
  <c r="I8" l="1"/>
  <c r="I19"/>
  <c r="I6"/>
  <c r="I10"/>
  <c r="H18"/>
  <c r="BC38" i="9"/>
  <c r="H24" i="1"/>
  <c r="H25"/>
  <c r="H6" i="14"/>
  <c r="G5"/>
  <c r="E63"/>
  <c r="AK62"/>
  <c r="AJ62"/>
  <c r="AI62"/>
  <c r="AH62"/>
  <c r="AG62"/>
  <c r="AF62"/>
  <c r="AE62"/>
  <c r="AD62"/>
  <c r="AC62"/>
  <c r="AB62"/>
  <c r="AA62"/>
  <c r="Z62"/>
  <c r="U62"/>
  <c r="T62"/>
  <c r="S62"/>
  <c r="R62"/>
  <c r="Q62"/>
  <c r="P62"/>
  <c r="O62"/>
  <c r="N62"/>
  <c r="M62"/>
  <c r="L62"/>
  <c r="K62"/>
  <c r="J62"/>
  <c r="H62"/>
  <c r="G62"/>
  <c r="AK61"/>
  <c r="AJ61"/>
  <c r="AI61"/>
  <c r="AH61"/>
  <c r="AG61"/>
  <c r="AF61"/>
  <c r="AE61"/>
  <c r="AD61"/>
  <c r="AC61"/>
  <c r="AB61"/>
  <c r="AA61"/>
  <c r="Z61"/>
  <c r="U61"/>
  <c r="T61"/>
  <c r="S61"/>
  <c r="R61"/>
  <c r="Q61"/>
  <c r="P61"/>
  <c r="O61"/>
  <c r="N61"/>
  <c r="M61"/>
  <c r="L61"/>
  <c r="K61"/>
  <c r="J61"/>
  <c r="H61"/>
  <c r="G61"/>
  <c r="AK60"/>
  <c r="AJ60"/>
  <c r="AI60"/>
  <c r="AH60"/>
  <c r="AG60"/>
  <c r="AF60"/>
  <c r="AE60"/>
  <c r="AD60"/>
  <c r="AC60"/>
  <c r="AB60"/>
  <c r="AA60"/>
  <c r="Z60"/>
  <c r="U60"/>
  <c r="T60"/>
  <c r="S60"/>
  <c r="R60"/>
  <c r="Q60"/>
  <c r="P60"/>
  <c r="O60"/>
  <c r="N60"/>
  <c r="M60"/>
  <c r="L60"/>
  <c r="K60"/>
  <c r="J60"/>
  <c r="H60"/>
  <c r="G60"/>
  <c r="AK59"/>
  <c r="AJ59"/>
  <c r="AI59"/>
  <c r="AH59"/>
  <c r="AG59"/>
  <c r="AF59"/>
  <c r="AE59"/>
  <c r="AD59"/>
  <c r="AC59"/>
  <c r="AB59"/>
  <c r="AA59"/>
  <c r="Z59"/>
  <c r="U59"/>
  <c r="T59"/>
  <c r="S59"/>
  <c r="R59"/>
  <c r="Q59"/>
  <c r="P59"/>
  <c r="O59"/>
  <c r="N59"/>
  <c r="M59"/>
  <c r="L59"/>
  <c r="K59"/>
  <c r="J59"/>
  <c r="H59"/>
  <c r="G59"/>
  <c r="AK58"/>
  <c r="AJ58"/>
  <c r="AI58"/>
  <c r="AH58"/>
  <c r="AG58"/>
  <c r="AF58"/>
  <c r="AE58"/>
  <c r="AD58"/>
  <c r="AC58"/>
  <c r="AB58"/>
  <c r="AA58"/>
  <c r="Z58"/>
  <c r="U58"/>
  <c r="T58"/>
  <c r="S58"/>
  <c r="R58"/>
  <c r="Q58"/>
  <c r="P58"/>
  <c r="O58"/>
  <c r="N58"/>
  <c r="M58"/>
  <c r="L58"/>
  <c r="K58"/>
  <c r="J58"/>
  <c r="H58"/>
  <c r="G58"/>
  <c r="AK57"/>
  <c r="AJ57"/>
  <c r="AI57"/>
  <c r="AH57"/>
  <c r="AG57"/>
  <c r="AF57"/>
  <c r="AE57"/>
  <c r="AD57"/>
  <c r="AC57"/>
  <c r="AB57"/>
  <c r="AA57"/>
  <c r="Z57"/>
  <c r="U57"/>
  <c r="T57"/>
  <c r="S57"/>
  <c r="R57"/>
  <c r="Q57"/>
  <c r="P57"/>
  <c r="O57"/>
  <c r="N57"/>
  <c r="M57"/>
  <c r="L57"/>
  <c r="K57"/>
  <c r="J57"/>
  <c r="H57"/>
  <c r="G57"/>
  <c r="AK56"/>
  <c r="AJ56"/>
  <c r="AI56"/>
  <c r="AH56"/>
  <c r="AG56"/>
  <c r="AF56"/>
  <c r="AE56"/>
  <c r="AD56"/>
  <c r="AC56"/>
  <c r="AB56"/>
  <c r="AA56"/>
  <c r="Z56"/>
  <c r="U56"/>
  <c r="T56"/>
  <c r="S56"/>
  <c r="R56"/>
  <c r="Q56"/>
  <c r="P56"/>
  <c r="O56"/>
  <c r="N56"/>
  <c r="M56"/>
  <c r="L56"/>
  <c r="K56"/>
  <c r="J56"/>
  <c r="H56"/>
  <c r="G56"/>
  <c r="AK55"/>
  <c r="AJ55"/>
  <c r="AI55"/>
  <c r="AH55"/>
  <c r="AG55"/>
  <c r="AF55"/>
  <c r="AE55"/>
  <c r="AD55"/>
  <c r="AC55"/>
  <c r="AB55"/>
  <c r="AA55"/>
  <c r="Z55"/>
  <c r="U55"/>
  <c r="T55"/>
  <c r="S55"/>
  <c r="R55"/>
  <c r="Q55"/>
  <c r="P55"/>
  <c r="O55"/>
  <c r="N55"/>
  <c r="M55"/>
  <c r="L55"/>
  <c r="K55"/>
  <c r="J55"/>
  <c r="H55"/>
  <c r="G55"/>
  <c r="AK54"/>
  <c r="AJ54"/>
  <c r="AI54"/>
  <c r="AH54"/>
  <c r="AG54"/>
  <c r="AF54"/>
  <c r="AE54"/>
  <c r="AD54"/>
  <c r="AC54"/>
  <c r="AB54"/>
  <c r="AA54"/>
  <c r="Z54"/>
  <c r="U54"/>
  <c r="T54"/>
  <c r="S54"/>
  <c r="R54"/>
  <c r="Q54"/>
  <c r="P54"/>
  <c r="O54"/>
  <c r="N54"/>
  <c r="M54"/>
  <c r="L54"/>
  <c r="K54"/>
  <c r="J54"/>
  <c r="H54"/>
  <c r="G54"/>
  <c r="AK53"/>
  <c r="AJ53"/>
  <c r="AI53"/>
  <c r="AH53"/>
  <c r="AG53"/>
  <c r="AF53"/>
  <c r="AE53"/>
  <c r="AD53"/>
  <c r="AC53"/>
  <c r="AB53"/>
  <c r="AA53"/>
  <c r="Z53"/>
  <c r="U53"/>
  <c r="T53"/>
  <c r="S53"/>
  <c r="R53"/>
  <c r="Q53"/>
  <c r="P53"/>
  <c r="O53"/>
  <c r="N53"/>
  <c r="M53"/>
  <c r="L53"/>
  <c r="K53"/>
  <c r="J53"/>
  <c r="H53"/>
  <c r="G53"/>
  <c r="AK52"/>
  <c r="AJ52"/>
  <c r="AI52"/>
  <c r="AH52"/>
  <c r="AG52"/>
  <c r="AF52"/>
  <c r="AE52"/>
  <c r="AD52"/>
  <c r="AC52"/>
  <c r="AB52"/>
  <c r="AA52"/>
  <c r="Z52"/>
  <c r="U52"/>
  <c r="T52"/>
  <c r="S52"/>
  <c r="R52"/>
  <c r="Q52"/>
  <c r="P52"/>
  <c r="O52"/>
  <c r="N52"/>
  <c r="M52"/>
  <c r="L52"/>
  <c r="K52"/>
  <c r="J52"/>
  <c r="H52"/>
  <c r="G52"/>
  <c r="AK51"/>
  <c r="AJ51"/>
  <c r="AI51"/>
  <c r="AH51"/>
  <c r="AG51"/>
  <c r="AF51"/>
  <c r="AE51"/>
  <c r="AD51"/>
  <c r="AC51"/>
  <c r="AB51"/>
  <c r="AA51"/>
  <c r="Z51"/>
  <c r="U51"/>
  <c r="T51"/>
  <c r="S51"/>
  <c r="R51"/>
  <c r="Q51"/>
  <c r="P51"/>
  <c r="O51"/>
  <c r="N51"/>
  <c r="M51"/>
  <c r="L51"/>
  <c r="K51"/>
  <c r="J51"/>
  <c r="H51"/>
  <c r="G51"/>
  <c r="AK50"/>
  <c r="AJ50"/>
  <c r="AI50"/>
  <c r="AH50"/>
  <c r="AG50"/>
  <c r="AF50"/>
  <c r="AE50"/>
  <c r="AD50"/>
  <c r="AC50"/>
  <c r="AB50"/>
  <c r="AA50"/>
  <c r="Z50"/>
  <c r="U50"/>
  <c r="T50"/>
  <c r="S50"/>
  <c r="R50"/>
  <c r="Q50"/>
  <c r="P50"/>
  <c r="O50"/>
  <c r="N50"/>
  <c r="M50"/>
  <c r="L50"/>
  <c r="K50"/>
  <c r="J50"/>
  <c r="H50"/>
  <c r="G50"/>
  <c r="AK49"/>
  <c r="AJ49"/>
  <c r="AI49"/>
  <c r="AH49"/>
  <c r="AG49"/>
  <c r="AF49"/>
  <c r="AE49"/>
  <c r="AD49"/>
  <c r="AC49"/>
  <c r="AB49"/>
  <c r="AA49"/>
  <c r="Z49"/>
  <c r="U49"/>
  <c r="T49"/>
  <c r="S49"/>
  <c r="R49"/>
  <c r="Q49"/>
  <c r="P49"/>
  <c r="O49"/>
  <c r="N49"/>
  <c r="M49"/>
  <c r="L49"/>
  <c r="K49"/>
  <c r="J49"/>
  <c r="H49"/>
  <c r="G49"/>
  <c r="AK48"/>
  <c r="AJ48"/>
  <c r="AI48"/>
  <c r="AH48"/>
  <c r="AG48"/>
  <c r="AF48"/>
  <c r="AE48"/>
  <c r="AD48"/>
  <c r="AC48"/>
  <c r="AB48"/>
  <c r="AA48"/>
  <c r="Z48"/>
  <c r="U48"/>
  <c r="T48"/>
  <c r="S48"/>
  <c r="R48"/>
  <c r="Q48"/>
  <c r="P48"/>
  <c r="O48"/>
  <c r="N48"/>
  <c r="M48"/>
  <c r="L48"/>
  <c r="K48"/>
  <c r="J48"/>
  <c r="H48"/>
  <c r="G48"/>
  <c r="AK47"/>
  <c r="AJ47"/>
  <c r="AI47"/>
  <c r="AH47"/>
  <c r="AG47"/>
  <c r="AF47"/>
  <c r="AE47"/>
  <c r="AD47"/>
  <c r="AC47"/>
  <c r="AB47"/>
  <c r="AA47"/>
  <c r="Z47"/>
  <c r="U47"/>
  <c r="T47"/>
  <c r="S47"/>
  <c r="R47"/>
  <c r="Q47"/>
  <c r="P47"/>
  <c r="O47"/>
  <c r="N47"/>
  <c r="M47"/>
  <c r="L47"/>
  <c r="K47"/>
  <c r="J47"/>
  <c r="H47"/>
  <c r="G47"/>
  <c r="AK46"/>
  <c r="AJ46"/>
  <c r="AI46"/>
  <c r="AH46"/>
  <c r="AG46"/>
  <c r="AF46"/>
  <c r="AE46"/>
  <c r="AD46"/>
  <c r="AC46"/>
  <c r="AB46"/>
  <c r="AA46"/>
  <c r="Z46"/>
  <c r="U46"/>
  <c r="T46"/>
  <c r="S46"/>
  <c r="R46"/>
  <c r="Q46"/>
  <c r="P46"/>
  <c r="O46"/>
  <c r="N46"/>
  <c r="M46"/>
  <c r="L46"/>
  <c r="K46"/>
  <c r="J46"/>
  <c r="H46"/>
  <c r="G46"/>
  <c r="AK45"/>
  <c r="AJ45"/>
  <c r="AI45"/>
  <c r="AH45"/>
  <c r="AG45"/>
  <c r="AF45"/>
  <c r="AE45"/>
  <c r="AD45"/>
  <c r="AC45"/>
  <c r="AB45"/>
  <c r="AA45"/>
  <c r="Z45"/>
  <c r="U45"/>
  <c r="T45"/>
  <c r="S45"/>
  <c r="R45"/>
  <c r="Q45"/>
  <c r="P45"/>
  <c r="O45"/>
  <c r="N45"/>
  <c r="M45"/>
  <c r="L45"/>
  <c r="K45"/>
  <c r="J45"/>
  <c r="H45"/>
  <c r="G45"/>
  <c r="AK44"/>
  <c r="AJ44"/>
  <c r="AI44"/>
  <c r="AH44"/>
  <c r="AG44"/>
  <c r="AF44"/>
  <c r="AE44"/>
  <c r="AD44"/>
  <c r="AC44"/>
  <c r="AB44"/>
  <c r="AA44"/>
  <c r="Z44"/>
  <c r="U44"/>
  <c r="T44"/>
  <c r="S44"/>
  <c r="R44"/>
  <c r="Q44"/>
  <c r="P44"/>
  <c r="O44"/>
  <c r="N44"/>
  <c r="M44"/>
  <c r="L44"/>
  <c r="K44"/>
  <c r="J44"/>
  <c r="H44"/>
  <c r="G44"/>
  <c r="AK43"/>
  <c r="AJ43"/>
  <c r="AI43"/>
  <c r="AH43"/>
  <c r="AG43"/>
  <c r="AF43"/>
  <c r="AE43"/>
  <c r="AD43"/>
  <c r="AC43"/>
  <c r="AB43"/>
  <c r="AA43"/>
  <c r="Z43"/>
  <c r="U43"/>
  <c r="T43"/>
  <c r="S43"/>
  <c r="R43"/>
  <c r="Q43"/>
  <c r="P43"/>
  <c r="O43"/>
  <c r="N43"/>
  <c r="M43"/>
  <c r="L43"/>
  <c r="K43"/>
  <c r="J43"/>
  <c r="H43"/>
  <c r="G43"/>
  <c r="AK42"/>
  <c r="AJ42"/>
  <c r="AI42"/>
  <c r="AH42"/>
  <c r="AG42"/>
  <c r="AF42"/>
  <c r="AE42"/>
  <c r="AD42"/>
  <c r="AC42"/>
  <c r="AB42"/>
  <c r="AA42"/>
  <c r="Z42"/>
  <c r="U42"/>
  <c r="T42"/>
  <c r="S42"/>
  <c r="R42"/>
  <c r="Q42"/>
  <c r="P42"/>
  <c r="O42"/>
  <c r="N42"/>
  <c r="M42"/>
  <c r="L42"/>
  <c r="K42"/>
  <c r="J42"/>
  <c r="H42"/>
  <c r="G42"/>
  <c r="AK41"/>
  <c r="AJ41"/>
  <c r="AI41"/>
  <c r="AH41"/>
  <c r="AG41"/>
  <c r="AF41"/>
  <c r="AE41"/>
  <c r="AD41"/>
  <c r="AC41"/>
  <c r="AB41"/>
  <c r="AA41"/>
  <c r="Z41"/>
  <c r="U41"/>
  <c r="T41"/>
  <c r="S41"/>
  <c r="R41"/>
  <c r="Q41"/>
  <c r="P41"/>
  <c r="O41"/>
  <c r="N41"/>
  <c r="M41"/>
  <c r="L41"/>
  <c r="K41"/>
  <c r="J41"/>
  <c r="H41"/>
  <c r="G41"/>
  <c r="AK40"/>
  <c r="AJ40"/>
  <c r="AI40"/>
  <c r="AH40"/>
  <c r="AG40"/>
  <c r="AF40"/>
  <c r="AE40"/>
  <c r="AD40"/>
  <c r="AC40"/>
  <c r="AB40"/>
  <c r="AA40"/>
  <c r="Z40"/>
  <c r="U40"/>
  <c r="T40"/>
  <c r="S40"/>
  <c r="R40"/>
  <c r="Q40"/>
  <c r="P40"/>
  <c r="O40"/>
  <c r="N40"/>
  <c r="M40"/>
  <c r="L40"/>
  <c r="K40"/>
  <c r="J40"/>
  <c r="H40"/>
  <c r="G40"/>
  <c r="AK39"/>
  <c r="AJ39"/>
  <c r="AI39"/>
  <c r="AH39"/>
  <c r="AG39"/>
  <c r="AF39"/>
  <c r="AE39"/>
  <c r="AD39"/>
  <c r="AC39"/>
  <c r="AB39"/>
  <c r="AA39"/>
  <c r="Z39"/>
  <c r="U39"/>
  <c r="T39"/>
  <c r="S39"/>
  <c r="R39"/>
  <c r="Q39"/>
  <c r="P39"/>
  <c r="O39"/>
  <c r="N39"/>
  <c r="M39"/>
  <c r="L39"/>
  <c r="K39"/>
  <c r="J39"/>
  <c r="H39"/>
  <c r="G39"/>
  <c r="AK38"/>
  <c r="AJ38"/>
  <c r="AI38"/>
  <c r="AH38"/>
  <c r="AG38"/>
  <c r="AF38"/>
  <c r="AE38"/>
  <c r="AD38"/>
  <c r="AC38"/>
  <c r="AB38"/>
  <c r="AA38"/>
  <c r="Z38"/>
  <c r="U38"/>
  <c r="T38"/>
  <c r="S38"/>
  <c r="R38"/>
  <c r="Q38"/>
  <c r="P38"/>
  <c r="O38"/>
  <c r="N38"/>
  <c r="M38"/>
  <c r="L38"/>
  <c r="K38"/>
  <c r="J38"/>
  <c r="H38"/>
  <c r="G38"/>
  <c r="AK37"/>
  <c r="AJ37"/>
  <c r="AI37"/>
  <c r="AH37"/>
  <c r="AG37"/>
  <c r="AF37"/>
  <c r="AE37"/>
  <c r="AD37"/>
  <c r="AC37"/>
  <c r="AB37"/>
  <c r="AA37"/>
  <c r="Z37"/>
  <c r="U37"/>
  <c r="T37"/>
  <c r="S37"/>
  <c r="R37"/>
  <c r="Q37"/>
  <c r="P37"/>
  <c r="O37"/>
  <c r="N37"/>
  <c r="M37"/>
  <c r="L37"/>
  <c r="K37"/>
  <c r="J37"/>
  <c r="H37"/>
  <c r="G37"/>
  <c r="AK36"/>
  <c r="AJ36"/>
  <c r="AI36"/>
  <c r="AH36"/>
  <c r="AG36"/>
  <c r="AF36"/>
  <c r="AE36"/>
  <c r="AD36"/>
  <c r="AC36"/>
  <c r="AB36"/>
  <c r="AA36"/>
  <c r="Z36"/>
  <c r="U36"/>
  <c r="T36"/>
  <c r="S36"/>
  <c r="R36"/>
  <c r="Q36"/>
  <c r="P36"/>
  <c r="O36"/>
  <c r="N36"/>
  <c r="M36"/>
  <c r="L36"/>
  <c r="K36"/>
  <c r="J36"/>
  <c r="H36"/>
  <c r="G36"/>
  <c r="AK35"/>
  <c r="AJ35"/>
  <c r="AI35"/>
  <c r="AH35"/>
  <c r="AG35"/>
  <c r="AF35"/>
  <c r="AE35"/>
  <c r="AD35"/>
  <c r="AC35"/>
  <c r="AB35"/>
  <c r="AA35"/>
  <c r="Z35"/>
  <c r="U35"/>
  <c r="T35"/>
  <c r="S35"/>
  <c r="R35"/>
  <c r="Q35"/>
  <c r="P35"/>
  <c r="O35"/>
  <c r="N35"/>
  <c r="M35"/>
  <c r="L35"/>
  <c r="K35"/>
  <c r="J35"/>
  <c r="H35"/>
  <c r="G35"/>
  <c r="AK34"/>
  <c r="AJ34"/>
  <c r="AI34"/>
  <c r="AH34"/>
  <c r="AG34"/>
  <c r="AF34"/>
  <c r="AE34"/>
  <c r="AD34"/>
  <c r="AC34"/>
  <c r="AB34"/>
  <c r="AA34"/>
  <c r="Z34"/>
  <c r="U34"/>
  <c r="T34"/>
  <c r="S34"/>
  <c r="R34"/>
  <c r="Q34"/>
  <c r="P34"/>
  <c r="O34"/>
  <c r="N34"/>
  <c r="M34"/>
  <c r="L34"/>
  <c r="K34"/>
  <c r="J34"/>
  <c r="H34"/>
  <c r="G34"/>
  <c r="AK33"/>
  <c r="AJ33"/>
  <c r="AI33"/>
  <c r="AH33"/>
  <c r="AG33"/>
  <c r="AF33"/>
  <c r="AE33"/>
  <c r="AD33"/>
  <c r="AC33"/>
  <c r="AB33"/>
  <c r="AA33"/>
  <c r="Z33"/>
  <c r="U33"/>
  <c r="T33"/>
  <c r="S33"/>
  <c r="R33"/>
  <c r="Q33"/>
  <c r="P33"/>
  <c r="O33"/>
  <c r="N33"/>
  <c r="M33"/>
  <c r="L33"/>
  <c r="K33"/>
  <c r="J33"/>
  <c r="H33"/>
  <c r="G33"/>
  <c r="AK32"/>
  <c r="AJ32"/>
  <c r="AI32"/>
  <c r="AH32"/>
  <c r="AG32"/>
  <c r="AF32"/>
  <c r="AE32"/>
  <c r="AD32"/>
  <c r="AC32"/>
  <c r="AB32"/>
  <c r="AA32"/>
  <c r="Z32"/>
  <c r="U32"/>
  <c r="T32"/>
  <c r="S32"/>
  <c r="R32"/>
  <c r="Q32"/>
  <c r="P32"/>
  <c r="O32"/>
  <c r="N32"/>
  <c r="M32"/>
  <c r="L32"/>
  <c r="K32"/>
  <c r="J32"/>
  <c r="H32"/>
  <c r="G32"/>
  <c r="AK31"/>
  <c r="AJ31"/>
  <c r="AI31"/>
  <c r="AH31"/>
  <c r="AG31"/>
  <c r="AF31"/>
  <c r="AE31"/>
  <c r="AD31"/>
  <c r="AC31"/>
  <c r="AB31"/>
  <c r="AA31"/>
  <c r="Z31"/>
  <c r="U31"/>
  <c r="T31"/>
  <c r="S31"/>
  <c r="R31"/>
  <c r="Q31"/>
  <c r="P31"/>
  <c r="O31"/>
  <c r="N31"/>
  <c r="M31"/>
  <c r="L31"/>
  <c r="K31"/>
  <c r="J31"/>
  <c r="H31"/>
  <c r="G31"/>
  <c r="AK30"/>
  <c r="AJ30"/>
  <c r="AI30"/>
  <c r="AH30"/>
  <c r="AG30"/>
  <c r="AF30"/>
  <c r="AE30"/>
  <c r="AD30"/>
  <c r="AC30"/>
  <c r="AB30"/>
  <c r="AA30"/>
  <c r="Z30"/>
  <c r="U30"/>
  <c r="T30"/>
  <c r="S30"/>
  <c r="R30"/>
  <c r="Q30"/>
  <c r="P30"/>
  <c r="O30"/>
  <c r="N30"/>
  <c r="M30"/>
  <c r="L30"/>
  <c r="K30"/>
  <c r="J30"/>
  <c r="H30"/>
  <c r="G30"/>
  <c r="AK29"/>
  <c r="AJ29"/>
  <c r="AI29"/>
  <c r="AH29"/>
  <c r="AG29"/>
  <c r="AF29"/>
  <c r="AE29"/>
  <c r="AD29"/>
  <c r="AC29"/>
  <c r="AB29"/>
  <c r="AA29"/>
  <c r="Z29"/>
  <c r="U29"/>
  <c r="T29"/>
  <c r="S29"/>
  <c r="R29"/>
  <c r="Q29"/>
  <c r="P29"/>
  <c r="O29"/>
  <c r="N29"/>
  <c r="M29"/>
  <c r="L29"/>
  <c r="K29"/>
  <c r="J29"/>
  <c r="H29"/>
  <c r="G29"/>
  <c r="AW28"/>
  <c r="AW31" s="1"/>
  <c r="AZ26" s="1"/>
  <c r="AK28"/>
  <c r="AJ28"/>
  <c r="AI28"/>
  <c r="AH28"/>
  <c r="AG28"/>
  <c r="AF28"/>
  <c r="AE28"/>
  <c r="AD28"/>
  <c r="AC28"/>
  <c r="AB28"/>
  <c r="AA28"/>
  <c r="Z28"/>
  <c r="U28"/>
  <c r="T28"/>
  <c r="S28"/>
  <c r="R28"/>
  <c r="Q28"/>
  <c r="P28"/>
  <c r="O28"/>
  <c r="N28"/>
  <c r="M28"/>
  <c r="L28"/>
  <c r="K28"/>
  <c r="J28"/>
  <c r="H28"/>
  <c r="G28"/>
  <c r="AK27"/>
  <c r="AJ27"/>
  <c r="AI27"/>
  <c r="AH27"/>
  <c r="AG27"/>
  <c r="AF27"/>
  <c r="AE27"/>
  <c r="AD27"/>
  <c r="AC27"/>
  <c r="AB27"/>
  <c r="AA27"/>
  <c r="Z27"/>
  <c r="U27"/>
  <c r="T27"/>
  <c r="S27"/>
  <c r="R27"/>
  <c r="Q27"/>
  <c r="P27"/>
  <c r="O27"/>
  <c r="N27"/>
  <c r="M27"/>
  <c r="L27"/>
  <c r="K27"/>
  <c r="J27"/>
  <c r="H27"/>
  <c r="G27"/>
  <c r="AK26"/>
  <c r="AJ26"/>
  <c r="AI26"/>
  <c r="AH26"/>
  <c r="AG26"/>
  <c r="AF26"/>
  <c r="AE26"/>
  <c r="AD26"/>
  <c r="AC26"/>
  <c r="AB26"/>
  <c r="AA26"/>
  <c r="Z26"/>
  <c r="U26"/>
  <c r="T26"/>
  <c r="S26"/>
  <c r="R26"/>
  <c r="Q26"/>
  <c r="P26"/>
  <c r="O26"/>
  <c r="N26"/>
  <c r="M26"/>
  <c r="L26"/>
  <c r="K26"/>
  <c r="J26"/>
  <c r="H26"/>
  <c r="G26"/>
  <c r="AZ25"/>
  <c r="AR25"/>
  <c r="AK25"/>
  <c r="AJ25"/>
  <c r="AI25"/>
  <c r="AH25"/>
  <c r="AG25"/>
  <c r="AF25"/>
  <c r="AE25"/>
  <c r="AD25"/>
  <c r="AC25"/>
  <c r="AB25"/>
  <c r="AA25"/>
  <c r="Z25"/>
  <c r="U25"/>
  <c r="T25"/>
  <c r="S25"/>
  <c r="R25"/>
  <c r="Q25"/>
  <c r="P25"/>
  <c r="O25"/>
  <c r="N25"/>
  <c r="M25"/>
  <c r="L25"/>
  <c r="K25"/>
  <c r="J25"/>
  <c r="H25"/>
  <c r="G25"/>
  <c r="AK24"/>
  <c r="AJ24"/>
  <c r="AI24"/>
  <c r="AH24"/>
  <c r="AG24"/>
  <c r="AF24"/>
  <c r="AE24"/>
  <c r="AD24"/>
  <c r="AC24"/>
  <c r="AB24"/>
  <c r="AA24"/>
  <c r="Z24"/>
  <c r="U24"/>
  <c r="T24"/>
  <c r="S24"/>
  <c r="R24"/>
  <c r="Q24"/>
  <c r="P24"/>
  <c r="O24"/>
  <c r="N24"/>
  <c r="M24"/>
  <c r="L24"/>
  <c r="K24"/>
  <c r="J24"/>
  <c r="H24"/>
  <c r="G24"/>
  <c r="AK23"/>
  <c r="AJ23"/>
  <c r="AI23"/>
  <c r="AH23"/>
  <c r="AG23"/>
  <c r="AF23"/>
  <c r="AE23"/>
  <c r="AD23"/>
  <c r="AC23"/>
  <c r="AB23"/>
  <c r="AA23"/>
  <c r="Z23"/>
  <c r="U23"/>
  <c r="T23"/>
  <c r="S23"/>
  <c r="R23"/>
  <c r="Q23"/>
  <c r="P23"/>
  <c r="O23"/>
  <c r="N23"/>
  <c r="M23"/>
  <c r="L23"/>
  <c r="K23"/>
  <c r="J23"/>
  <c r="H23"/>
  <c r="G23"/>
  <c r="AK22"/>
  <c r="AJ22"/>
  <c r="AI22"/>
  <c r="AH22"/>
  <c r="AG22"/>
  <c r="AF22"/>
  <c r="AE22"/>
  <c r="AD22"/>
  <c r="AC22"/>
  <c r="AB22"/>
  <c r="AA22"/>
  <c r="Z22"/>
  <c r="U22"/>
  <c r="T22"/>
  <c r="S22"/>
  <c r="R22"/>
  <c r="Q22"/>
  <c r="P22"/>
  <c r="O22"/>
  <c r="N22"/>
  <c r="M22"/>
  <c r="L22"/>
  <c r="K22"/>
  <c r="J22"/>
  <c r="H22"/>
  <c r="G22"/>
  <c r="AK21"/>
  <c r="AJ21"/>
  <c r="AI21"/>
  <c r="AH21"/>
  <c r="AG21"/>
  <c r="AF21"/>
  <c r="AE21"/>
  <c r="AD21"/>
  <c r="AC21"/>
  <c r="AB21"/>
  <c r="AA21"/>
  <c r="Z21"/>
  <c r="U21"/>
  <c r="T21"/>
  <c r="S21"/>
  <c r="R21"/>
  <c r="Q21"/>
  <c r="P21"/>
  <c r="O21"/>
  <c r="N21"/>
  <c r="M21"/>
  <c r="L21"/>
  <c r="K21"/>
  <c r="J21"/>
  <c r="H21"/>
  <c r="G21"/>
  <c r="AK20"/>
  <c r="AJ20"/>
  <c r="AI20"/>
  <c r="AH20"/>
  <c r="AG20"/>
  <c r="AF20"/>
  <c r="AE20"/>
  <c r="AD20"/>
  <c r="AC20"/>
  <c r="AB20"/>
  <c r="AA20"/>
  <c r="Z20"/>
  <c r="U20"/>
  <c r="T20"/>
  <c r="S20"/>
  <c r="R20"/>
  <c r="Q20"/>
  <c r="P20"/>
  <c r="O20"/>
  <c r="N20"/>
  <c r="M20"/>
  <c r="L20"/>
  <c r="K20"/>
  <c r="J20"/>
  <c r="H20"/>
  <c r="G20"/>
  <c r="AK19"/>
  <c r="AJ19"/>
  <c r="AI19"/>
  <c r="AH19"/>
  <c r="AG19"/>
  <c r="AF19"/>
  <c r="AE19"/>
  <c r="AD19"/>
  <c r="AC19"/>
  <c r="AB19"/>
  <c r="AA19"/>
  <c r="Z19"/>
  <c r="U19"/>
  <c r="T19"/>
  <c r="S19"/>
  <c r="R19"/>
  <c r="Q19"/>
  <c r="P19"/>
  <c r="O19"/>
  <c r="N19"/>
  <c r="M19"/>
  <c r="L19"/>
  <c r="K19"/>
  <c r="J19"/>
  <c r="H19"/>
  <c r="G19"/>
  <c r="AK18"/>
  <c r="AJ18"/>
  <c r="AI18"/>
  <c r="AH18"/>
  <c r="AG18"/>
  <c r="AF18"/>
  <c r="AE18"/>
  <c r="AD18"/>
  <c r="AC18"/>
  <c r="AB18"/>
  <c r="AA18"/>
  <c r="Z18"/>
  <c r="U18"/>
  <c r="T18"/>
  <c r="S18"/>
  <c r="R18"/>
  <c r="Q18"/>
  <c r="P18"/>
  <c r="O18"/>
  <c r="N18"/>
  <c r="M18"/>
  <c r="L18"/>
  <c r="K18"/>
  <c r="J18"/>
  <c r="H18"/>
  <c r="G18"/>
  <c r="AK17"/>
  <c r="AJ17"/>
  <c r="AI17"/>
  <c r="AH17"/>
  <c r="AG17"/>
  <c r="AF17"/>
  <c r="AE17"/>
  <c r="AD17"/>
  <c r="AC17"/>
  <c r="AB17"/>
  <c r="AA17"/>
  <c r="Z17"/>
  <c r="U17"/>
  <c r="T17"/>
  <c r="S17"/>
  <c r="R17"/>
  <c r="Q17"/>
  <c r="P17"/>
  <c r="O17"/>
  <c r="N17"/>
  <c r="M17"/>
  <c r="L17"/>
  <c r="K17"/>
  <c r="J17"/>
  <c r="H17"/>
  <c r="G17"/>
  <c r="AK16"/>
  <c r="AJ16"/>
  <c r="AI16"/>
  <c r="AH16"/>
  <c r="AG16"/>
  <c r="AF16"/>
  <c r="AE16"/>
  <c r="AD16"/>
  <c r="AC16"/>
  <c r="AB16"/>
  <c r="AA16"/>
  <c r="Z16"/>
  <c r="U16"/>
  <c r="T16"/>
  <c r="S16"/>
  <c r="R16"/>
  <c r="Q16"/>
  <c r="P16"/>
  <c r="O16"/>
  <c r="N16"/>
  <c r="M16"/>
  <c r="L16"/>
  <c r="K16"/>
  <c r="J16"/>
  <c r="H16"/>
  <c r="G16"/>
  <c r="AK15"/>
  <c r="AJ15"/>
  <c r="AI15"/>
  <c r="AH15"/>
  <c r="AG15"/>
  <c r="AF15"/>
  <c r="AE15"/>
  <c r="AD15"/>
  <c r="AC15"/>
  <c r="AB15"/>
  <c r="AA15"/>
  <c r="Z15"/>
  <c r="U15"/>
  <c r="T15"/>
  <c r="S15"/>
  <c r="R15"/>
  <c r="Q15"/>
  <c r="P15"/>
  <c r="O15"/>
  <c r="N15"/>
  <c r="M15"/>
  <c r="L15"/>
  <c r="K15"/>
  <c r="J15"/>
  <c r="H15"/>
  <c r="G15"/>
  <c r="AK14"/>
  <c r="AJ14"/>
  <c r="AI14"/>
  <c r="AH14"/>
  <c r="AG14"/>
  <c r="AF14"/>
  <c r="AE14"/>
  <c r="AD14"/>
  <c r="AC14"/>
  <c r="AB14"/>
  <c r="AA14"/>
  <c r="Z14"/>
  <c r="U14"/>
  <c r="T14"/>
  <c r="S14"/>
  <c r="R14"/>
  <c r="Q14"/>
  <c r="P14"/>
  <c r="O14"/>
  <c r="N14"/>
  <c r="M14"/>
  <c r="L14"/>
  <c r="K14"/>
  <c r="J14"/>
  <c r="H14"/>
  <c r="X14" s="1"/>
  <c r="G14"/>
  <c r="AK13"/>
  <c r="AJ13"/>
  <c r="AI13"/>
  <c r="AH13"/>
  <c r="AG13"/>
  <c r="AF13"/>
  <c r="AE13"/>
  <c r="AD13"/>
  <c r="AC13"/>
  <c r="AB13"/>
  <c r="AA13"/>
  <c r="Z13"/>
  <c r="X13"/>
  <c r="U13"/>
  <c r="T13"/>
  <c r="S13"/>
  <c r="R13"/>
  <c r="Q13"/>
  <c r="P13"/>
  <c r="O13"/>
  <c r="N13"/>
  <c r="M13"/>
  <c r="L13"/>
  <c r="K13"/>
  <c r="J13"/>
  <c r="H13"/>
  <c r="G13"/>
  <c r="AK12"/>
  <c r="AJ12"/>
  <c r="AI12"/>
  <c r="AH12"/>
  <c r="AG12"/>
  <c r="AF12"/>
  <c r="AE12"/>
  <c r="AD12"/>
  <c r="AC12"/>
  <c r="AB12"/>
  <c r="AA12"/>
  <c r="Z12"/>
  <c r="U12"/>
  <c r="T12"/>
  <c r="S12"/>
  <c r="R12"/>
  <c r="Q12"/>
  <c r="P12"/>
  <c r="O12"/>
  <c r="N12"/>
  <c r="M12"/>
  <c r="L12"/>
  <c r="K12"/>
  <c r="J12"/>
  <c r="H12"/>
  <c r="G12"/>
  <c r="AK11"/>
  <c r="AJ11"/>
  <c r="AI11"/>
  <c r="AH11"/>
  <c r="AG11"/>
  <c r="AF11"/>
  <c r="AE11"/>
  <c r="AD11"/>
  <c r="AC11"/>
  <c r="AB11"/>
  <c r="AA11"/>
  <c r="Z11"/>
  <c r="U11"/>
  <c r="T11"/>
  <c r="S11"/>
  <c r="R11"/>
  <c r="Q11"/>
  <c r="P11"/>
  <c r="O11"/>
  <c r="N11"/>
  <c r="M11"/>
  <c r="L11"/>
  <c r="K11"/>
  <c r="J11"/>
  <c r="H11"/>
  <c r="G11"/>
  <c r="AK10"/>
  <c r="AJ10"/>
  <c r="AI10"/>
  <c r="AH10"/>
  <c r="AG10"/>
  <c r="AF10"/>
  <c r="AE10"/>
  <c r="AD10"/>
  <c r="AC10"/>
  <c r="AB10"/>
  <c r="AA10"/>
  <c r="Z10"/>
  <c r="U10"/>
  <c r="T10"/>
  <c r="S10"/>
  <c r="R10"/>
  <c r="Q10"/>
  <c r="P10"/>
  <c r="O10"/>
  <c r="N10"/>
  <c r="M10"/>
  <c r="L10"/>
  <c r="K10"/>
  <c r="J10"/>
  <c r="H10"/>
  <c r="G10"/>
  <c r="AK9"/>
  <c r="AJ9"/>
  <c r="AI9"/>
  <c r="AH9"/>
  <c r="AG9"/>
  <c r="AF9"/>
  <c r="AE9"/>
  <c r="AD9"/>
  <c r="AC9"/>
  <c r="AB9"/>
  <c r="AA9"/>
  <c r="Z9"/>
  <c r="U9"/>
  <c r="T9"/>
  <c r="S9"/>
  <c r="R9"/>
  <c r="Q9"/>
  <c r="P9"/>
  <c r="O9"/>
  <c r="N9"/>
  <c r="M9"/>
  <c r="L9"/>
  <c r="K9"/>
  <c r="J9"/>
  <c r="H9"/>
  <c r="G9"/>
  <c r="AK8"/>
  <c r="AJ8"/>
  <c r="AI8"/>
  <c r="AH8"/>
  <c r="AG8"/>
  <c r="AF8"/>
  <c r="AE8"/>
  <c r="AD8"/>
  <c r="AC8"/>
  <c r="AB8"/>
  <c r="AA8"/>
  <c r="Z8"/>
  <c r="U8"/>
  <c r="T8"/>
  <c r="S8"/>
  <c r="R8"/>
  <c r="Q8"/>
  <c r="P8"/>
  <c r="O8"/>
  <c r="N8"/>
  <c r="M8"/>
  <c r="L8"/>
  <c r="K8"/>
  <c r="J8"/>
  <c r="H8"/>
  <c r="G8"/>
  <c r="AK7"/>
  <c r="AJ7"/>
  <c r="AI7"/>
  <c r="AH7"/>
  <c r="AG7"/>
  <c r="AF7"/>
  <c r="AE7"/>
  <c r="AD7"/>
  <c r="AC7"/>
  <c r="AB7"/>
  <c r="AA7"/>
  <c r="Z7"/>
  <c r="U7"/>
  <c r="T7"/>
  <c r="S7"/>
  <c r="R7"/>
  <c r="Q7"/>
  <c r="P7"/>
  <c r="O7"/>
  <c r="N7"/>
  <c r="M7"/>
  <c r="L7"/>
  <c r="K7"/>
  <c r="J7"/>
  <c r="H7"/>
  <c r="G7"/>
  <c r="AK6"/>
  <c r="AJ6"/>
  <c r="AI6"/>
  <c r="AG6"/>
  <c r="AF6"/>
  <c r="AE6"/>
  <c r="AD6"/>
  <c r="AC6"/>
  <c r="AB6"/>
  <c r="AA6"/>
  <c r="Z6"/>
  <c r="U6"/>
  <c r="T6"/>
  <c r="S6"/>
  <c r="R6"/>
  <c r="Q6"/>
  <c r="P6"/>
  <c r="O6"/>
  <c r="N6"/>
  <c r="M6"/>
  <c r="L6"/>
  <c r="K6"/>
  <c r="J6"/>
  <c r="G6"/>
  <c r="AH6" s="1"/>
  <c r="AK5"/>
  <c r="AJ5"/>
  <c r="AI5"/>
  <c r="AH5"/>
  <c r="AG5"/>
  <c r="AF5"/>
  <c r="AE5"/>
  <c r="AD5"/>
  <c r="AC5"/>
  <c r="AB5"/>
  <c r="AA5"/>
  <c r="Z5"/>
  <c r="U5"/>
  <c r="T5"/>
  <c r="S5"/>
  <c r="R5"/>
  <c r="Q5"/>
  <c r="P5"/>
  <c r="O5"/>
  <c r="N5"/>
  <c r="M5"/>
  <c r="K5"/>
  <c r="H5"/>
  <c r="L5" s="1"/>
  <c r="AK4"/>
  <c r="AJ4"/>
  <c r="AH4"/>
  <c r="AG4"/>
  <c r="AF4"/>
  <c r="AE4"/>
  <c r="AC4"/>
  <c r="AB4"/>
  <c r="AA4"/>
  <c r="Z4"/>
  <c r="U4"/>
  <c r="T4"/>
  <c r="R4"/>
  <c r="Q4"/>
  <c r="P4"/>
  <c r="O4"/>
  <c r="M4"/>
  <c r="L4"/>
  <c r="K4"/>
  <c r="J4"/>
  <c r="H4"/>
  <c r="N4" s="1"/>
  <c r="G4"/>
  <c r="AD4" s="1"/>
  <c r="AK3"/>
  <c r="AJ3"/>
  <c r="AH3"/>
  <c r="AG3"/>
  <c r="AF3"/>
  <c r="AE3"/>
  <c r="AD3"/>
  <c r="AC3"/>
  <c r="AB3"/>
  <c r="AA3"/>
  <c r="Z3"/>
  <c r="X3"/>
  <c r="U3"/>
  <c r="T3"/>
  <c r="S3"/>
  <c r="R3"/>
  <c r="Q3"/>
  <c r="P3"/>
  <c r="O3"/>
  <c r="N3"/>
  <c r="M3"/>
  <c r="L3"/>
  <c r="K3"/>
  <c r="J3"/>
  <c r="H3"/>
  <c r="G3"/>
  <c r="AN2"/>
  <c r="AN15" s="1"/>
  <c r="AM2"/>
  <c r="AM32" s="1"/>
  <c r="AL2"/>
  <c r="AL62" s="1"/>
  <c r="X2"/>
  <c r="W2"/>
  <c r="W15" s="1"/>
  <c r="V2"/>
  <c r="V32" s="1"/>
  <c r="H21" i="1"/>
  <c r="AP25" i="19"/>
  <c r="AF26"/>
  <c r="AF25"/>
  <c r="AE25"/>
  <c r="AF23"/>
  <c r="E25"/>
  <c r="J5"/>
  <c r="O6"/>
  <c r="R8" i="10"/>
  <c r="E63"/>
  <c r="AK62"/>
  <c r="AJ62"/>
  <c r="AI62"/>
  <c r="AH62"/>
  <c r="AG62"/>
  <c r="AF62"/>
  <c r="AE62"/>
  <c r="AD62"/>
  <c r="AC62"/>
  <c r="AB62"/>
  <c r="AA62"/>
  <c r="Z62"/>
  <c r="U62"/>
  <c r="T62"/>
  <c r="S62"/>
  <c r="R62"/>
  <c r="Q62"/>
  <c r="P62"/>
  <c r="O62"/>
  <c r="N62"/>
  <c r="M62"/>
  <c r="L62"/>
  <c r="K62"/>
  <c r="J62"/>
  <c r="H62"/>
  <c r="G62"/>
  <c r="AK61"/>
  <c r="AJ61"/>
  <c r="AI61"/>
  <c r="AH61"/>
  <c r="AG61"/>
  <c r="AF61"/>
  <c r="AE61"/>
  <c r="AD61"/>
  <c r="AC61"/>
  <c r="AB61"/>
  <c r="AA61"/>
  <c r="Z61"/>
  <c r="U61"/>
  <c r="T61"/>
  <c r="S61"/>
  <c r="R61"/>
  <c r="Q61"/>
  <c r="P61"/>
  <c r="O61"/>
  <c r="N61"/>
  <c r="M61"/>
  <c r="L61"/>
  <c r="K61"/>
  <c r="J61"/>
  <c r="H61"/>
  <c r="G61"/>
  <c r="AK60"/>
  <c r="AJ60"/>
  <c r="AI60"/>
  <c r="AH60"/>
  <c r="AG60"/>
  <c r="AF60"/>
  <c r="AE60"/>
  <c r="AD60"/>
  <c r="AC60"/>
  <c r="AB60"/>
  <c r="AA60"/>
  <c r="Z60"/>
  <c r="U60"/>
  <c r="T60"/>
  <c r="S60"/>
  <c r="R60"/>
  <c r="Q60"/>
  <c r="P60"/>
  <c r="O60"/>
  <c r="N60"/>
  <c r="M60"/>
  <c r="L60"/>
  <c r="K60"/>
  <c r="J60"/>
  <c r="H60"/>
  <c r="G60"/>
  <c r="AK59"/>
  <c r="AJ59"/>
  <c r="AI59"/>
  <c r="AH59"/>
  <c r="AG59"/>
  <c r="AF59"/>
  <c r="AE59"/>
  <c r="AD59"/>
  <c r="AC59"/>
  <c r="AB59"/>
  <c r="AA59"/>
  <c r="Z59"/>
  <c r="U59"/>
  <c r="T59"/>
  <c r="S59"/>
  <c r="R59"/>
  <c r="Q59"/>
  <c r="P59"/>
  <c r="O59"/>
  <c r="N59"/>
  <c r="M59"/>
  <c r="L59"/>
  <c r="K59"/>
  <c r="J59"/>
  <c r="H59"/>
  <c r="G59"/>
  <c r="AK58"/>
  <c r="AJ58"/>
  <c r="AI58"/>
  <c r="AH58"/>
  <c r="AG58"/>
  <c r="AF58"/>
  <c r="AE58"/>
  <c r="AD58"/>
  <c r="AC58"/>
  <c r="AB58"/>
  <c r="AA58"/>
  <c r="Z58"/>
  <c r="U58"/>
  <c r="T58"/>
  <c r="S58"/>
  <c r="R58"/>
  <c r="Q58"/>
  <c r="P58"/>
  <c r="O58"/>
  <c r="N58"/>
  <c r="M58"/>
  <c r="L58"/>
  <c r="K58"/>
  <c r="J58"/>
  <c r="H58"/>
  <c r="G58"/>
  <c r="AK57"/>
  <c r="AJ57"/>
  <c r="AI57"/>
  <c r="AH57"/>
  <c r="AG57"/>
  <c r="AF57"/>
  <c r="AE57"/>
  <c r="AD57"/>
  <c r="AC57"/>
  <c r="AB57"/>
  <c r="AA57"/>
  <c r="Z57"/>
  <c r="U57"/>
  <c r="T57"/>
  <c r="S57"/>
  <c r="R57"/>
  <c r="Q57"/>
  <c r="P57"/>
  <c r="O57"/>
  <c r="N57"/>
  <c r="M57"/>
  <c r="L57"/>
  <c r="K57"/>
  <c r="J57"/>
  <c r="H57"/>
  <c r="G57"/>
  <c r="AK56"/>
  <c r="AJ56"/>
  <c r="AI56"/>
  <c r="AH56"/>
  <c r="AG56"/>
  <c r="AF56"/>
  <c r="AE56"/>
  <c r="AD56"/>
  <c r="AC56"/>
  <c r="AB56"/>
  <c r="AA56"/>
  <c r="Z56"/>
  <c r="U56"/>
  <c r="T56"/>
  <c r="S56"/>
  <c r="R56"/>
  <c r="Q56"/>
  <c r="P56"/>
  <c r="O56"/>
  <c r="N56"/>
  <c r="M56"/>
  <c r="L56"/>
  <c r="K56"/>
  <c r="J56"/>
  <c r="H56"/>
  <c r="G56"/>
  <c r="AK55"/>
  <c r="AJ55"/>
  <c r="AI55"/>
  <c r="AH55"/>
  <c r="AG55"/>
  <c r="AF55"/>
  <c r="AE55"/>
  <c r="AD55"/>
  <c r="AC55"/>
  <c r="AB55"/>
  <c r="AA55"/>
  <c r="Z55"/>
  <c r="U55"/>
  <c r="T55"/>
  <c r="S55"/>
  <c r="R55"/>
  <c r="Q55"/>
  <c r="P55"/>
  <c r="O55"/>
  <c r="N55"/>
  <c r="M55"/>
  <c r="L55"/>
  <c r="K55"/>
  <c r="J55"/>
  <c r="H55"/>
  <c r="G55"/>
  <c r="AK54"/>
  <c r="AJ54"/>
  <c r="AI54"/>
  <c r="AH54"/>
  <c r="AG54"/>
  <c r="AF54"/>
  <c r="AE54"/>
  <c r="AD54"/>
  <c r="AC54"/>
  <c r="AB54"/>
  <c r="AA54"/>
  <c r="Z54"/>
  <c r="U54"/>
  <c r="T54"/>
  <c r="S54"/>
  <c r="R54"/>
  <c r="Q54"/>
  <c r="P54"/>
  <c r="O54"/>
  <c r="N54"/>
  <c r="M54"/>
  <c r="L54"/>
  <c r="K54"/>
  <c r="J54"/>
  <c r="H54"/>
  <c r="G54"/>
  <c r="AK53"/>
  <c r="AJ53"/>
  <c r="AI53"/>
  <c r="AH53"/>
  <c r="AG53"/>
  <c r="AF53"/>
  <c r="AE53"/>
  <c r="AD53"/>
  <c r="AC53"/>
  <c r="AB53"/>
  <c r="AA53"/>
  <c r="Z53"/>
  <c r="U53"/>
  <c r="T53"/>
  <c r="S53"/>
  <c r="R53"/>
  <c r="Q53"/>
  <c r="P53"/>
  <c r="O53"/>
  <c r="N53"/>
  <c r="M53"/>
  <c r="L53"/>
  <c r="K53"/>
  <c r="J53"/>
  <c r="H53"/>
  <c r="G53"/>
  <c r="AK52"/>
  <c r="AJ52"/>
  <c r="AI52"/>
  <c r="AH52"/>
  <c r="AG52"/>
  <c r="AF52"/>
  <c r="AE52"/>
  <c r="AD52"/>
  <c r="AC52"/>
  <c r="AB52"/>
  <c r="AA52"/>
  <c r="Z52"/>
  <c r="U52"/>
  <c r="T52"/>
  <c r="S52"/>
  <c r="R52"/>
  <c r="Q52"/>
  <c r="P52"/>
  <c r="O52"/>
  <c r="N52"/>
  <c r="M52"/>
  <c r="L52"/>
  <c r="K52"/>
  <c r="J52"/>
  <c r="H52"/>
  <c r="G52"/>
  <c r="AK51"/>
  <c r="AJ51"/>
  <c r="AI51"/>
  <c r="AH51"/>
  <c r="AG51"/>
  <c r="AF51"/>
  <c r="AE51"/>
  <c r="AD51"/>
  <c r="AC51"/>
  <c r="AB51"/>
  <c r="AA51"/>
  <c r="Z51"/>
  <c r="U51"/>
  <c r="T51"/>
  <c r="S51"/>
  <c r="R51"/>
  <c r="Q51"/>
  <c r="P51"/>
  <c r="O51"/>
  <c r="N51"/>
  <c r="M51"/>
  <c r="L51"/>
  <c r="K51"/>
  <c r="J51"/>
  <c r="H51"/>
  <c r="G51"/>
  <c r="AK50"/>
  <c r="AJ50"/>
  <c r="AI50"/>
  <c r="AH50"/>
  <c r="AG50"/>
  <c r="AF50"/>
  <c r="AE50"/>
  <c r="AD50"/>
  <c r="AC50"/>
  <c r="AB50"/>
  <c r="AA50"/>
  <c r="Z50"/>
  <c r="U50"/>
  <c r="T50"/>
  <c r="S50"/>
  <c r="R50"/>
  <c r="Q50"/>
  <c r="P50"/>
  <c r="O50"/>
  <c r="N50"/>
  <c r="M50"/>
  <c r="L50"/>
  <c r="K50"/>
  <c r="J50"/>
  <c r="H50"/>
  <c r="G50"/>
  <c r="AK49"/>
  <c r="AJ49"/>
  <c r="AI49"/>
  <c r="AH49"/>
  <c r="AG49"/>
  <c r="AF49"/>
  <c r="AE49"/>
  <c r="AD49"/>
  <c r="AC49"/>
  <c r="AB49"/>
  <c r="AA49"/>
  <c r="Z49"/>
  <c r="U49"/>
  <c r="T49"/>
  <c r="S49"/>
  <c r="R49"/>
  <c r="Q49"/>
  <c r="P49"/>
  <c r="O49"/>
  <c r="N49"/>
  <c r="M49"/>
  <c r="L49"/>
  <c r="K49"/>
  <c r="J49"/>
  <c r="H49"/>
  <c r="G49"/>
  <c r="AK48"/>
  <c r="AJ48"/>
  <c r="AI48"/>
  <c r="AH48"/>
  <c r="AG48"/>
  <c r="AF48"/>
  <c r="AE48"/>
  <c r="AD48"/>
  <c r="AC48"/>
  <c r="AB48"/>
  <c r="AA48"/>
  <c r="Z48"/>
  <c r="U48"/>
  <c r="T48"/>
  <c r="S48"/>
  <c r="R48"/>
  <c r="Q48"/>
  <c r="P48"/>
  <c r="O48"/>
  <c r="N48"/>
  <c r="M48"/>
  <c r="L48"/>
  <c r="K48"/>
  <c r="J48"/>
  <c r="H48"/>
  <c r="G48"/>
  <c r="AK47"/>
  <c r="AJ47"/>
  <c r="AI47"/>
  <c r="AH47"/>
  <c r="AG47"/>
  <c r="AF47"/>
  <c r="AE47"/>
  <c r="AD47"/>
  <c r="AC47"/>
  <c r="AB47"/>
  <c r="AA47"/>
  <c r="Z47"/>
  <c r="U47"/>
  <c r="T47"/>
  <c r="S47"/>
  <c r="R47"/>
  <c r="Q47"/>
  <c r="P47"/>
  <c r="O47"/>
  <c r="N47"/>
  <c r="M47"/>
  <c r="L47"/>
  <c r="K47"/>
  <c r="J47"/>
  <c r="H47"/>
  <c r="G47"/>
  <c r="AK46"/>
  <c r="AJ46"/>
  <c r="AI46"/>
  <c r="AH46"/>
  <c r="AG46"/>
  <c r="AF46"/>
  <c r="AE46"/>
  <c r="AD46"/>
  <c r="AC46"/>
  <c r="AB46"/>
  <c r="AA46"/>
  <c r="Z46"/>
  <c r="U46"/>
  <c r="T46"/>
  <c r="S46"/>
  <c r="R46"/>
  <c r="Q46"/>
  <c r="P46"/>
  <c r="O46"/>
  <c r="N46"/>
  <c r="M46"/>
  <c r="L46"/>
  <c r="K46"/>
  <c r="J46"/>
  <c r="H46"/>
  <c r="G46"/>
  <c r="AK45"/>
  <c r="AJ45"/>
  <c r="AI45"/>
  <c r="AH45"/>
  <c r="AG45"/>
  <c r="AF45"/>
  <c r="AE45"/>
  <c r="AD45"/>
  <c r="AC45"/>
  <c r="AB45"/>
  <c r="AA45"/>
  <c r="Z45"/>
  <c r="U45"/>
  <c r="T45"/>
  <c r="S45"/>
  <c r="R45"/>
  <c r="Q45"/>
  <c r="P45"/>
  <c r="O45"/>
  <c r="N45"/>
  <c r="M45"/>
  <c r="L45"/>
  <c r="K45"/>
  <c r="J45"/>
  <c r="H45"/>
  <c r="G45"/>
  <c r="AK44"/>
  <c r="AJ44"/>
  <c r="AI44"/>
  <c r="AH44"/>
  <c r="AG44"/>
  <c r="AF44"/>
  <c r="AE44"/>
  <c r="AD44"/>
  <c r="AC44"/>
  <c r="AB44"/>
  <c r="AA44"/>
  <c r="Z44"/>
  <c r="U44"/>
  <c r="T44"/>
  <c r="S44"/>
  <c r="R44"/>
  <c r="Q44"/>
  <c r="P44"/>
  <c r="O44"/>
  <c r="N44"/>
  <c r="M44"/>
  <c r="L44"/>
  <c r="K44"/>
  <c r="J44"/>
  <c r="H44"/>
  <c r="G44"/>
  <c r="AK43"/>
  <c r="AJ43"/>
  <c r="AI43"/>
  <c r="AH43"/>
  <c r="AG43"/>
  <c r="AF43"/>
  <c r="AE43"/>
  <c r="AD43"/>
  <c r="AC43"/>
  <c r="AB43"/>
  <c r="AA43"/>
  <c r="Z43"/>
  <c r="U43"/>
  <c r="T43"/>
  <c r="S43"/>
  <c r="R43"/>
  <c r="Q43"/>
  <c r="P43"/>
  <c r="O43"/>
  <c r="N43"/>
  <c r="M43"/>
  <c r="L43"/>
  <c r="K43"/>
  <c r="J43"/>
  <c r="H43"/>
  <c r="G43"/>
  <c r="AK42"/>
  <c r="AJ42"/>
  <c r="AI42"/>
  <c r="AH42"/>
  <c r="AG42"/>
  <c r="AF42"/>
  <c r="AE42"/>
  <c r="AD42"/>
  <c r="AC42"/>
  <c r="AB42"/>
  <c r="AA42"/>
  <c r="Z42"/>
  <c r="U42"/>
  <c r="T42"/>
  <c r="S42"/>
  <c r="R42"/>
  <c r="Q42"/>
  <c r="P42"/>
  <c r="O42"/>
  <c r="N42"/>
  <c r="M42"/>
  <c r="L42"/>
  <c r="K42"/>
  <c r="J42"/>
  <c r="H42"/>
  <c r="G42"/>
  <c r="AK41"/>
  <c r="AJ41"/>
  <c r="AI41"/>
  <c r="AH41"/>
  <c r="AG41"/>
  <c r="AF41"/>
  <c r="AE41"/>
  <c r="AD41"/>
  <c r="AC41"/>
  <c r="AB41"/>
  <c r="AA41"/>
  <c r="Z41"/>
  <c r="U41"/>
  <c r="T41"/>
  <c r="S41"/>
  <c r="R41"/>
  <c r="Q41"/>
  <c r="P41"/>
  <c r="O41"/>
  <c r="N41"/>
  <c r="M41"/>
  <c r="L41"/>
  <c r="K41"/>
  <c r="J41"/>
  <c r="H41"/>
  <c r="G41"/>
  <c r="AK40"/>
  <c r="AJ40"/>
  <c r="AI40"/>
  <c r="AH40"/>
  <c r="AG40"/>
  <c r="AF40"/>
  <c r="AE40"/>
  <c r="AD40"/>
  <c r="AC40"/>
  <c r="AB40"/>
  <c r="AA40"/>
  <c r="Z40"/>
  <c r="U40"/>
  <c r="T40"/>
  <c r="S40"/>
  <c r="R40"/>
  <c r="Q40"/>
  <c r="P40"/>
  <c r="O40"/>
  <c r="N40"/>
  <c r="M40"/>
  <c r="L40"/>
  <c r="K40"/>
  <c r="J40"/>
  <c r="H40"/>
  <c r="G40"/>
  <c r="AK39"/>
  <c r="AJ39"/>
  <c r="AI39"/>
  <c r="AH39"/>
  <c r="AG39"/>
  <c r="AF39"/>
  <c r="AE39"/>
  <c r="AD39"/>
  <c r="AC39"/>
  <c r="AB39"/>
  <c r="AA39"/>
  <c r="Z39"/>
  <c r="U39"/>
  <c r="T39"/>
  <c r="S39"/>
  <c r="R39"/>
  <c r="Q39"/>
  <c r="P39"/>
  <c r="O39"/>
  <c r="N39"/>
  <c r="M39"/>
  <c r="L39"/>
  <c r="K39"/>
  <c r="J39"/>
  <c r="H39"/>
  <c r="G39"/>
  <c r="AK38"/>
  <c r="AJ38"/>
  <c r="AI38"/>
  <c r="AH38"/>
  <c r="AG38"/>
  <c r="AF38"/>
  <c r="AE38"/>
  <c r="AD38"/>
  <c r="AC38"/>
  <c r="AB38"/>
  <c r="AA38"/>
  <c r="Z38"/>
  <c r="U38"/>
  <c r="T38"/>
  <c r="S38"/>
  <c r="R38"/>
  <c r="Q38"/>
  <c r="P38"/>
  <c r="O38"/>
  <c r="N38"/>
  <c r="M38"/>
  <c r="L38"/>
  <c r="K38"/>
  <c r="J38"/>
  <c r="H38"/>
  <c r="G38"/>
  <c r="AK37"/>
  <c r="AJ37"/>
  <c r="AI37"/>
  <c r="AH37"/>
  <c r="AG37"/>
  <c r="AF37"/>
  <c r="AE37"/>
  <c r="AD37"/>
  <c r="AC37"/>
  <c r="AB37"/>
  <c r="AA37"/>
  <c r="Z37"/>
  <c r="U37"/>
  <c r="T37"/>
  <c r="S37"/>
  <c r="R37"/>
  <c r="Q37"/>
  <c r="P37"/>
  <c r="O37"/>
  <c r="N37"/>
  <c r="M37"/>
  <c r="L37"/>
  <c r="K37"/>
  <c r="J37"/>
  <c r="H37"/>
  <c r="G37"/>
  <c r="AK36"/>
  <c r="AJ36"/>
  <c r="AI36"/>
  <c r="AH36"/>
  <c r="AG36"/>
  <c r="AF36"/>
  <c r="AE36"/>
  <c r="AD36"/>
  <c r="AC36"/>
  <c r="AB36"/>
  <c r="AA36"/>
  <c r="Z36"/>
  <c r="U36"/>
  <c r="T36"/>
  <c r="S36"/>
  <c r="R36"/>
  <c r="Q36"/>
  <c r="P36"/>
  <c r="O36"/>
  <c r="N36"/>
  <c r="M36"/>
  <c r="L36"/>
  <c r="K36"/>
  <c r="J36"/>
  <c r="H36"/>
  <c r="G36"/>
  <c r="AK35"/>
  <c r="AJ35"/>
  <c r="AI35"/>
  <c r="AH35"/>
  <c r="AG35"/>
  <c r="AF35"/>
  <c r="AE35"/>
  <c r="AD35"/>
  <c r="AC35"/>
  <c r="AB35"/>
  <c r="AA35"/>
  <c r="Z35"/>
  <c r="U35"/>
  <c r="T35"/>
  <c r="S35"/>
  <c r="R35"/>
  <c r="Q35"/>
  <c r="P35"/>
  <c r="O35"/>
  <c r="N35"/>
  <c r="M35"/>
  <c r="L35"/>
  <c r="K35"/>
  <c r="J35"/>
  <c r="H35"/>
  <c r="G35"/>
  <c r="AK34"/>
  <c r="AJ34"/>
  <c r="AI34"/>
  <c r="AH34"/>
  <c r="AG34"/>
  <c r="AF34"/>
  <c r="AE34"/>
  <c r="AD34"/>
  <c r="AC34"/>
  <c r="AB34"/>
  <c r="AA34"/>
  <c r="Z34"/>
  <c r="U34"/>
  <c r="T34"/>
  <c r="S34"/>
  <c r="R34"/>
  <c r="Q34"/>
  <c r="P34"/>
  <c r="O34"/>
  <c r="N34"/>
  <c r="M34"/>
  <c r="L34"/>
  <c r="K34"/>
  <c r="J34"/>
  <c r="AK33"/>
  <c r="AJ33"/>
  <c r="AI33"/>
  <c r="AH33"/>
  <c r="AG33"/>
  <c r="AF33"/>
  <c r="AE33"/>
  <c r="AD33"/>
  <c r="AC33"/>
  <c r="AB33"/>
  <c r="AA33"/>
  <c r="Z33"/>
  <c r="U33"/>
  <c r="T33"/>
  <c r="S33"/>
  <c r="R33"/>
  <c r="Q33"/>
  <c r="P33"/>
  <c r="O33"/>
  <c r="N33"/>
  <c r="M33"/>
  <c r="L33"/>
  <c r="K33"/>
  <c r="J33"/>
  <c r="AK32"/>
  <c r="AJ32"/>
  <c r="AI32"/>
  <c r="AH32"/>
  <c r="AG32"/>
  <c r="AF32"/>
  <c r="AE32"/>
  <c r="AD32"/>
  <c r="AC32"/>
  <c r="AB32"/>
  <c r="AA32"/>
  <c r="Z32"/>
  <c r="U32"/>
  <c r="T32"/>
  <c r="S32"/>
  <c r="R32"/>
  <c r="Q32"/>
  <c r="P32"/>
  <c r="O32"/>
  <c r="N32"/>
  <c r="M32"/>
  <c r="L32"/>
  <c r="K32"/>
  <c r="J32"/>
  <c r="AK31"/>
  <c r="AJ31"/>
  <c r="AI31"/>
  <c r="AH31"/>
  <c r="AG31"/>
  <c r="AF31"/>
  <c r="AE31"/>
  <c r="AD31"/>
  <c r="AC31"/>
  <c r="AB31"/>
  <c r="AA31"/>
  <c r="Z31"/>
  <c r="U31"/>
  <c r="T31"/>
  <c r="S31"/>
  <c r="R31"/>
  <c r="Q31"/>
  <c r="P31"/>
  <c r="O31"/>
  <c r="N31"/>
  <c r="M31"/>
  <c r="L31"/>
  <c r="K31"/>
  <c r="J31"/>
  <c r="AK30"/>
  <c r="AJ30"/>
  <c r="AI30"/>
  <c r="AH30"/>
  <c r="AG30"/>
  <c r="AF30"/>
  <c r="AE30"/>
  <c r="AD30"/>
  <c r="AC30"/>
  <c r="AB30"/>
  <c r="AA30"/>
  <c r="Z30"/>
  <c r="U30"/>
  <c r="T30"/>
  <c r="S30"/>
  <c r="R30"/>
  <c r="Q30"/>
  <c r="P30"/>
  <c r="O30"/>
  <c r="N30"/>
  <c r="M30"/>
  <c r="L30"/>
  <c r="K30"/>
  <c r="J30"/>
  <c r="AK29"/>
  <c r="AJ29"/>
  <c r="AI29"/>
  <c r="AH29"/>
  <c r="AG29"/>
  <c r="AF29"/>
  <c r="AE29"/>
  <c r="AD29"/>
  <c r="AC29"/>
  <c r="AB29"/>
  <c r="AA29"/>
  <c r="Z29"/>
  <c r="U29"/>
  <c r="T29"/>
  <c r="S29"/>
  <c r="R29"/>
  <c r="Q29"/>
  <c r="P29"/>
  <c r="O29"/>
  <c r="N29"/>
  <c r="M29"/>
  <c r="L29"/>
  <c r="K29"/>
  <c r="J29"/>
  <c r="AW28"/>
  <c r="AW31" s="1"/>
  <c r="AZ26" s="1"/>
  <c r="AK28"/>
  <c r="AJ28"/>
  <c r="AI28"/>
  <c r="AH28"/>
  <c r="AG28"/>
  <c r="AF28"/>
  <c r="AE28"/>
  <c r="AD28"/>
  <c r="AC28"/>
  <c r="AB28"/>
  <c r="AA28"/>
  <c r="Z28"/>
  <c r="U28"/>
  <c r="T28"/>
  <c r="S28"/>
  <c r="R28"/>
  <c r="Q28"/>
  <c r="P28"/>
  <c r="O28"/>
  <c r="N28"/>
  <c r="M28"/>
  <c r="L28"/>
  <c r="K28"/>
  <c r="J28"/>
  <c r="AK27"/>
  <c r="AJ27"/>
  <c r="AI27"/>
  <c r="AH27"/>
  <c r="AG27"/>
  <c r="AF27"/>
  <c r="AE27"/>
  <c r="AD27"/>
  <c r="AC27"/>
  <c r="AB27"/>
  <c r="AA27"/>
  <c r="Z27"/>
  <c r="U27"/>
  <c r="T27"/>
  <c r="S27"/>
  <c r="R27"/>
  <c r="Q27"/>
  <c r="P27"/>
  <c r="O27"/>
  <c r="N27"/>
  <c r="M27"/>
  <c r="L27"/>
  <c r="K27"/>
  <c r="J27"/>
  <c r="AK26"/>
  <c r="AJ26"/>
  <c r="AI26"/>
  <c r="AH26"/>
  <c r="AG26"/>
  <c r="AF26"/>
  <c r="AE26"/>
  <c r="AD26"/>
  <c r="AC26"/>
  <c r="AB26"/>
  <c r="AA26"/>
  <c r="Z26"/>
  <c r="U26"/>
  <c r="T26"/>
  <c r="S26"/>
  <c r="R26"/>
  <c r="Q26"/>
  <c r="P26"/>
  <c r="O26"/>
  <c r="N26"/>
  <c r="M26"/>
  <c r="L26"/>
  <c r="K26"/>
  <c r="J26"/>
  <c r="AZ25"/>
  <c r="AR25"/>
  <c r="AK25"/>
  <c r="AJ25"/>
  <c r="AI25"/>
  <c r="AH25"/>
  <c r="AG25"/>
  <c r="AF25"/>
  <c r="AE25"/>
  <c r="AD25"/>
  <c r="AC25"/>
  <c r="AB25"/>
  <c r="AA25"/>
  <c r="Z25"/>
  <c r="U25"/>
  <c r="T25"/>
  <c r="S25"/>
  <c r="R25"/>
  <c r="Q25"/>
  <c r="P25"/>
  <c r="O25"/>
  <c r="N25"/>
  <c r="M25"/>
  <c r="L25"/>
  <c r="K25"/>
  <c r="J25"/>
  <c r="AK24"/>
  <c r="AJ24"/>
  <c r="AI24"/>
  <c r="AH24"/>
  <c r="AG24"/>
  <c r="AF24"/>
  <c r="AE24"/>
  <c r="AD24"/>
  <c r="AC24"/>
  <c r="AB24"/>
  <c r="AA24"/>
  <c r="Z24"/>
  <c r="U24"/>
  <c r="T24"/>
  <c r="S24"/>
  <c r="R24"/>
  <c r="Q24"/>
  <c r="P24"/>
  <c r="O24"/>
  <c r="N24"/>
  <c r="M24"/>
  <c r="L24"/>
  <c r="K24"/>
  <c r="J24"/>
  <c r="AK23"/>
  <c r="AJ23"/>
  <c r="AI23"/>
  <c r="AH23"/>
  <c r="AG23"/>
  <c r="AF23"/>
  <c r="AE23"/>
  <c r="AD23"/>
  <c r="AC23"/>
  <c r="AB23"/>
  <c r="AA23"/>
  <c r="Z23"/>
  <c r="U23"/>
  <c r="T23"/>
  <c r="S23"/>
  <c r="R23"/>
  <c r="Q23"/>
  <c r="P23"/>
  <c r="O23"/>
  <c r="N23"/>
  <c r="M23"/>
  <c r="L23"/>
  <c r="K23"/>
  <c r="J23"/>
  <c r="AK22"/>
  <c r="AJ22"/>
  <c r="AI22"/>
  <c r="AH22"/>
  <c r="AG22"/>
  <c r="AF22"/>
  <c r="AE22"/>
  <c r="AD22"/>
  <c r="AC22"/>
  <c r="AB22"/>
  <c r="AA22"/>
  <c r="Z22"/>
  <c r="U22"/>
  <c r="T22"/>
  <c r="S22"/>
  <c r="R22"/>
  <c r="Q22"/>
  <c r="P22"/>
  <c r="O22"/>
  <c r="N22"/>
  <c r="M22"/>
  <c r="L22"/>
  <c r="K22"/>
  <c r="J22"/>
  <c r="AK21"/>
  <c r="AJ21"/>
  <c r="AI21"/>
  <c r="AH21"/>
  <c r="AG21"/>
  <c r="AF21"/>
  <c r="AE21"/>
  <c r="AD21"/>
  <c r="AC21"/>
  <c r="AB21"/>
  <c r="AA21"/>
  <c r="Z21"/>
  <c r="U21"/>
  <c r="T21"/>
  <c r="S21"/>
  <c r="R21"/>
  <c r="Q21"/>
  <c r="P21"/>
  <c r="O21"/>
  <c r="N21"/>
  <c r="M21"/>
  <c r="L21"/>
  <c r="K21"/>
  <c r="J21"/>
  <c r="AK20"/>
  <c r="AJ20"/>
  <c r="AI20"/>
  <c r="AH20"/>
  <c r="AG20"/>
  <c r="AF20"/>
  <c r="AE20"/>
  <c r="AD20"/>
  <c r="AC20"/>
  <c r="AB20"/>
  <c r="AA20"/>
  <c r="Z20"/>
  <c r="U20"/>
  <c r="T20"/>
  <c r="S20"/>
  <c r="R20"/>
  <c r="Q20"/>
  <c r="P20"/>
  <c r="O20"/>
  <c r="N20"/>
  <c r="M20"/>
  <c r="L20"/>
  <c r="K20"/>
  <c r="J20"/>
  <c r="AK19"/>
  <c r="AJ19"/>
  <c r="AI19"/>
  <c r="AH19"/>
  <c r="AG19"/>
  <c r="AF19"/>
  <c r="AE19"/>
  <c r="AD19"/>
  <c r="AC19"/>
  <c r="AB19"/>
  <c r="AA19"/>
  <c r="Z19"/>
  <c r="U19"/>
  <c r="T19"/>
  <c r="S19"/>
  <c r="R19"/>
  <c r="Q19"/>
  <c r="P19"/>
  <c r="O19"/>
  <c r="N19"/>
  <c r="M19"/>
  <c r="L19"/>
  <c r="K19"/>
  <c r="J19"/>
  <c r="AK18"/>
  <c r="AJ18"/>
  <c r="AI18"/>
  <c r="AH18"/>
  <c r="AG18"/>
  <c r="AF18"/>
  <c r="AE18"/>
  <c r="AD18"/>
  <c r="AC18"/>
  <c r="AB18"/>
  <c r="AA18"/>
  <c r="Z18"/>
  <c r="U18"/>
  <c r="T18"/>
  <c r="S18"/>
  <c r="R18"/>
  <c r="Q18"/>
  <c r="P18"/>
  <c r="O18"/>
  <c r="N18"/>
  <c r="M18"/>
  <c r="L18"/>
  <c r="K18"/>
  <c r="J18"/>
  <c r="AK17"/>
  <c r="AJ17"/>
  <c r="AI17"/>
  <c r="AH17"/>
  <c r="AG17"/>
  <c r="AF17"/>
  <c r="AE17"/>
  <c r="AD17"/>
  <c r="AC17"/>
  <c r="AB17"/>
  <c r="AA17"/>
  <c r="Z17"/>
  <c r="U17"/>
  <c r="T17"/>
  <c r="S17"/>
  <c r="R17"/>
  <c r="Q17"/>
  <c r="P17"/>
  <c r="O17"/>
  <c r="N17"/>
  <c r="M17"/>
  <c r="L17"/>
  <c r="K17"/>
  <c r="J17"/>
  <c r="AK16"/>
  <c r="AJ16"/>
  <c r="AI16"/>
  <c r="AH16"/>
  <c r="AG16"/>
  <c r="AF16"/>
  <c r="AE16"/>
  <c r="AD16"/>
  <c r="AC16"/>
  <c r="AB16"/>
  <c r="AA16"/>
  <c r="Z16"/>
  <c r="U16"/>
  <c r="T16"/>
  <c r="S16"/>
  <c r="R16"/>
  <c r="Q16"/>
  <c r="P16"/>
  <c r="O16"/>
  <c r="N16"/>
  <c r="M16"/>
  <c r="L16"/>
  <c r="K16"/>
  <c r="J16"/>
  <c r="AK15"/>
  <c r="AJ15"/>
  <c r="AI15"/>
  <c r="AH15"/>
  <c r="AG15"/>
  <c r="AF15"/>
  <c r="AE15"/>
  <c r="AD15"/>
  <c r="AC15"/>
  <c r="AB15"/>
  <c r="AA15"/>
  <c r="Z15"/>
  <c r="U15"/>
  <c r="T15"/>
  <c r="S15"/>
  <c r="R15"/>
  <c r="Q15"/>
  <c r="P15"/>
  <c r="O15"/>
  <c r="N15"/>
  <c r="M15"/>
  <c r="L15"/>
  <c r="K15"/>
  <c r="J15"/>
  <c r="AK14"/>
  <c r="AI14"/>
  <c r="AH14"/>
  <c r="AG14"/>
  <c r="AF14"/>
  <c r="AE14"/>
  <c r="AD14"/>
  <c r="AC14"/>
  <c r="AB14"/>
  <c r="AA14"/>
  <c r="Z14"/>
  <c r="U14"/>
  <c r="T14"/>
  <c r="S14"/>
  <c r="R14"/>
  <c r="Q14"/>
  <c r="P14"/>
  <c r="O14"/>
  <c r="N14"/>
  <c r="M14"/>
  <c r="L14"/>
  <c r="K14"/>
  <c r="J14"/>
  <c r="AJ14"/>
  <c r="AK13"/>
  <c r="AJ13"/>
  <c r="AI13"/>
  <c r="AH13"/>
  <c r="AG13"/>
  <c r="AF13"/>
  <c r="AE13"/>
  <c r="AD13"/>
  <c r="AC13"/>
  <c r="AA13"/>
  <c r="Z13"/>
  <c r="U13"/>
  <c r="T13"/>
  <c r="S13"/>
  <c r="R13"/>
  <c r="Q13"/>
  <c r="P13"/>
  <c r="O13"/>
  <c r="N13"/>
  <c r="M13"/>
  <c r="L13"/>
  <c r="K13"/>
  <c r="J13"/>
  <c r="X13"/>
  <c r="AB13"/>
  <c r="AK12"/>
  <c r="AJ12"/>
  <c r="AI12"/>
  <c r="AH12"/>
  <c r="AG12"/>
  <c r="AF12"/>
  <c r="AE12"/>
  <c r="AD12"/>
  <c r="AC12"/>
  <c r="AB12"/>
  <c r="AA12"/>
  <c r="Z12"/>
  <c r="U12"/>
  <c r="T12"/>
  <c r="S12"/>
  <c r="R12"/>
  <c r="Q12"/>
  <c r="P12"/>
  <c r="O12"/>
  <c r="N12"/>
  <c r="M12"/>
  <c r="L12"/>
  <c r="K12"/>
  <c r="J12"/>
  <c r="AM11"/>
  <c r="AK11"/>
  <c r="AJ11"/>
  <c r="AI11"/>
  <c r="AG11"/>
  <c r="AF11"/>
  <c r="AE11"/>
  <c r="AD11"/>
  <c r="AC11"/>
  <c r="AB11"/>
  <c r="AA11"/>
  <c r="Z11"/>
  <c r="V11"/>
  <c r="U11"/>
  <c r="T11"/>
  <c r="S11"/>
  <c r="R11"/>
  <c r="Q11"/>
  <c r="P11"/>
  <c r="O11"/>
  <c r="N11"/>
  <c r="M11"/>
  <c r="L11"/>
  <c r="K11"/>
  <c r="J11"/>
  <c r="AH11"/>
  <c r="AK10"/>
  <c r="AJ10"/>
  <c r="AI10"/>
  <c r="AH10"/>
  <c r="AG10"/>
  <c r="AF10"/>
  <c r="AE10"/>
  <c r="AD10"/>
  <c r="AC10"/>
  <c r="AB10"/>
  <c r="AA10"/>
  <c r="Z10"/>
  <c r="U10"/>
  <c r="T10"/>
  <c r="S10"/>
  <c r="Q10"/>
  <c r="P10"/>
  <c r="O10"/>
  <c r="N10"/>
  <c r="M10"/>
  <c r="L10"/>
  <c r="K10"/>
  <c r="J10"/>
  <c r="R10"/>
  <c r="AK9"/>
  <c r="AJ9"/>
  <c r="AI9"/>
  <c r="AH9"/>
  <c r="AG9"/>
  <c r="AF9"/>
  <c r="AE9"/>
  <c r="AD9"/>
  <c r="AC9"/>
  <c r="AB9"/>
  <c r="AA9"/>
  <c r="Z9"/>
  <c r="V9"/>
  <c r="U9"/>
  <c r="T9"/>
  <c r="S9"/>
  <c r="R9"/>
  <c r="Q9"/>
  <c r="P9"/>
  <c r="O9"/>
  <c r="N9"/>
  <c r="M9"/>
  <c r="L9"/>
  <c r="K9"/>
  <c r="J9"/>
  <c r="AK8"/>
  <c r="AJ8"/>
  <c r="AI8"/>
  <c r="AH8"/>
  <c r="AG8"/>
  <c r="AF8"/>
  <c r="AE8"/>
  <c r="AD8"/>
  <c r="AC8"/>
  <c r="AB8"/>
  <c r="AA8"/>
  <c r="Z8"/>
  <c r="U8"/>
  <c r="T8"/>
  <c r="S8"/>
  <c r="Q8"/>
  <c r="P8"/>
  <c r="O8"/>
  <c r="N8"/>
  <c r="M8"/>
  <c r="K8"/>
  <c r="J8"/>
  <c r="L8"/>
  <c r="AM7"/>
  <c r="AK7"/>
  <c r="AJ7"/>
  <c r="AI7"/>
  <c r="AH7"/>
  <c r="AG7"/>
  <c r="AF7"/>
  <c r="AE7"/>
  <c r="AD7"/>
  <c r="AC7"/>
  <c r="AA7"/>
  <c r="Z7"/>
  <c r="X7"/>
  <c r="U7"/>
  <c r="T7"/>
  <c r="S7"/>
  <c r="R7"/>
  <c r="Q7"/>
  <c r="P7"/>
  <c r="O7"/>
  <c r="N7"/>
  <c r="M7"/>
  <c r="K7"/>
  <c r="J7"/>
  <c r="L7"/>
  <c r="AB7"/>
  <c r="AK6"/>
  <c r="AJ6"/>
  <c r="AI6"/>
  <c r="AH6"/>
  <c r="AG6"/>
  <c r="AF6"/>
  <c r="AE6"/>
  <c r="AD6"/>
  <c r="AC6"/>
  <c r="AB6"/>
  <c r="AA6"/>
  <c r="Z6"/>
  <c r="U6"/>
  <c r="T6"/>
  <c r="S6"/>
  <c r="R6"/>
  <c r="Q6"/>
  <c r="P6"/>
  <c r="O6"/>
  <c r="N6"/>
  <c r="M6"/>
  <c r="L6"/>
  <c r="K6"/>
  <c r="J6"/>
  <c r="AM5"/>
  <c r="AK5"/>
  <c r="AJ5"/>
  <c r="AI5"/>
  <c r="AG5"/>
  <c r="AF5"/>
  <c r="AE5"/>
  <c r="AD5"/>
  <c r="AC5"/>
  <c r="AB5"/>
  <c r="AA5"/>
  <c r="Z5"/>
  <c r="X5"/>
  <c r="U5"/>
  <c r="T5"/>
  <c r="S5"/>
  <c r="Q5"/>
  <c r="P5"/>
  <c r="O5"/>
  <c r="N5"/>
  <c r="M5"/>
  <c r="L5"/>
  <c r="K5"/>
  <c r="J5"/>
  <c r="R5"/>
  <c r="AH5"/>
  <c r="AK4"/>
  <c r="AJ4"/>
  <c r="AI4"/>
  <c r="AG4"/>
  <c r="AF4"/>
  <c r="AE4"/>
  <c r="AD4"/>
  <c r="AC4"/>
  <c r="AB4"/>
  <c r="AA4"/>
  <c r="Z4"/>
  <c r="U4"/>
  <c r="T4"/>
  <c r="S4"/>
  <c r="Q4"/>
  <c r="P4"/>
  <c r="O4"/>
  <c r="N4"/>
  <c r="M4"/>
  <c r="L4"/>
  <c r="K4"/>
  <c r="J4"/>
  <c r="R4"/>
  <c r="AH4"/>
  <c r="AK3"/>
  <c r="AJ3"/>
  <c r="AI3"/>
  <c r="AG3"/>
  <c r="AF3"/>
  <c r="AE3"/>
  <c r="AD3"/>
  <c r="AC3"/>
  <c r="AB3"/>
  <c r="AA3"/>
  <c r="Z3"/>
  <c r="U3"/>
  <c r="T3"/>
  <c r="S3"/>
  <c r="R3"/>
  <c r="Q3"/>
  <c r="P3"/>
  <c r="O3"/>
  <c r="N3"/>
  <c r="M3"/>
  <c r="L3"/>
  <c r="K3"/>
  <c r="J3"/>
  <c r="AN2"/>
  <c r="AM2"/>
  <c r="AM32" s="1"/>
  <c r="AL2"/>
  <c r="AL62" s="1"/>
  <c r="X2"/>
  <c r="X34" s="1"/>
  <c r="W2"/>
  <c r="W26" s="1"/>
  <c r="V2"/>
  <c r="V32" s="1"/>
  <c r="H14" i="9"/>
  <c r="T14" s="1"/>
  <c r="G14"/>
  <c r="H13"/>
  <c r="L13" s="1"/>
  <c r="G13"/>
  <c r="H12"/>
  <c r="G12"/>
  <c r="H11"/>
  <c r="G11"/>
  <c r="H10"/>
  <c r="R10" s="1"/>
  <c r="G10"/>
  <c r="H9"/>
  <c r="G9"/>
  <c r="H8"/>
  <c r="G8"/>
  <c r="H7"/>
  <c r="L7" s="1"/>
  <c r="G7"/>
  <c r="G35"/>
  <c r="H35"/>
  <c r="G36"/>
  <c r="H36"/>
  <c r="G37"/>
  <c r="H37"/>
  <c r="G38"/>
  <c r="H38"/>
  <c r="G39"/>
  <c r="H39"/>
  <c r="AK62"/>
  <c r="AJ62"/>
  <c r="AI62"/>
  <c r="AH62"/>
  <c r="AG62"/>
  <c r="AF62"/>
  <c r="AE62"/>
  <c r="AD62"/>
  <c r="AC62"/>
  <c r="AB62"/>
  <c r="AA62"/>
  <c r="Z62"/>
  <c r="U62"/>
  <c r="T62"/>
  <c r="S62"/>
  <c r="R62"/>
  <c r="Q62"/>
  <c r="P62"/>
  <c r="O62"/>
  <c r="N62"/>
  <c r="M62"/>
  <c r="L62"/>
  <c r="K62"/>
  <c r="J62"/>
  <c r="H62"/>
  <c r="G62"/>
  <c r="AK61"/>
  <c r="AJ61"/>
  <c r="AI61"/>
  <c r="AH61"/>
  <c r="AG61"/>
  <c r="AF61"/>
  <c r="AE61"/>
  <c r="AD61"/>
  <c r="AC61"/>
  <c r="AB61"/>
  <c r="AA61"/>
  <c r="Z61"/>
  <c r="U61"/>
  <c r="T61"/>
  <c r="S61"/>
  <c r="R61"/>
  <c r="Q61"/>
  <c r="P61"/>
  <c r="O61"/>
  <c r="N61"/>
  <c r="M61"/>
  <c r="L61"/>
  <c r="K61"/>
  <c r="J61"/>
  <c r="H61"/>
  <c r="G61"/>
  <c r="AK60"/>
  <c r="AJ60"/>
  <c r="AI60"/>
  <c r="AH60"/>
  <c r="AG60"/>
  <c r="AF60"/>
  <c r="AE60"/>
  <c r="AD60"/>
  <c r="AC60"/>
  <c r="AB60"/>
  <c r="AA60"/>
  <c r="Z60"/>
  <c r="U60"/>
  <c r="T60"/>
  <c r="S60"/>
  <c r="R60"/>
  <c r="Q60"/>
  <c r="P60"/>
  <c r="O60"/>
  <c r="N60"/>
  <c r="M60"/>
  <c r="L60"/>
  <c r="K60"/>
  <c r="J60"/>
  <c r="H60"/>
  <c r="G60"/>
  <c r="AK59"/>
  <c r="AJ59"/>
  <c r="AI59"/>
  <c r="AH59"/>
  <c r="AG59"/>
  <c r="AF59"/>
  <c r="AE59"/>
  <c r="AD59"/>
  <c r="AC59"/>
  <c r="AB59"/>
  <c r="AA59"/>
  <c r="Z59"/>
  <c r="U59"/>
  <c r="T59"/>
  <c r="S59"/>
  <c r="R59"/>
  <c r="Q59"/>
  <c r="P59"/>
  <c r="O59"/>
  <c r="N59"/>
  <c r="M59"/>
  <c r="L59"/>
  <c r="K59"/>
  <c r="J59"/>
  <c r="H59"/>
  <c r="G59"/>
  <c r="AK58"/>
  <c r="AJ58"/>
  <c r="AI58"/>
  <c r="AH58"/>
  <c r="AG58"/>
  <c r="AF58"/>
  <c r="AE58"/>
  <c r="AD58"/>
  <c r="AC58"/>
  <c r="AB58"/>
  <c r="AA58"/>
  <c r="Z58"/>
  <c r="U58"/>
  <c r="T58"/>
  <c r="S58"/>
  <c r="R58"/>
  <c r="Q58"/>
  <c r="P58"/>
  <c r="O58"/>
  <c r="N58"/>
  <c r="M58"/>
  <c r="L58"/>
  <c r="K58"/>
  <c r="J58"/>
  <c r="H58"/>
  <c r="G58"/>
  <c r="AK57"/>
  <c r="AJ57"/>
  <c r="AI57"/>
  <c r="AH57"/>
  <c r="AG57"/>
  <c r="AF57"/>
  <c r="AE57"/>
  <c r="AD57"/>
  <c r="AC57"/>
  <c r="AB57"/>
  <c r="AA57"/>
  <c r="Z57"/>
  <c r="U57"/>
  <c r="T57"/>
  <c r="S57"/>
  <c r="R57"/>
  <c r="Q57"/>
  <c r="P57"/>
  <c r="O57"/>
  <c r="N57"/>
  <c r="M57"/>
  <c r="L57"/>
  <c r="K57"/>
  <c r="J57"/>
  <c r="H57"/>
  <c r="G57"/>
  <c r="AK56"/>
  <c r="AJ56"/>
  <c r="AI56"/>
  <c r="AH56"/>
  <c r="AG56"/>
  <c r="AF56"/>
  <c r="AE56"/>
  <c r="AD56"/>
  <c r="AC56"/>
  <c r="AB56"/>
  <c r="AA56"/>
  <c r="Z56"/>
  <c r="U56"/>
  <c r="T56"/>
  <c r="S56"/>
  <c r="R56"/>
  <c r="Q56"/>
  <c r="P56"/>
  <c r="O56"/>
  <c r="N56"/>
  <c r="M56"/>
  <c r="L56"/>
  <c r="K56"/>
  <c r="J56"/>
  <c r="H56"/>
  <c r="G56"/>
  <c r="AK55"/>
  <c r="AJ55"/>
  <c r="AI55"/>
  <c r="AH55"/>
  <c r="AG55"/>
  <c r="AF55"/>
  <c r="AE55"/>
  <c r="AD55"/>
  <c r="AC55"/>
  <c r="AB55"/>
  <c r="AA55"/>
  <c r="Z55"/>
  <c r="U55"/>
  <c r="T55"/>
  <c r="S55"/>
  <c r="R55"/>
  <c r="Q55"/>
  <c r="P55"/>
  <c r="O55"/>
  <c r="N55"/>
  <c r="M55"/>
  <c r="L55"/>
  <c r="K55"/>
  <c r="J55"/>
  <c r="H55"/>
  <c r="G55"/>
  <c r="AK54"/>
  <c r="AJ54"/>
  <c r="AI54"/>
  <c r="AH54"/>
  <c r="AG54"/>
  <c r="AF54"/>
  <c r="AE54"/>
  <c r="AD54"/>
  <c r="AC54"/>
  <c r="AB54"/>
  <c r="AA54"/>
  <c r="Z54"/>
  <c r="U54"/>
  <c r="T54"/>
  <c r="S54"/>
  <c r="R54"/>
  <c r="Q54"/>
  <c r="P54"/>
  <c r="O54"/>
  <c r="N54"/>
  <c r="M54"/>
  <c r="L54"/>
  <c r="K54"/>
  <c r="J54"/>
  <c r="H54"/>
  <c r="G54"/>
  <c r="AK53"/>
  <c r="AJ53"/>
  <c r="AI53"/>
  <c r="AH53"/>
  <c r="AG53"/>
  <c r="AF53"/>
  <c r="AE53"/>
  <c r="AD53"/>
  <c r="AC53"/>
  <c r="AB53"/>
  <c r="AA53"/>
  <c r="Z53"/>
  <c r="U53"/>
  <c r="T53"/>
  <c r="S53"/>
  <c r="R53"/>
  <c r="Q53"/>
  <c r="P53"/>
  <c r="O53"/>
  <c r="N53"/>
  <c r="M53"/>
  <c r="L53"/>
  <c r="K53"/>
  <c r="J53"/>
  <c r="H53"/>
  <c r="G53"/>
  <c r="AK52"/>
  <c r="AJ52"/>
  <c r="AI52"/>
  <c r="AH52"/>
  <c r="AG52"/>
  <c r="AF52"/>
  <c r="AE52"/>
  <c r="AD52"/>
  <c r="AC52"/>
  <c r="AB52"/>
  <c r="AA52"/>
  <c r="Z52"/>
  <c r="U52"/>
  <c r="T52"/>
  <c r="S52"/>
  <c r="R52"/>
  <c r="Q52"/>
  <c r="P52"/>
  <c r="O52"/>
  <c r="N52"/>
  <c r="M52"/>
  <c r="L52"/>
  <c r="K52"/>
  <c r="J52"/>
  <c r="H52"/>
  <c r="G52"/>
  <c r="AK51"/>
  <c r="AJ51"/>
  <c r="AI51"/>
  <c r="AH51"/>
  <c r="AG51"/>
  <c r="AF51"/>
  <c r="AE51"/>
  <c r="AD51"/>
  <c r="AC51"/>
  <c r="AB51"/>
  <c r="AA51"/>
  <c r="Z51"/>
  <c r="U51"/>
  <c r="T51"/>
  <c r="S51"/>
  <c r="R51"/>
  <c r="Q51"/>
  <c r="P51"/>
  <c r="O51"/>
  <c r="N51"/>
  <c r="M51"/>
  <c r="L51"/>
  <c r="K51"/>
  <c r="J51"/>
  <c r="H51"/>
  <c r="G51"/>
  <c r="AK50"/>
  <c r="AJ50"/>
  <c r="AI50"/>
  <c r="AH50"/>
  <c r="AG50"/>
  <c r="AF50"/>
  <c r="AE50"/>
  <c r="AD50"/>
  <c r="AC50"/>
  <c r="AB50"/>
  <c r="AA50"/>
  <c r="Z50"/>
  <c r="U50"/>
  <c r="T50"/>
  <c r="S50"/>
  <c r="R50"/>
  <c r="Q50"/>
  <c r="P50"/>
  <c r="O50"/>
  <c r="N50"/>
  <c r="M50"/>
  <c r="L50"/>
  <c r="K50"/>
  <c r="J50"/>
  <c r="H50"/>
  <c r="G50"/>
  <c r="AK49"/>
  <c r="AJ49"/>
  <c r="AI49"/>
  <c r="AH49"/>
  <c r="AG49"/>
  <c r="AF49"/>
  <c r="AE49"/>
  <c r="AD49"/>
  <c r="AC49"/>
  <c r="AB49"/>
  <c r="AA49"/>
  <c r="Z49"/>
  <c r="U49"/>
  <c r="T49"/>
  <c r="S49"/>
  <c r="R49"/>
  <c r="Q49"/>
  <c r="P49"/>
  <c r="O49"/>
  <c r="N49"/>
  <c r="M49"/>
  <c r="L49"/>
  <c r="K49"/>
  <c r="J49"/>
  <c r="H49"/>
  <c r="G49"/>
  <c r="AK48"/>
  <c r="AJ48"/>
  <c r="AI48"/>
  <c r="AH48"/>
  <c r="AG48"/>
  <c r="AF48"/>
  <c r="AE48"/>
  <c r="AD48"/>
  <c r="AC48"/>
  <c r="AB48"/>
  <c r="AA48"/>
  <c r="Z48"/>
  <c r="U48"/>
  <c r="T48"/>
  <c r="S48"/>
  <c r="R48"/>
  <c r="Q48"/>
  <c r="P48"/>
  <c r="O48"/>
  <c r="N48"/>
  <c r="M48"/>
  <c r="L48"/>
  <c r="K48"/>
  <c r="J48"/>
  <c r="H48"/>
  <c r="G48"/>
  <c r="AK47"/>
  <c r="AJ47"/>
  <c r="AI47"/>
  <c r="AH47"/>
  <c r="AG47"/>
  <c r="AF47"/>
  <c r="AE47"/>
  <c r="AD47"/>
  <c r="AC47"/>
  <c r="AB47"/>
  <c r="AA47"/>
  <c r="Z47"/>
  <c r="U47"/>
  <c r="T47"/>
  <c r="S47"/>
  <c r="R47"/>
  <c r="Q47"/>
  <c r="P47"/>
  <c r="O47"/>
  <c r="N47"/>
  <c r="M47"/>
  <c r="L47"/>
  <c r="K47"/>
  <c r="J47"/>
  <c r="H47"/>
  <c r="G47"/>
  <c r="AK46"/>
  <c r="AJ46"/>
  <c r="AI46"/>
  <c r="AH46"/>
  <c r="AG46"/>
  <c r="AF46"/>
  <c r="AE46"/>
  <c r="AD46"/>
  <c r="AC46"/>
  <c r="AB46"/>
  <c r="AA46"/>
  <c r="Z46"/>
  <c r="U46"/>
  <c r="T46"/>
  <c r="S46"/>
  <c r="R46"/>
  <c r="Q46"/>
  <c r="P46"/>
  <c r="O46"/>
  <c r="N46"/>
  <c r="M46"/>
  <c r="L46"/>
  <c r="K46"/>
  <c r="J46"/>
  <c r="H46"/>
  <c r="G46"/>
  <c r="AK45"/>
  <c r="AJ45"/>
  <c r="AI45"/>
  <c r="AH45"/>
  <c r="AG45"/>
  <c r="AF45"/>
  <c r="AE45"/>
  <c r="AD45"/>
  <c r="AC45"/>
  <c r="AB45"/>
  <c r="AA45"/>
  <c r="Z45"/>
  <c r="U45"/>
  <c r="T45"/>
  <c r="S45"/>
  <c r="R45"/>
  <c r="Q45"/>
  <c r="P45"/>
  <c r="O45"/>
  <c r="N45"/>
  <c r="M45"/>
  <c r="L45"/>
  <c r="K45"/>
  <c r="J45"/>
  <c r="H45"/>
  <c r="G45"/>
  <c r="AK44"/>
  <c r="AJ44"/>
  <c r="AI44"/>
  <c r="AH44"/>
  <c r="AG44"/>
  <c r="AF44"/>
  <c r="AE44"/>
  <c r="AD44"/>
  <c r="AC44"/>
  <c r="AB44"/>
  <c r="AA44"/>
  <c r="Z44"/>
  <c r="U44"/>
  <c r="T44"/>
  <c r="S44"/>
  <c r="R44"/>
  <c r="Q44"/>
  <c r="P44"/>
  <c r="O44"/>
  <c r="N44"/>
  <c r="M44"/>
  <c r="L44"/>
  <c r="K44"/>
  <c r="J44"/>
  <c r="H44"/>
  <c r="G44"/>
  <c r="AK43"/>
  <c r="AJ43"/>
  <c r="AI43"/>
  <c r="AH43"/>
  <c r="AG43"/>
  <c r="AF43"/>
  <c r="AE43"/>
  <c r="AD43"/>
  <c r="AC43"/>
  <c r="AB43"/>
  <c r="AA43"/>
  <c r="Z43"/>
  <c r="U43"/>
  <c r="T43"/>
  <c r="S43"/>
  <c r="R43"/>
  <c r="Q43"/>
  <c r="P43"/>
  <c r="O43"/>
  <c r="N43"/>
  <c r="M43"/>
  <c r="L43"/>
  <c r="K43"/>
  <c r="J43"/>
  <c r="H43"/>
  <c r="G43"/>
  <c r="AK42"/>
  <c r="AJ42"/>
  <c r="AI42"/>
  <c r="AH42"/>
  <c r="AG42"/>
  <c r="AF42"/>
  <c r="AE42"/>
  <c r="AD42"/>
  <c r="AC42"/>
  <c r="AB42"/>
  <c r="AA42"/>
  <c r="Z42"/>
  <c r="U42"/>
  <c r="T42"/>
  <c r="S42"/>
  <c r="R42"/>
  <c r="Q42"/>
  <c r="P42"/>
  <c r="O42"/>
  <c r="N42"/>
  <c r="M42"/>
  <c r="L42"/>
  <c r="K42"/>
  <c r="J42"/>
  <c r="H42"/>
  <c r="G42"/>
  <c r="AK41"/>
  <c r="AJ41"/>
  <c r="AI41"/>
  <c r="AH41"/>
  <c r="AG41"/>
  <c r="AF41"/>
  <c r="AE41"/>
  <c r="AD41"/>
  <c r="AC41"/>
  <c r="AB41"/>
  <c r="AA41"/>
  <c r="Z41"/>
  <c r="U41"/>
  <c r="T41"/>
  <c r="S41"/>
  <c r="R41"/>
  <c r="Q41"/>
  <c r="P41"/>
  <c r="O41"/>
  <c r="N41"/>
  <c r="M41"/>
  <c r="L41"/>
  <c r="K41"/>
  <c r="J41"/>
  <c r="H41"/>
  <c r="G41"/>
  <c r="AK40"/>
  <c r="AJ40"/>
  <c r="AI40"/>
  <c r="AH40"/>
  <c r="AG40"/>
  <c r="AF40"/>
  <c r="AE40"/>
  <c r="AD40"/>
  <c r="AC40"/>
  <c r="AB40"/>
  <c r="AA40"/>
  <c r="Z40"/>
  <c r="U40"/>
  <c r="T40"/>
  <c r="S40"/>
  <c r="R40"/>
  <c r="Q40"/>
  <c r="P40"/>
  <c r="O40"/>
  <c r="N40"/>
  <c r="M40"/>
  <c r="L40"/>
  <c r="K40"/>
  <c r="J40"/>
  <c r="H40"/>
  <c r="G40"/>
  <c r="AK39"/>
  <c r="AJ39"/>
  <c r="AI39"/>
  <c r="AH39"/>
  <c r="AG39"/>
  <c r="AF39"/>
  <c r="AE39"/>
  <c r="AD39"/>
  <c r="AC39"/>
  <c r="AB39"/>
  <c r="AA39"/>
  <c r="Z39"/>
  <c r="U39"/>
  <c r="T39"/>
  <c r="S39"/>
  <c r="R39"/>
  <c r="Q39"/>
  <c r="P39"/>
  <c r="O39"/>
  <c r="N39"/>
  <c r="M39"/>
  <c r="L39"/>
  <c r="K39"/>
  <c r="J39"/>
  <c r="AK38"/>
  <c r="AJ38"/>
  <c r="AI38"/>
  <c r="AH38"/>
  <c r="AG38"/>
  <c r="AF38"/>
  <c r="AE38"/>
  <c r="AD38"/>
  <c r="AC38"/>
  <c r="AB38"/>
  <c r="AA38"/>
  <c r="Z38"/>
  <c r="U38"/>
  <c r="T38"/>
  <c r="S38"/>
  <c r="R38"/>
  <c r="Q38"/>
  <c r="P38"/>
  <c r="O38"/>
  <c r="N38"/>
  <c r="M38"/>
  <c r="L38"/>
  <c r="K38"/>
  <c r="J38"/>
  <c r="AK37"/>
  <c r="AJ37"/>
  <c r="AI37"/>
  <c r="AH37"/>
  <c r="AG37"/>
  <c r="AF37"/>
  <c r="AE37"/>
  <c r="AD37"/>
  <c r="AC37"/>
  <c r="AB37"/>
  <c r="AA37"/>
  <c r="Z37"/>
  <c r="U37"/>
  <c r="T37"/>
  <c r="S37"/>
  <c r="R37"/>
  <c r="Q37"/>
  <c r="P37"/>
  <c r="O37"/>
  <c r="N37"/>
  <c r="M37"/>
  <c r="L37"/>
  <c r="K37"/>
  <c r="J37"/>
  <c r="AK36"/>
  <c r="AJ36"/>
  <c r="AI36"/>
  <c r="AH36"/>
  <c r="AG36"/>
  <c r="AF36"/>
  <c r="AE36"/>
  <c r="AD36"/>
  <c r="AC36"/>
  <c r="AB36"/>
  <c r="AA36"/>
  <c r="Z36"/>
  <c r="U36"/>
  <c r="T36"/>
  <c r="S36"/>
  <c r="R36"/>
  <c r="Q36"/>
  <c r="P36"/>
  <c r="O36"/>
  <c r="N36"/>
  <c r="M36"/>
  <c r="L36"/>
  <c r="K36"/>
  <c r="J36"/>
  <c r="AK35"/>
  <c r="AJ35"/>
  <c r="AI35"/>
  <c r="AH35"/>
  <c r="AG35"/>
  <c r="AF35"/>
  <c r="AE35"/>
  <c r="AD35"/>
  <c r="AC35"/>
  <c r="AB35"/>
  <c r="AA35"/>
  <c r="Z35"/>
  <c r="U35"/>
  <c r="T35"/>
  <c r="S35"/>
  <c r="R35"/>
  <c r="Q35"/>
  <c r="P35"/>
  <c r="O35"/>
  <c r="N35"/>
  <c r="M35"/>
  <c r="L35"/>
  <c r="K35"/>
  <c r="J35"/>
  <c r="AK34"/>
  <c r="AJ34"/>
  <c r="AI34"/>
  <c r="AH34"/>
  <c r="AG34"/>
  <c r="AF34"/>
  <c r="AE34"/>
  <c r="AD34"/>
  <c r="AC34"/>
  <c r="AB34"/>
  <c r="AA34"/>
  <c r="Z34"/>
  <c r="U34"/>
  <c r="T34"/>
  <c r="S34"/>
  <c r="R34"/>
  <c r="Q34"/>
  <c r="P34"/>
  <c r="O34"/>
  <c r="N34"/>
  <c r="M34"/>
  <c r="L34"/>
  <c r="K34"/>
  <c r="J34"/>
  <c r="AK33"/>
  <c r="AJ33"/>
  <c r="AI33"/>
  <c r="AH33"/>
  <c r="AG33"/>
  <c r="AF33"/>
  <c r="AE33"/>
  <c r="AD33"/>
  <c r="AC33"/>
  <c r="AB33"/>
  <c r="AA33"/>
  <c r="Z33"/>
  <c r="U33"/>
  <c r="T33"/>
  <c r="S33"/>
  <c r="R33"/>
  <c r="Q33"/>
  <c r="P33"/>
  <c r="O33"/>
  <c r="N33"/>
  <c r="M33"/>
  <c r="L33"/>
  <c r="K33"/>
  <c r="J33"/>
  <c r="AK32"/>
  <c r="AJ32"/>
  <c r="AI32"/>
  <c r="AH32"/>
  <c r="AG32"/>
  <c r="AF32"/>
  <c r="AE32"/>
  <c r="AD32"/>
  <c r="AC32"/>
  <c r="AB32"/>
  <c r="AA32"/>
  <c r="Z32"/>
  <c r="U32"/>
  <c r="T32"/>
  <c r="S32"/>
  <c r="R32"/>
  <c r="Q32"/>
  <c r="P32"/>
  <c r="O32"/>
  <c r="N32"/>
  <c r="M32"/>
  <c r="L32"/>
  <c r="K32"/>
  <c r="J32"/>
  <c r="AK31"/>
  <c r="AJ31"/>
  <c r="AI31"/>
  <c r="AH31"/>
  <c r="AG31"/>
  <c r="AF31"/>
  <c r="AE31"/>
  <c r="AD31"/>
  <c r="AC31"/>
  <c r="AB31"/>
  <c r="AA31"/>
  <c r="Z31"/>
  <c r="U31"/>
  <c r="T31"/>
  <c r="S31"/>
  <c r="R31"/>
  <c r="Q31"/>
  <c r="P31"/>
  <c r="O31"/>
  <c r="N31"/>
  <c r="M31"/>
  <c r="L31"/>
  <c r="K31"/>
  <c r="J31"/>
  <c r="AK30"/>
  <c r="AJ30"/>
  <c r="AI30"/>
  <c r="AH30"/>
  <c r="AG30"/>
  <c r="AF30"/>
  <c r="AE30"/>
  <c r="AD30"/>
  <c r="AC30"/>
  <c r="AB30"/>
  <c r="AA30"/>
  <c r="Z30"/>
  <c r="U30"/>
  <c r="T30"/>
  <c r="S30"/>
  <c r="R30"/>
  <c r="Q30"/>
  <c r="P30"/>
  <c r="O30"/>
  <c r="N30"/>
  <c r="M30"/>
  <c r="L30"/>
  <c r="K30"/>
  <c r="J30"/>
  <c r="AK29"/>
  <c r="AJ29"/>
  <c r="AI29"/>
  <c r="AH29"/>
  <c r="AG29"/>
  <c r="AF29"/>
  <c r="AE29"/>
  <c r="AD29"/>
  <c r="AC29"/>
  <c r="AB29"/>
  <c r="AA29"/>
  <c r="Z29"/>
  <c r="U29"/>
  <c r="T29"/>
  <c r="S29"/>
  <c r="R29"/>
  <c r="Q29"/>
  <c r="P29"/>
  <c r="O29"/>
  <c r="N29"/>
  <c r="M29"/>
  <c r="L29"/>
  <c r="K29"/>
  <c r="J29"/>
  <c r="AW28"/>
  <c r="AW31" s="1"/>
  <c r="AZ26" s="1"/>
  <c r="AK28"/>
  <c r="AJ28"/>
  <c r="AI28"/>
  <c r="AH28"/>
  <c r="AG28"/>
  <c r="AF28"/>
  <c r="AE28"/>
  <c r="AD28"/>
  <c r="AC28"/>
  <c r="AB28"/>
  <c r="AA28"/>
  <c r="Z28"/>
  <c r="U28"/>
  <c r="T28"/>
  <c r="S28"/>
  <c r="R28"/>
  <c r="Q28"/>
  <c r="P28"/>
  <c r="O28"/>
  <c r="N28"/>
  <c r="M28"/>
  <c r="L28"/>
  <c r="K28"/>
  <c r="J28"/>
  <c r="AK27"/>
  <c r="AJ27"/>
  <c r="AI27"/>
  <c r="AH27"/>
  <c r="AG27"/>
  <c r="AF27"/>
  <c r="AE27"/>
  <c r="AD27"/>
  <c r="AC27"/>
  <c r="AB27"/>
  <c r="AA27"/>
  <c r="Z27"/>
  <c r="U27"/>
  <c r="T27"/>
  <c r="S27"/>
  <c r="R27"/>
  <c r="Q27"/>
  <c r="P27"/>
  <c r="O27"/>
  <c r="N27"/>
  <c r="M27"/>
  <c r="L27"/>
  <c r="K27"/>
  <c r="J27"/>
  <c r="AK26"/>
  <c r="AJ26"/>
  <c r="AI26"/>
  <c r="AH26"/>
  <c r="AG26"/>
  <c r="AF26"/>
  <c r="AE26"/>
  <c r="AD26"/>
  <c r="AC26"/>
  <c r="AB26"/>
  <c r="AA26"/>
  <c r="Z26"/>
  <c r="U26"/>
  <c r="T26"/>
  <c r="S26"/>
  <c r="R26"/>
  <c r="Q26"/>
  <c r="P26"/>
  <c r="O26"/>
  <c r="N26"/>
  <c r="M26"/>
  <c r="L26"/>
  <c r="K26"/>
  <c r="J26"/>
  <c r="AZ25"/>
  <c r="AR25"/>
  <c r="AK25"/>
  <c r="AJ25"/>
  <c r="AI25"/>
  <c r="AH25"/>
  <c r="AG25"/>
  <c r="AF25"/>
  <c r="AE25"/>
  <c r="AD25"/>
  <c r="AC25"/>
  <c r="AB25"/>
  <c r="AA25"/>
  <c r="Z25"/>
  <c r="U25"/>
  <c r="T25"/>
  <c r="S25"/>
  <c r="R25"/>
  <c r="Q25"/>
  <c r="P25"/>
  <c r="O25"/>
  <c r="N25"/>
  <c r="M25"/>
  <c r="L25"/>
  <c r="K25"/>
  <c r="J25"/>
  <c r="AK24"/>
  <c r="AJ24"/>
  <c r="AI24"/>
  <c r="AH24"/>
  <c r="AG24"/>
  <c r="AF24"/>
  <c r="AE24"/>
  <c r="AD24"/>
  <c r="AC24"/>
  <c r="AB24"/>
  <c r="Z24"/>
  <c r="U24"/>
  <c r="T24"/>
  <c r="S24"/>
  <c r="R24"/>
  <c r="Q24"/>
  <c r="P24"/>
  <c r="O24"/>
  <c r="N24"/>
  <c r="M24"/>
  <c r="L24"/>
  <c r="J24"/>
  <c r="K24"/>
  <c r="AA24"/>
  <c r="AK23"/>
  <c r="AJ23"/>
  <c r="AI23"/>
  <c r="AH23"/>
  <c r="AG23"/>
  <c r="AE23"/>
  <c r="AD23"/>
  <c r="AC23"/>
  <c r="AB23"/>
  <c r="AA23"/>
  <c r="Z23"/>
  <c r="U23"/>
  <c r="T23"/>
  <c r="S23"/>
  <c r="R23"/>
  <c r="Q23"/>
  <c r="O23"/>
  <c r="N23"/>
  <c r="M23"/>
  <c r="L23"/>
  <c r="K23"/>
  <c r="J23"/>
  <c r="P23"/>
  <c r="AF23"/>
  <c r="AK22"/>
  <c r="AJ22"/>
  <c r="AI22"/>
  <c r="AH22"/>
  <c r="AG22"/>
  <c r="AF22"/>
  <c r="AE22"/>
  <c r="AD22"/>
  <c r="AC22"/>
  <c r="AB22"/>
  <c r="AA22"/>
  <c r="Z22"/>
  <c r="U22"/>
  <c r="T22"/>
  <c r="S22"/>
  <c r="R22"/>
  <c r="Q22"/>
  <c r="P22"/>
  <c r="O22"/>
  <c r="N22"/>
  <c r="M22"/>
  <c r="L22"/>
  <c r="K22"/>
  <c r="J22"/>
  <c r="AK21"/>
  <c r="AJ21"/>
  <c r="AI21"/>
  <c r="AH21"/>
  <c r="AG21"/>
  <c r="AF21"/>
  <c r="AE21"/>
  <c r="AD21"/>
  <c r="AC21"/>
  <c r="AB21"/>
  <c r="AA21"/>
  <c r="Z21"/>
  <c r="U21"/>
  <c r="T21"/>
  <c r="S21"/>
  <c r="R21"/>
  <c r="Q21"/>
  <c r="P21"/>
  <c r="O21"/>
  <c r="N21"/>
  <c r="M21"/>
  <c r="L21"/>
  <c r="K21"/>
  <c r="J21"/>
  <c r="AK20"/>
  <c r="AJ20"/>
  <c r="AH20"/>
  <c r="AG20"/>
  <c r="AF20"/>
  <c r="AE20"/>
  <c r="AD20"/>
  <c r="AC20"/>
  <c r="AB20"/>
  <c r="AA20"/>
  <c r="Z20"/>
  <c r="U20"/>
  <c r="T20"/>
  <c r="R20"/>
  <c r="Q20"/>
  <c r="P20"/>
  <c r="O20"/>
  <c r="N20"/>
  <c r="M20"/>
  <c r="L20"/>
  <c r="K20"/>
  <c r="J20"/>
  <c r="S20"/>
  <c r="AI20"/>
  <c r="AK19"/>
  <c r="AI19"/>
  <c r="AH19"/>
  <c r="AG19"/>
  <c r="AF19"/>
  <c r="AE19"/>
  <c r="AD19"/>
  <c r="AC19"/>
  <c r="AB19"/>
  <c r="Z19"/>
  <c r="U19"/>
  <c r="S19"/>
  <c r="R19"/>
  <c r="Q19"/>
  <c r="P19"/>
  <c r="O19"/>
  <c r="N19"/>
  <c r="M19"/>
  <c r="L19"/>
  <c r="J19"/>
  <c r="T19"/>
  <c r="AJ19"/>
  <c r="AK18"/>
  <c r="AJ18"/>
  <c r="AH18"/>
  <c r="AG18"/>
  <c r="AF18"/>
  <c r="AE18"/>
  <c r="AD18"/>
  <c r="AC18"/>
  <c r="AA18"/>
  <c r="Z18"/>
  <c r="U18"/>
  <c r="T18"/>
  <c r="R18"/>
  <c r="Q18"/>
  <c r="P18"/>
  <c r="O18"/>
  <c r="N18"/>
  <c r="M18"/>
  <c r="K18"/>
  <c r="J18"/>
  <c r="H18"/>
  <c r="L18" s="1"/>
  <c r="G18"/>
  <c r="AB18" s="1"/>
  <c r="AK17"/>
  <c r="AJ17"/>
  <c r="AI17"/>
  <c r="AG17"/>
  <c r="AF17"/>
  <c r="AE17"/>
  <c r="AC17"/>
  <c r="AB17"/>
  <c r="AA17"/>
  <c r="Z17"/>
  <c r="U17"/>
  <c r="T17"/>
  <c r="S17"/>
  <c r="Q17"/>
  <c r="P17"/>
  <c r="O17"/>
  <c r="M17"/>
  <c r="L17"/>
  <c r="K17"/>
  <c r="J17"/>
  <c r="H17"/>
  <c r="N17" s="1"/>
  <c r="G17"/>
  <c r="AD17" s="1"/>
  <c r="E63"/>
  <c r="AK16"/>
  <c r="AJ16"/>
  <c r="AH16"/>
  <c r="AG16"/>
  <c r="AF16"/>
  <c r="AE16"/>
  <c r="AD16"/>
  <c r="AC16"/>
  <c r="AB16"/>
  <c r="AA16"/>
  <c r="Z16"/>
  <c r="U16"/>
  <c r="T16"/>
  <c r="R16"/>
  <c r="Q16"/>
  <c r="P16"/>
  <c r="O16"/>
  <c r="N16"/>
  <c r="M16"/>
  <c r="L16"/>
  <c r="K16"/>
  <c r="J16"/>
  <c r="H16"/>
  <c r="S16" s="1"/>
  <c r="G16"/>
  <c r="AI16" s="1"/>
  <c r="AK15"/>
  <c r="AJ15"/>
  <c r="AI15"/>
  <c r="AH15"/>
  <c r="AG15"/>
  <c r="AF15"/>
  <c r="AE15"/>
  <c r="AD15"/>
  <c r="AC15"/>
  <c r="AB15"/>
  <c r="Z15"/>
  <c r="U15"/>
  <c r="T15"/>
  <c r="S15"/>
  <c r="R15"/>
  <c r="Q15"/>
  <c r="P15"/>
  <c r="O15"/>
  <c r="N15"/>
  <c r="M15"/>
  <c r="L15"/>
  <c r="J15"/>
  <c r="H15"/>
  <c r="X15" s="1"/>
  <c r="G15"/>
  <c r="AA15" s="1"/>
  <c r="AK14"/>
  <c r="AJ14"/>
  <c r="AI14"/>
  <c r="AH14"/>
  <c r="AG14"/>
  <c r="AF14"/>
  <c r="AE14"/>
  <c r="AD14"/>
  <c r="AB14"/>
  <c r="AA14"/>
  <c r="Z14"/>
  <c r="U14"/>
  <c r="S14"/>
  <c r="R14"/>
  <c r="Q14"/>
  <c r="P14"/>
  <c r="O14"/>
  <c r="N14"/>
  <c r="L14"/>
  <c r="K14"/>
  <c r="J14"/>
  <c r="M14"/>
  <c r="AC14"/>
  <c r="AY13"/>
  <c r="AY16" s="1"/>
  <c r="AY18" s="1"/>
  <c r="AK13"/>
  <c r="AJ13"/>
  <c r="AI13"/>
  <c r="AG13"/>
  <c r="AF13"/>
  <c r="AE13"/>
  <c r="AD13"/>
  <c r="AC13"/>
  <c r="AB13"/>
  <c r="AA13"/>
  <c r="Z13"/>
  <c r="U13"/>
  <c r="T13"/>
  <c r="S13"/>
  <c r="Q13"/>
  <c r="P13"/>
  <c r="O13"/>
  <c r="N13"/>
  <c r="M13"/>
  <c r="K13"/>
  <c r="J13"/>
  <c r="R13"/>
  <c r="AH13"/>
  <c r="AK12"/>
  <c r="AJ12"/>
  <c r="AI12"/>
  <c r="AG12"/>
  <c r="AF12"/>
  <c r="AE12"/>
  <c r="AD12"/>
  <c r="AC12"/>
  <c r="AB12"/>
  <c r="AA12"/>
  <c r="Z12"/>
  <c r="U12"/>
  <c r="T12"/>
  <c r="S12"/>
  <c r="R12"/>
  <c r="Q12"/>
  <c r="P12"/>
  <c r="O12"/>
  <c r="N12"/>
  <c r="M12"/>
  <c r="L12"/>
  <c r="K12"/>
  <c r="J12"/>
  <c r="AH12"/>
  <c r="AK11"/>
  <c r="AJ11"/>
  <c r="AI11"/>
  <c r="AH11"/>
  <c r="AG11"/>
  <c r="AF11"/>
  <c r="AE11"/>
  <c r="AD11"/>
  <c r="AC11"/>
  <c r="AB11"/>
  <c r="AA11"/>
  <c r="Z11"/>
  <c r="U11"/>
  <c r="T11"/>
  <c r="S11"/>
  <c r="R11"/>
  <c r="Q11"/>
  <c r="P11"/>
  <c r="O11"/>
  <c r="N11"/>
  <c r="M11"/>
  <c r="L11"/>
  <c r="K11"/>
  <c r="J11"/>
  <c r="AK10"/>
  <c r="AJ10"/>
  <c r="AH10"/>
  <c r="AG10"/>
  <c r="AF10"/>
  <c r="AE10"/>
  <c r="AD10"/>
  <c r="AC10"/>
  <c r="AB10"/>
  <c r="AA10"/>
  <c r="Z10"/>
  <c r="U10"/>
  <c r="T10"/>
  <c r="Q10"/>
  <c r="P10"/>
  <c r="O10"/>
  <c r="N10"/>
  <c r="M10"/>
  <c r="L10"/>
  <c r="K10"/>
  <c r="J10"/>
  <c r="S10"/>
  <c r="AI10"/>
  <c r="AK9"/>
  <c r="AJ9"/>
  <c r="AI9"/>
  <c r="AH9"/>
  <c r="AG9"/>
  <c r="AF9"/>
  <c r="AE9"/>
  <c r="AD9"/>
  <c r="AC9"/>
  <c r="AA9"/>
  <c r="Z9"/>
  <c r="U9"/>
  <c r="T9"/>
  <c r="S9"/>
  <c r="R9"/>
  <c r="Q9"/>
  <c r="P9"/>
  <c r="O9"/>
  <c r="N9"/>
  <c r="M9"/>
  <c r="L9"/>
  <c r="K9"/>
  <c r="J9"/>
  <c r="X9"/>
  <c r="AB9"/>
  <c r="AK8"/>
  <c r="AJ8"/>
  <c r="AI8"/>
  <c r="AH8"/>
  <c r="AG8"/>
  <c r="AF8"/>
  <c r="AE8"/>
  <c r="AD8"/>
  <c r="AC8"/>
  <c r="AB8"/>
  <c r="AA8"/>
  <c r="Z8"/>
  <c r="U8"/>
  <c r="T8"/>
  <c r="S8"/>
  <c r="R8"/>
  <c r="Q8"/>
  <c r="P8"/>
  <c r="O8"/>
  <c r="N8"/>
  <c r="M8"/>
  <c r="K8"/>
  <c r="J8"/>
  <c r="L8"/>
  <c r="AK7"/>
  <c r="AJ7"/>
  <c r="AI7"/>
  <c r="AH7"/>
  <c r="AG7"/>
  <c r="AF7"/>
  <c r="AE7"/>
  <c r="AD7"/>
  <c r="AC7"/>
  <c r="AA7"/>
  <c r="Z7"/>
  <c r="U7"/>
  <c r="T7"/>
  <c r="S7"/>
  <c r="R7"/>
  <c r="Q7"/>
  <c r="P7"/>
  <c r="O7"/>
  <c r="N7"/>
  <c r="M7"/>
  <c r="K7"/>
  <c r="J7"/>
  <c r="AB7"/>
  <c r="AK6"/>
  <c r="AJ6"/>
  <c r="AI6"/>
  <c r="AH6"/>
  <c r="AG6"/>
  <c r="AF6"/>
  <c r="AE6"/>
  <c r="AD6"/>
  <c r="AC6"/>
  <c r="AB6"/>
  <c r="AA6"/>
  <c r="Z6"/>
  <c r="X6"/>
  <c r="U6"/>
  <c r="T6"/>
  <c r="S6"/>
  <c r="R6"/>
  <c r="Q6"/>
  <c r="P6"/>
  <c r="O6"/>
  <c r="N6"/>
  <c r="M6"/>
  <c r="L6"/>
  <c r="K6"/>
  <c r="J6"/>
  <c r="AL5"/>
  <c r="AK5"/>
  <c r="AJ5"/>
  <c r="AI5"/>
  <c r="AH5"/>
  <c r="AG5"/>
  <c r="AF5"/>
  <c r="AE5"/>
  <c r="AD5"/>
  <c r="AC5"/>
  <c r="AB5"/>
  <c r="AA5"/>
  <c r="Z5"/>
  <c r="U5"/>
  <c r="T5"/>
  <c r="S5"/>
  <c r="Q5"/>
  <c r="P5"/>
  <c r="O5"/>
  <c r="N5"/>
  <c r="M5"/>
  <c r="L5"/>
  <c r="K5"/>
  <c r="J5"/>
  <c r="H5"/>
  <c r="R5" s="1"/>
  <c r="G5"/>
  <c r="AL4"/>
  <c r="AK4"/>
  <c r="AJ4"/>
  <c r="AI4"/>
  <c r="AH4"/>
  <c r="AG4"/>
  <c r="AF4"/>
  <c r="AE4"/>
  <c r="AD4"/>
  <c r="AC4"/>
  <c r="AB4"/>
  <c r="AA4"/>
  <c r="Z4"/>
  <c r="X4"/>
  <c r="U4"/>
  <c r="T4"/>
  <c r="S4"/>
  <c r="Q4"/>
  <c r="P4"/>
  <c r="O4"/>
  <c r="N4"/>
  <c r="M4"/>
  <c r="L4"/>
  <c r="K4"/>
  <c r="J4"/>
  <c r="H4"/>
  <c r="R4" s="1"/>
  <c r="G4"/>
  <c r="AK3"/>
  <c r="AJ3"/>
  <c r="AI3"/>
  <c r="AG3"/>
  <c r="AF3"/>
  <c r="AE3"/>
  <c r="AD3"/>
  <c r="AC3"/>
  <c r="AB3"/>
  <c r="AA3"/>
  <c r="Z3"/>
  <c r="X3"/>
  <c r="U3"/>
  <c r="T3"/>
  <c r="S3"/>
  <c r="Q3"/>
  <c r="P3"/>
  <c r="O3"/>
  <c r="N3"/>
  <c r="M3"/>
  <c r="L3"/>
  <c r="K3"/>
  <c r="J3"/>
  <c r="H3"/>
  <c r="R3" s="1"/>
  <c r="G3"/>
  <c r="AN2"/>
  <c r="AN38" s="1"/>
  <c r="AM2"/>
  <c r="AM34" s="1"/>
  <c r="AL2"/>
  <c r="AL62" s="1"/>
  <c r="X2"/>
  <c r="X33" s="1"/>
  <c r="W2"/>
  <c r="W38" s="1"/>
  <c r="V2"/>
  <c r="V34" s="1"/>
  <c r="H17" i="1"/>
  <c r="G40" i="7"/>
  <c r="H40"/>
  <c r="H42" i="1"/>
  <c r="S45" i="18"/>
  <c r="AF56"/>
  <c r="AG55" s="1"/>
  <c r="AG57" s="1"/>
  <c r="AH45"/>
  <c r="AK45" s="1"/>
  <c r="H38" i="1"/>
  <c r="Z63" i="14" l="1"/>
  <c r="AS2" s="1"/>
  <c r="J5"/>
  <c r="AD63"/>
  <c r="AS6" s="1"/>
  <c r="AI4"/>
  <c r="S4"/>
  <c r="S63" s="1"/>
  <c r="AT11" s="1"/>
  <c r="G63" i="10"/>
  <c r="H63"/>
  <c r="AN26"/>
  <c r="K63"/>
  <c r="AT3" s="1"/>
  <c r="O63"/>
  <c r="AT7" s="1"/>
  <c r="S63"/>
  <c r="AT11" s="1"/>
  <c r="AF63"/>
  <c r="AS8" s="1"/>
  <c r="M63"/>
  <c r="AT5" s="1"/>
  <c r="Q63"/>
  <c r="AT9" s="1"/>
  <c r="U63"/>
  <c r="AT13" s="1"/>
  <c r="AB63"/>
  <c r="AS4" s="1"/>
  <c r="Z63"/>
  <c r="AS2" s="1"/>
  <c r="AD63"/>
  <c r="AS6" s="1"/>
  <c r="AA19" i="9"/>
  <c r="K19"/>
  <c r="AJ63"/>
  <c r="AS12" s="1"/>
  <c r="T63"/>
  <c r="AT12" s="1"/>
  <c r="AR12" s="1"/>
  <c r="AL11"/>
  <c r="AL7" i="14"/>
  <c r="AL10"/>
  <c r="G63" i="9"/>
  <c r="L63"/>
  <c r="AT4" s="1"/>
  <c r="P63"/>
  <c r="AT8" s="1"/>
  <c r="U63"/>
  <c r="AT13" s="1"/>
  <c r="AK63"/>
  <c r="AS13" s="1"/>
  <c r="AM5"/>
  <c r="V7"/>
  <c r="AL7"/>
  <c r="K15"/>
  <c r="J63" i="10"/>
  <c r="AT2" s="1"/>
  <c r="N63"/>
  <c r="AT6" s="1"/>
  <c r="R63"/>
  <c r="AT10" s="1"/>
  <c r="V3"/>
  <c r="AC63"/>
  <c r="AS5" s="1"/>
  <c r="AM3"/>
  <c r="V5"/>
  <c r="V7"/>
  <c r="AM9"/>
  <c r="X34" i="14"/>
  <c r="G63"/>
  <c r="AA63"/>
  <c r="AS3" s="1"/>
  <c r="AE63"/>
  <c r="AS7" s="1"/>
  <c r="X6"/>
  <c r="AL6"/>
  <c r="X9"/>
  <c r="M63" i="9"/>
  <c r="AT5" s="1"/>
  <c r="Q63"/>
  <c r="AT9" s="1"/>
  <c r="AI63" i="10"/>
  <c r="AS11" s="1"/>
  <c r="H63" i="14"/>
  <c r="M63"/>
  <c r="AT5" s="1"/>
  <c r="Q63"/>
  <c r="AT9" s="1"/>
  <c r="U63"/>
  <c r="AT13" s="1"/>
  <c r="AB63"/>
  <c r="AS4" s="1"/>
  <c r="AF63"/>
  <c r="AS8" s="1"/>
  <c r="AK63"/>
  <c r="AS13" s="1"/>
  <c r="Z63" i="9"/>
  <c r="AS2" s="1"/>
  <c r="V5"/>
  <c r="AL6"/>
  <c r="AL10"/>
  <c r="L63" i="10"/>
  <c r="AT4" s="1"/>
  <c r="P63"/>
  <c r="AT8" s="1"/>
  <c r="T63"/>
  <c r="AT12" s="1"/>
  <c r="AA63"/>
  <c r="AS3" s="1"/>
  <c r="AE63"/>
  <c r="AS7" s="1"/>
  <c r="AJ63"/>
  <c r="AS12" s="1"/>
  <c r="X9"/>
  <c r="X11"/>
  <c r="J63" i="14"/>
  <c r="AT2" s="1"/>
  <c r="AR2" s="1"/>
  <c r="N63"/>
  <c r="AT6" s="1"/>
  <c r="R63"/>
  <c r="AT10" s="1"/>
  <c r="AC63"/>
  <c r="AS5" s="1"/>
  <c r="AG63"/>
  <c r="AS9" s="1"/>
  <c r="AL4"/>
  <c r="X10"/>
  <c r="AL11"/>
  <c r="AL14"/>
  <c r="S18" i="9"/>
  <c r="S63" s="1"/>
  <c r="AT11" s="1"/>
  <c r="J63"/>
  <c r="AT2" s="1"/>
  <c r="AI18"/>
  <c r="AI63" s="1"/>
  <c r="AS11" s="1"/>
  <c r="K63" i="14"/>
  <c r="AT3" s="1"/>
  <c r="O63"/>
  <c r="AT7" s="1"/>
  <c r="L63"/>
  <c r="AT4" s="1"/>
  <c r="P63"/>
  <c r="AT8" s="1"/>
  <c r="AR8" s="1"/>
  <c r="T63"/>
  <c r="AT12" s="1"/>
  <c r="AJ63"/>
  <c r="AS12" s="1"/>
  <c r="X4"/>
  <c r="AH63"/>
  <c r="AS10" s="1"/>
  <c r="W5"/>
  <c r="AN5"/>
  <c r="V7"/>
  <c r="AM7"/>
  <c r="W8"/>
  <c r="AN8"/>
  <c r="V11"/>
  <c r="AM11"/>
  <c r="W12"/>
  <c r="AN12"/>
  <c r="V15"/>
  <c r="AM15"/>
  <c r="W16"/>
  <c r="AN16"/>
  <c r="X17"/>
  <c r="AL18"/>
  <c r="AL19"/>
  <c r="AL20"/>
  <c r="AL21"/>
  <c r="AL22"/>
  <c r="AL23"/>
  <c r="AL24"/>
  <c r="W25"/>
  <c r="AN25"/>
  <c r="AL26"/>
  <c r="W27"/>
  <c r="AN27"/>
  <c r="W28"/>
  <c r="AN28"/>
  <c r="X29"/>
  <c r="X30"/>
  <c r="W31"/>
  <c r="AN31"/>
  <c r="AL32"/>
  <c r="W33"/>
  <c r="AN33"/>
  <c r="W34"/>
  <c r="AN34"/>
  <c r="X35"/>
  <c r="X36"/>
  <c r="X37"/>
  <c r="X38"/>
  <c r="X39"/>
  <c r="X40"/>
  <c r="X41"/>
  <c r="X42"/>
  <c r="X43"/>
  <c r="X44"/>
  <c r="X45"/>
  <c r="X46"/>
  <c r="X47"/>
  <c r="X48"/>
  <c r="X49"/>
  <c r="X50"/>
  <c r="X51"/>
  <c r="X52"/>
  <c r="X53"/>
  <c r="X54"/>
  <c r="X55"/>
  <c r="X56"/>
  <c r="X57"/>
  <c r="X58"/>
  <c r="X59"/>
  <c r="X60"/>
  <c r="X61"/>
  <c r="X62"/>
  <c r="W3"/>
  <c r="AN3"/>
  <c r="V5"/>
  <c r="AM5"/>
  <c r="V8"/>
  <c r="AM8"/>
  <c r="W9"/>
  <c r="AN9"/>
  <c r="V12"/>
  <c r="AM12"/>
  <c r="W13"/>
  <c r="AN13"/>
  <c r="AL15"/>
  <c r="V16"/>
  <c r="AM16"/>
  <c r="W17"/>
  <c r="AN17"/>
  <c r="X18"/>
  <c r="X19"/>
  <c r="X20"/>
  <c r="X21"/>
  <c r="X22"/>
  <c r="X23"/>
  <c r="X24"/>
  <c r="V25"/>
  <c r="AM25"/>
  <c r="X26"/>
  <c r="V27"/>
  <c r="AM27"/>
  <c r="V28"/>
  <c r="AM28"/>
  <c r="W29"/>
  <c r="AN29"/>
  <c r="W30"/>
  <c r="AN30"/>
  <c r="V31"/>
  <c r="AM31"/>
  <c r="X32"/>
  <c r="V33"/>
  <c r="AM33"/>
  <c r="V34"/>
  <c r="AM34"/>
  <c r="W35"/>
  <c r="AN35"/>
  <c r="W36"/>
  <c r="AN36"/>
  <c r="W37"/>
  <c r="AN37"/>
  <c r="W38"/>
  <c r="AN38"/>
  <c r="W39"/>
  <c r="AN39"/>
  <c r="W40"/>
  <c r="AN40"/>
  <c r="W41"/>
  <c r="AN41"/>
  <c r="W42"/>
  <c r="AN42"/>
  <c r="W43"/>
  <c r="AN43"/>
  <c r="W44"/>
  <c r="AN44"/>
  <c r="W45"/>
  <c r="AN45"/>
  <c r="W46"/>
  <c r="AN46"/>
  <c r="W47"/>
  <c r="AN47"/>
  <c r="W48"/>
  <c r="AN48"/>
  <c r="W49"/>
  <c r="AN49"/>
  <c r="W50"/>
  <c r="AN50"/>
  <c r="W51"/>
  <c r="AN51"/>
  <c r="W52"/>
  <c r="AN52"/>
  <c r="W53"/>
  <c r="AN53"/>
  <c r="W54"/>
  <c r="AN54"/>
  <c r="W55"/>
  <c r="AN55"/>
  <c r="W56"/>
  <c r="AN56"/>
  <c r="W57"/>
  <c r="AN57"/>
  <c r="W58"/>
  <c r="AN58"/>
  <c r="W59"/>
  <c r="AN59"/>
  <c r="W60"/>
  <c r="AN60"/>
  <c r="W61"/>
  <c r="AN61"/>
  <c r="W62"/>
  <c r="AN62"/>
  <c r="V3"/>
  <c r="AI3"/>
  <c r="AI63" s="1"/>
  <c r="AS11" s="1"/>
  <c r="AM3"/>
  <c r="W4"/>
  <c r="AN4"/>
  <c r="AL5"/>
  <c r="W6"/>
  <c r="AN6"/>
  <c r="X7"/>
  <c r="AL8"/>
  <c r="V9"/>
  <c r="AM9"/>
  <c r="W10"/>
  <c r="AN10"/>
  <c r="X11"/>
  <c r="AL12"/>
  <c r="V13"/>
  <c r="AM13"/>
  <c r="W14"/>
  <c r="AN14"/>
  <c r="X15"/>
  <c r="AL16"/>
  <c r="V17"/>
  <c r="AM17"/>
  <c r="W18"/>
  <c r="AN18"/>
  <c r="W19"/>
  <c r="AN19"/>
  <c r="W20"/>
  <c r="AN20"/>
  <c r="W21"/>
  <c r="AN21"/>
  <c r="W22"/>
  <c r="AN22"/>
  <c r="W23"/>
  <c r="AN23"/>
  <c r="W24"/>
  <c r="AN24"/>
  <c r="AL25"/>
  <c r="W26"/>
  <c r="AN26"/>
  <c r="AL27"/>
  <c r="AL28"/>
  <c r="V29"/>
  <c r="AM29"/>
  <c r="V30"/>
  <c r="AM30"/>
  <c r="AL31"/>
  <c r="W32"/>
  <c r="AN32"/>
  <c r="AL33"/>
  <c r="AL34"/>
  <c r="V35"/>
  <c r="AM35"/>
  <c r="V36"/>
  <c r="AM36"/>
  <c r="V37"/>
  <c r="AM37"/>
  <c r="V38"/>
  <c r="AM38"/>
  <c r="V39"/>
  <c r="AM39"/>
  <c r="V40"/>
  <c r="AM40"/>
  <c r="V41"/>
  <c r="AM41"/>
  <c r="V42"/>
  <c r="AM42"/>
  <c r="V43"/>
  <c r="AM43"/>
  <c r="V44"/>
  <c r="AM44"/>
  <c r="V45"/>
  <c r="AM45"/>
  <c r="V46"/>
  <c r="AM46"/>
  <c r="V47"/>
  <c r="AM47"/>
  <c r="V48"/>
  <c r="AM48"/>
  <c r="V49"/>
  <c r="AM49"/>
  <c r="V50"/>
  <c r="AM50"/>
  <c r="V51"/>
  <c r="AM51"/>
  <c r="V52"/>
  <c r="AM52"/>
  <c r="V53"/>
  <c r="AM53"/>
  <c r="V54"/>
  <c r="AM54"/>
  <c r="V55"/>
  <c r="AM55"/>
  <c r="V56"/>
  <c r="AM56"/>
  <c r="V57"/>
  <c r="AM57"/>
  <c r="V58"/>
  <c r="AM58"/>
  <c r="V59"/>
  <c r="AM59"/>
  <c r="V60"/>
  <c r="AM60"/>
  <c r="V61"/>
  <c r="AM61"/>
  <c r="V62"/>
  <c r="AM62"/>
  <c r="AL3"/>
  <c r="V4"/>
  <c r="AM4"/>
  <c r="X5"/>
  <c r="V6"/>
  <c r="AM6"/>
  <c r="W7"/>
  <c r="AN7"/>
  <c r="X8"/>
  <c r="AL9"/>
  <c r="V10"/>
  <c r="AM10"/>
  <c r="W11"/>
  <c r="AN11"/>
  <c r="X12"/>
  <c r="AL13"/>
  <c r="V14"/>
  <c r="AM14"/>
  <c r="X16"/>
  <c r="AL17"/>
  <c r="V18"/>
  <c r="AM18"/>
  <c r="V19"/>
  <c r="AM19"/>
  <c r="V20"/>
  <c r="AM20"/>
  <c r="V21"/>
  <c r="AM21"/>
  <c r="V22"/>
  <c r="AM22"/>
  <c r="V23"/>
  <c r="AM23"/>
  <c r="V24"/>
  <c r="AM24"/>
  <c r="X25"/>
  <c r="V26"/>
  <c r="AM26"/>
  <c r="X27"/>
  <c r="X28"/>
  <c r="AL29"/>
  <c r="AL30"/>
  <c r="X31"/>
  <c r="X33"/>
  <c r="AL35"/>
  <c r="AL36"/>
  <c r="AL37"/>
  <c r="AL38"/>
  <c r="AL39"/>
  <c r="AL40"/>
  <c r="AL41"/>
  <c r="AL42"/>
  <c r="AL43"/>
  <c r="AL44"/>
  <c r="AL45"/>
  <c r="AL46"/>
  <c r="AL47"/>
  <c r="AL48"/>
  <c r="AL49"/>
  <c r="AL50"/>
  <c r="AL51"/>
  <c r="AL52"/>
  <c r="AL53"/>
  <c r="AL54"/>
  <c r="AL55"/>
  <c r="AL56"/>
  <c r="AL57"/>
  <c r="AL58"/>
  <c r="AL59"/>
  <c r="AL60"/>
  <c r="AL61"/>
  <c r="N63" i="9"/>
  <c r="AT6" s="1"/>
  <c r="R17"/>
  <c r="AH17"/>
  <c r="AG63"/>
  <c r="AS9" s="1"/>
  <c r="AR9" s="1"/>
  <c r="K63"/>
  <c r="AT3" s="1"/>
  <c r="O63"/>
  <c r="AT7" s="1"/>
  <c r="AE63"/>
  <c r="AS7" s="1"/>
  <c r="T54" i="22"/>
  <c r="T56" s="1"/>
  <c r="AA63" i="9"/>
  <c r="AS3" s="1"/>
  <c r="AB63"/>
  <c r="AS4" s="1"/>
  <c r="AR4" s="1"/>
  <c r="AF63"/>
  <c r="AS8" s="1"/>
  <c r="AG63" i="10"/>
  <c r="AS9" s="1"/>
  <c r="AK63"/>
  <c r="AS13" s="1"/>
  <c r="X3"/>
  <c r="AL4"/>
  <c r="AL6"/>
  <c r="W8"/>
  <c r="AN8"/>
  <c r="AL10"/>
  <c r="W12"/>
  <c r="AN12"/>
  <c r="X14"/>
  <c r="AL15"/>
  <c r="V16"/>
  <c r="AM16"/>
  <c r="V17"/>
  <c r="AM17"/>
  <c r="W18"/>
  <c r="AN18"/>
  <c r="V19"/>
  <c r="AM19"/>
  <c r="V20"/>
  <c r="AM20"/>
  <c r="V21"/>
  <c r="AM21"/>
  <c r="V22"/>
  <c r="AM22"/>
  <c r="V23"/>
  <c r="AM23"/>
  <c r="V24"/>
  <c r="AM24"/>
  <c r="X25"/>
  <c r="V26"/>
  <c r="AM26"/>
  <c r="X27"/>
  <c r="W28"/>
  <c r="AN28"/>
  <c r="X29"/>
  <c r="X30"/>
  <c r="W31"/>
  <c r="AN31"/>
  <c r="AL32"/>
  <c r="W33"/>
  <c r="AN33"/>
  <c r="W34"/>
  <c r="AN34"/>
  <c r="X35"/>
  <c r="X36"/>
  <c r="X37"/>
  <c r="X38"/>
  <c r="X39"/>
  <c r="X40"/>
  <c r="X41"/>
  <c r="X42"/>
  <c r="X43"/>
  <c r="X44"/>
  <c r="X45"/>
  <c r="X46"/>
  <c r="X47"/>
  <c r="X48"/>
  <c r="X49"/>
  <c r="X50"/>
  <c r="X51"/>
  <c r="X52"/>
  <c r="X53"/>
  <c r="X54"/>
  <c r="X55"/>
  <c r="X56"/>
  <c r="X57"/>
  <c r="X58"/>
  <c r="X59"/>
  <c r="X60"/>
  <c r="X61"/>
  <c r="X62"/>
  <c r="W3"/>
  <c r="AN3"/>
  <c r="X4"/>
  <c r="AL5"/>
  <c r="X6"/>
  <c r="AL7"/>
  <c r="V8"/>
  <c r="AM8"/>
  <c r="W9"/>
  <c r="AN9"/>
  <c r="X10"/>
  <c r="AL11"/>
  <c r="V12"/>
  <c r="AM12"/>
  <c r="W13"/>
  <c r="AN13"/>
  <c r="W14"/>
  <c r="AN14"/>
  <c r="X15"/>
  <c r="AL16"/>
  <c r="AL17"/>
  <c r="V18"/>
  <c r="AM18"/>
  <c r="AL19"/>
  <c r="AL20"/>
  <c r="AL21"/>
  <c r="AL22"/>
  <c r="AL23"/>
  <c r="AL24"/>
  <c r="W25"/>
  <c r="AN25"/>
  <c r="AL26"/>
  <c r="W27"/>
  <c r="AN27"/>
  <c r="V28"/>
  <c r="AM28"/>
  <c r="W29"/>
  <c r="AN29"/>
  <c r="W30"/>
  <c r="AN30"/>
  <c r="V31"/>
  <c r="AM31"/>
  <c r="X32"/>
  <c r="V33"/>
  <c r="AM33"/>
  <c r="V34"/>
  <c r="AM34"/>
  <c r="W35"/>
  <c r="AN35"/>
  <c r="W36"/>
  <c r="AN36"/>
  <c r="W37"/>
  <c r="AN37"/>
  <c r="W38"/>
  <c r="AN38"/>
  <c r="W39"/>
  <c r="AN39"/>
  <c r="W40"/>
  <c r="AN40"/>
  <c r="W41"/>
  <c r="AN41"/>
  <c r="W42"/>
  <c r="AN42"/>
  <c r="W43"/>
  <c r="AN43"/>
  <c r="W44"/>
  <c r="AN44"/>
  <c r="W45"/>
  <c r="AN45"/>
  <c r="W46"/>
  <c r="AN46"/>
  <c r="W47"/>
  <c r="AN47"/>
  <c r="W48"/>
  <c r="AN48"/>
  <c r="W49"/>
  <c r="AN49"/>
  <c r="W50"/>
  <c r="AN50"/>
  <c r="W51"/>
  <c r="AN51"/>
  <c r="W52"/>
  <c r="AN52"/>
  <c r="W53"/>
  <c r="AN53"/>
  <c r="W54"/>
  <c r="AN54"/>
  <c r="W55"/>
  <c r="AN55"/>
  <c r="W56"/>
  <c r="AN56"/>
  <c r="W57"/>
  <c r="AN57"/>
  <c r="W58"/>
  <c r="AN58"/>
  <c r="W59"/>
  <c r="AN59"/>
  <c r="W60"/>
  <c r="AN60"/>
  <c r="W61"/>
  <c r="AN61"/>
  <c r="W62"/>
  <c r="AN62"/>
  <c r="W4"/>
  <c r="AN4"/>
  <c r="W6"/>
  <c r="AN6"/>
  <c r="AL8"/>
  <c r="W10"/>
  <c r="AN10"/>
  <c r="AL12"/>
  <c r="V13"/>
  <c r="AM13"/>
  <c r="V14"/>
  <c r="AM14"/>
  <c r="W15"/>
  <c r="AN15"/>
  <c r="X16"/>
  <c r="X17"/>
  <c r="AL18"/>
  <c r="X19"/>
  <c r="X20"/>
  <c r="X21"/>
  <c r="X22"/>
  <c r="X23"/>
  <c r="X24"/>
  <c r="V25"/>
  <c r="AM25"/>
  <c r="X26"/>
  <c r="V27"/>
  <c r="AM27"/>
  <c r="AL28"/>
  <c r="V29"/>
  <c r="AM29"/>
  <c r="V30"/>
  <c r="AM30"/>
  <c r="AL31"/>
  <c r="W32"/>
  <c r="AN32"/>
  <c r="AL33"/>
  <c r="AL34"/>
  <c r="V35"/>
  <c r="AM35"/>
  <c r="V36"/>
  <c r="AM36"/>
  <c r="V37"/>
  <c r="AM37"/>
  <c r="V38"/>
  <c r="AM38"/>
  <c r="V39"/>
  <c r="AM39"/>
  <c r="V40"/>
  <c r="AM40"/>
  <c r="V41"/>
  <c r="AM41"/>
  <c r="V42"/>
  <c r="AM42"/>
  <c r="V43"/>
  <c r="AM43"/>
  <c r="V44"/>
  <c r="AM44"/>
  <c r="V45"/>
  <c r="AM45"/>
  <c r="V46"/>
  <c r="AM46"/>
  <c r="V47"/>
  <c r="AM47"/>
  <c r="V48"/>
  <c r="AM48"/>
  <c r="V49"/>
  <c r="AM49"/>
  <c r="V50"/>
  <c r="AM50"/>
  <c r="V51"/>
  <c r="AM51"/>
  <c r="V52"/>
  <c r="AM52"/>
  <c r="V53"/>
  <c r="AM53"/>
  <c r="V54"/>
  <c r="AM54"/>
  <c r="V55"/>
  <c r="AM55"/>
  <c r="V56"/>
  <c r="AM56"/>
  <c r="V57"/>
  <c r="AM57"/>
  <c r="V58"/>
  <c r="AM58"/>
  <c r="V59"/>
  <c r="AM59"/>
  <c r="V60"/>
  <c r="AM60"/>
  <c r="V61"/>
  <c r="AM61"/>
  <c r="V62"/>
  <c r="AM62"/>
  <c r="AH3"/>
  <c r="AH63" s="1"/>
  <c r="AS10" s="1"/>
  <c r="AL3"/>
  <c r="V4"/>
  <c r="AM4"/>
  <c r="W5"/>
  <c r="AN5"/>
  <c r="V6"/>
  <c r="AM6"/>
  <c r="W7"/>
  <c r="AN7"/>
  <c r="X8"/>
  <c r="AL9"/>
  <c r="V10"/>
  <c r="AM10"/>
  <c r="W11"/>
  <c r="AN11"/>
  <c r="X12"/>
  <c r="AL13"/>
  <c r="AL14"/>
  <c r="V15"/>
  <c r="AM15"/>
  <c r="W16"/>
  <c r="AN16"/>
  <c r="W17"/>
  <c r="AN17"/>
  <c r="X18"/>
  <c r="W19"/>
  <c r="AN19"/>
  <c r="W20"/>
  <c r="AN20"/>
  <c r="W21"/>
  <c r="AN21"/>
  <c r="W22"/>
  <c r="AN22"/>
  <c r="W23"/>
  <c r="AN23"/>
  <c r="W24"/>
  <c r="AN24"/>
  <c r="AL25"/>
  <c r="AL27"/>
  <c r="X28"/>
  <c r="AL29"/>
  <c r="AL30"/>
  <c r="X31"/>
  <c r="X33"/>
  <c r="AL35"/>
  <c r="AL36"/>
  <c r="AL37"/>
  <c r="AL38"/>
  <c r="AL39"/>
  <c r="AL40"/>
  <c r="AL41"/>
  <c r="AL42"/>
  <c r="AL43"/>
  <c r="AL44"/>
  <c r="AL45"/>
  <c r="AL46"/>
  <c r="AL47"/>
  <c r="AL48"/>
  <c r="AL49"/>
  <c r="AL50"/>
  <c r="AL51"/>
  <c r="AL52"/>
  <c r="AL53"/>
  <c r="AL54"/>
  <c r="AL55"/>
  <c r="AL56"/>
  <c r="AL57"/>
  <c r="AL58"/>
  <c r="AL59"/>
  <c r="AL60"/>
  <c r="AL61"/>
  <c r="X13" i="9"/>
  <c r="X10"/>
  <c r="X14"/>
  <c r="AD63"/>
  <c r="AS6" s="1"/>
  <c r="R63"/>
  <c r="AT10" s="1"/>
  <c r="AC63"/>
  <c r="AS5" s="1"/>
  <c r="AN3"/>
  <c r="AM8"/>
  <c r="AH3"/>
  <c r="AL3"/>
  <c r="V4"/>
  <c r="AM4"/>
  <c r="W5"/>
  <c r="AN5"/>
  <c r="V6"/>
  <c r="AM6"/>
  <c r="W7"/>
  <c r="AN7"/>
  <c r="X8"/>
  <c r="AL9"/>
  <c r="V10"/>
  <c r="AM10"/>
  <c r="W11"/>
  <c r="AN11"/>
  <c r="X12"/>
  <c r="AL13"/>
  <c r="AL14"/>
  <c r="V15"/>
  <c r="AM15"/>
  <c r="W16"/>
  <c r="AN16"/>
  <c r="V17"/>
  <c r="AM17"/>
  <c r="W18"/>
  <c r="AN18"/>
  <c r="V19"/>
  <c r="AM19"/>
  <c r="V20"/>
  <c r="AM20"/>
  <c r="V21"/>
  <c r="AM21"/>
  <c r="V22"/>
  <c r="AM22"/>
  <c r="V23"/>
  <c r="AM23"/>
  <c r="V24"/>
  <c r="AM24"/>
  <c r="X25"/>
  <c r="V26"/>
  <c r="AM26"/>
  <c r="X27"/>
  <c r="AL28"/>
  <c r="X29"/>
  <c r="V30"/>
  <c r="AM30"/>
  <c r="W31"/>
  <c r="AN31"/>
  <c r="W32"/>
  <c r="AN32"/>
  <c r="W33"/>
  <c r="AN33"/>
  <c r="AL34"/>
  <c r="X35"/>
  <c r="V36"/>
  <c r="AM36"/>
  <c r="X37"/>
  <c r="V38"/>
  <c r="AM38"/>
  <c r="X39"/>
  <c r="X40"/>
  <c r="X41"/>
  <c r="X42"/>
  <c r="X43"/>
  <c r="X44"/>
  <c r="X45"/>
  <c r="X46"/>
  <c r="X47"/>
  <c r="X48"/>
  <c r="X49"/>
  <c r="X50"/>
  <c r="X51"/>
  <c r="X52"/>
  <c r="X53"/>
  <c r="X54"/>
  <c r="X55"/>
  <c r="X56"/>
  <c r="X57"/>
  <c r="X58"/>
  <c r="X59"/>
  <c r="X60"/>
  <c r="X61"/>
  <c r="X62"/>
  <c r="AM7"/>
  <c r="W8"/>
  <c r="AN8"/>
  <c r="V11"/>
  <c r="AM11"/>
  <c r="W12"/>
  <c r="AN12"/>
  <c r="AL15"/>
  <c r="V16"/>
  <c r="AM16"/>
  <c r="AL17"/>
  <c r="V18"/>
  <c r="AM18"/>
  <c r="AL19"/>
  <c r="AL20"/>
  <c r="AL21"/>
  <c r="AL22"/>
  <c r="AL23"/>
  <c r="AL24"/>
  <c r="W25"/>
  <c r="AN25"/>
  <c r="AL26"/>
  <c r="W27"/>
  <c r="AN27"/>
  <c r="X28"/>
  <c r="W29"/>
  <c r="AN29"/>
  <c r="AL30"/>
  <c r="V31"/>
  <c r="AM31"/>
  <c r="V32"/>
  <c r="AM32"/>
  <c r="V33"/>
  <c r="AM33"/>
  <c r="X34"/>
  <c r="W35"/>
  <c r="AN35"/>
  <c r="AL36"/>
  <c r="W37"/>
  <c r="AN37"/>
  <c r="AL38"/>
  <c r="W39"/>
  <c r="AN39"/>
  <c r="W40"/>
  <c r="AN40"/>
  <c r="W41"/>
  <c r="AN41"/>
  <c r="W42"/>
  <c r="AN42"/>
  <c r="W43"/>
  <c r="AN43"/>
  <c r="W44"/>
  <c r="AN44"/>
  <c r="W45"/>
  <c r="AN45"/>
  <c r="W46"/>
  <c r="AN46"/>
  <c r="W47"/>
  <c r="AN47"/>
  <c r="W48"/>
  <c r="AN48"/>
  <c r="W49"/>
  <c r="AN49"/>
  <c r="W50"/>
  <c r="AN50"/>
  <c r="W51"/>
  <c r="AN51"/>
  <c r="W52"/>
  <c r="AN52"/>
  <c r="W53"/>
  <c r="AN53"/>
  <c r="W54"/>
  <c r="AN54"/>
  <c r="W55"/>
  <c r="AN55"/>
  <c r="W56"/>
  <c r="AN56"/>
  <c r="W57"/>
  <c r="AN57"/>
  <c r="W58"/>
  <c r="AN58"/>
  <c r="W59"/>
  <c r="AN59"/>
  <c r="W60"/>
  <c r="AN60"/>
  <c r="W61"/>
  <c r="AN61"/>
  <c r="W62"/>
  <c r="AN62"/>
  <c r="AM12"/>
  <c r="W13"/>
  <c r="AN13"/>
  <c r="W14"/>
  <c r="AN14"/>
  <c r="AL16"/>
  <c r="X17"/>
  <c r="AL18"/>
  <c r="X19"/>
  <c r="X20"/>
  <c r="X21"/>
  <c r="X22"/>
  <c r="X23"/>
  <c r="X24"/>
  <c r="V25"/>
  <c r="AM25"/>
  <c r="X26"/>
  <c r="V27"/>
  <c r="AM27"/>
  <c r="W28"/>
  <c r="AN28"/>
  <c r="V29"/>
  <c r="AM29"/>
  <c r="X30"/>
  <c r="AL31"/>
  <c r="AL32"/>
  <c r="AL33"/>
  <c r="W34"/>
  <c r="AN34"/>
  <c r="V35"/>
  <c r="AM35"/>
  <c r="X36"/>
  <c r="V37"/>
  <c r="AM37"/>
  <c r="X38"/>
  <c r="V39"/>
  <c r="AM39"/>
  <c r="V40"/>
  <c r="AM40"/>
  <c r="V41"/>
  <c r="AM41"/>
  <c r="V42"/>
  <c r="AM42"/>
  <c r="V43"/>
  <c r="AM43"/>
  <c r="V44"/>
  <c r="AM44"/>
  <c r="V45"/>
  <c r="AM45"/>
  <c r="V46"/>
  <c r="AM46"/>
  <c r="V47"/>
  <c r="AM47"/>
  <c r="V48"/>
  <c r="AM48"/>
  <c r="V49"/>
  <c r="AM49"/>
  <c r="V50"/>
  <c r="AM50"/>
  <c r="V51"/>
  <c r="AM51"/>
  <c r="V52"/>
  <c r="AM52"/>
  <c r="V53"/>
  <c r="AM53"/>
  <c r="V54"/>
  <c r="AM54"/>
  <c r="V55"/>
  <c r="AM55"/>
  <c r="V56"/>
  <c r="AM56"/>
  <c r="V57"/>
  <c r="AM57"/>
  <c r="V58"/>
  <c r="AM58"/>
  <c r="V59"/>
  <c r="AM59"/>
  <c r="V60"/>
  <c r="AM60"/>
  <c r="V61"/>
  <c r="AM61"/>
  <c r="V62"/>
  <c r="AM62"/>
  <c r="H63"/>
  <c r="W3"/>
  <c r="V8"/>
  <c r="W9"/>
  <c r="AN9"/>
  <c r="V12"/>
  <c r="V3"/>
  <c r="AM3"/>
  <c r="W4"/>
  <c r="AN4"/>
  <c r="X5"/>
  <c r="W6"/>
  <c r="AN6"/>
  <c r="X7"/>
  <c r="AL8"/>
  <c r="V9"/>
  <c r="AM9"/>
  <c r="W10"/>
  <c r="AN10"/>
  <c r="X11"/>
  <c r="AL12"/>
  <c r="V13"/>
  <c r="AM13"/>
  <c r="V14"/>
  <c r="AM14"/>
  <c r="W15"/>
  <c r="AN15"/>
  <c r="X16"/>
  <c r="W17"/>
  <c r="AN17"/>
  <c r="X18"/>
  <c r="W19"/>
  <c r="AN19"/>
  <c r="W20"/>
  <c r="AN20"/>
  <c r="W21"/>
  <c r="AN21"/>
  <c r="W22"/>
  <c r="AN22"/>
  <c r="W23"/>
  <c r="AN23"/>
  <c r="W24"/>
  <c r="AN24"/>
  <c r="AL25"/>
  <c r="W26"/>
  <c r="AN26"/>
  <c r="AL27"/>
  <c r="V28"/>
  <c r="AM28"/>
  <c r="AL29"/>
  <c r="W30"/>
  <c r="AN30"/>
  <c r="X31"/>
  <c r="X32"/>
  <c r="AL35"/>
  <c r="W36"/>
  <c r="AN36"/>
  <c r="AL37"/>
  <c r="AL39"/>
  <c r="AL40"/>
  <c r="AL41"/>
  <c r="AL42"/>
  <c r="AL43"/>
  <c r="AL44"/>
  <c r="AL45"/>
  <c r="AL46"/>
  <c r="AL47"/>
  <c r="AL48"/>
  <c r="AL49"/>
  <c r="AL50"/>
  <c r="AL51"/>
  <c r="AL52"/>
  <c r="AL53"/>
  <c r="AL54"/>
  <c r="AL55"/>
  <c r="AL56"/>
  <c r="AL57"/>
  <c r="AL58"/>
  <c r="AL59"/>
  <c r="AL60"/>
  <c r="AL61"/>
  <c r="H8" i="1"/>
  <c r="S25" i="18"/>
  <c r="O25"/>
  <c r="G42" i="1"/>
  <c r="H19"/>
  <c r="H10"/>
  <c r="G18"/>
  <c r="AY16" i="7"/>
  <c r="AY18" s="1"/>
  <c r="AY13"/>
  <c r="AZ27"/>
  <c r="G24" i="1"/>
  <c r="G21"/>
  <c r="G17"/>
  <c r="E17" i="7"/>
  <c r="H17" s="1"/>
  <c r="N17" s="1"/>
  <c r="G34" i="1"/>
  <c r="E24" i="17"/>
  <c r="E23" s="1"/>
  <c r="E25"/>
  <c r="L34"/>
  <c r="L35" s="1"/>
  <c r="B20"/>
  <c r="D19"/>
  <c r="D20" s="1"/>
  <c r="C23"/>
  <c r="AK8" i="25"/>
  <c r="AE10"/>
  <c r="AG10" s="1"/>
  <c r="AE11"/>
  <c r="AE12"/>
  <c r="AG12" s="1"/>
  <c r="AE9"/>
  <c r="AG9" s="1"/>
  <c r="AE13"/>
  <c r="AG13" s="1"/>
  <c r="AE14"/>
  <c r="AE15"/>
  <c r="AE16"/>
  <c r="AE17"/>
  <c r="AE18"/>
  <c r="AE19"/>
  <c r="AE20"/>
  <c r="AP32" s="1"/>
  <c r="AQ32" s="1"/>
  <c r="AE21"/>
  <c r="AE22"/>
  <c r="AE23"/>
  <c r="AE24"/>
  <c r="AE25"/>
  <c r="AE26"/>
  <c r="AE8"/>
  <c r="AG8" s="1"/>
  <c r="F34" i="1"/>
  <c r="F29"/>
  <c r="F25"/>
  <c r="G25"/>
  <c r="F18"/>
  <c r="G10"/>
  <c r="G6"/>
  <c r="G19"/>
  <c r="E8" i="25"/>
  <c r="E12" s="1"/>
  <c r="F8"/>
  <c r="F12" s="1"/>
  <c r="G8"/>
  <c r="G12" s="1"/>
  <c r="H8"/>
  <c r="H12" s="1"/>
  <c r="I8"/>
  <c r="I12" s="1"/>
  <c r="J8"/>
  <c r="J12" s="1"/>
  <c r="K8"/>
  <c r="K12" s="1"/>
  <c r="L8"/>
  <c r="L12" s="1"/>
  <c r="M8"/>
  <c r="M12" s="1"/>
  <c r="N8"/>
  <c r="N12" s="1"/>
  <c r="O8"/>
  <c r="O12" s="1"/>
  <c r="P8"/>
  <c r="P12" s="1"/>
  <c r="Q8"/>
  <c r="Q12" s="1"/>
  <c r="R8"/>
  <c r="R12" s="1"/>
  <c r="S8"/>
  <c r="S12" s="1"/>
  <c r="T8"/>
  <c r="T12" s="1"/>
  <c r="U8"/>
  <c r="U12" s="1"/>
  <c r="V8"/>
  <c r="V12" s="1"/>
  <c r="D8"/>
  <c r="C8"/>
  <c r="D21"/>
  <c r="D25" s="1"/>
  <c r="E21"/>
  <c r="E25" s="1"/>
  <c r="F21"/>
  <c r="F25" s="1"/>
  <c r="G21"/>
  <c r="G25" s="1"/>
  <c r="H21"/>
  <c r="H25" s="1"/>
  <c r="I21"/>
  <c r="I25" s="1"/>
  <c r="J21"/>
  <c r="J25" s="1"/>
  <c r="K21"/>
  <c r="K25" s="1"/>
  <c r="L21"/>
  <c r="L25" s="1"/>
  <c r="M21"/>
  <c r="M25" s="1"/>
  <c r="N21"/>
  <c r="N25" s="1"/>
  <c r="O21"/>
  <c r="O25" s="1"/>
  <c r="P21"/>
  <c r="P25" s="1"/>
  <c r="Q21"/>
  <c r="Q25" s="1"/>
  <c r="R21"/>
  <c r="R25" s="1"/>
  <c r="S21"/>
  <c r="S25" s="1"/>
  <c r="T21"/>
  <c r="T25" s="1"/>
  <c r="U21"/>
  <c r="U25" s="1"/>
  <c r="V21"/>
  <c r="V25" s="1"/>
  <c r="C21"/>
  <c r="C25" s="1"/>
  <c r="W26"/>
  <c r="W22"/>
  <c r="B16"/>
  <c r="G8" i="1"/>
  <c r="AB50" i="18"/>
  <c r="X45"/>
  <c r="X34"/>
  <c r="AR25" i="7"/>
  <c r="G7"/>
  <c r="AB7" s="1"/>
  <c r="H7"/>
  <c r="L7" s="1"/>
  <c r="G21"/>
  <c r="H21"/>
  <c r="AK62"/>
  <c r="AJ62"/>
  <c r="AI62"/>
  <c r="AH62"/>
  <c r="AG62"/>
  <c r="AF62"/>
  <c r="AE62"/>
  <c r="AD62"/>
  <c r="AC62"/>
  <c r="AB62"/>
  <c r="AA62"/>
  <c r="Z62"/>
  <c r="U62"/>
  <c r="T62"/>
  <c r="S62"/>
  <c r="R62"/>
  <c r="Q62"/>
  <c r="P62"/>
  <c r="O62"/>
  <c r="N62"/>
  <c r="M62"/>
  <c r="L62"/>
  <c r="K62"/>
  <c r="J62"/>
  <c r="H62"/>
  <c r="G62"/>
  <c r="AK61"/>
  <c r="AJ61"/>
  <c r="AI61"/>
  <c r="AH61"/>
  <c r="AG61"/>
  <c r="AF61"/>
  <c r="AE61"/>
  <c r="AD61"/>
  <c r="AC61"/>
  <c r="AB61"/>
  <c r="AA61"/>
  <c r="Z61"/>
  <c r="U61"/>
  <c r="T61"/>
  <c r="S61"/>
  <c r="R61"/>
  <c r="Q61"/>
  <c r="P61"/>
  <c r="O61"/>
  <c r="N61"/>
  <c r="M61"/>
  <c r="L61"/>
  <c r="K61"/>
  <c r="J61"/>
  <c r="H61"/>
  <c r="G61"/>
  <c r="AK60"/>
  <c r="AJ60"/>
  <c r="AI60"/>
  <c r="AH60"/>
  <c r="AG60"/>
  <c r="AF60"/>
  <c r="AE60"/>
  <c r="AD60"/>
  <c r="AC60"/>
  <c r="AB60"/>
  <c r="AA60"/>
  <c r="Z60"/>
  <c r="U60"/>
  <c r="T60"/>
  <c r="S60"/>
  <c r="R60"/>
  <c r="Q60"/>
  <c r="P60"/>
  <c r="O60"/>
  <c r="N60"/>
  <c r="M60"/>
  <c r="L60"/>
  <c r="K60"/>
  <c r="J60"/>
  <c r="H60"/>
  <c r="G60"/>
  <c r="AK59"/>
  <c r="AJ59"/>
  <c r="AI59"/>
  <c r="AH59"/>
  <c r="AG59"/>
  <c r="AF59"/>
  <c r="AE59"/>
  <c r="AD59"/>
  <c r="AC59"/>
  <c r="AB59"/>
  <c r="AA59"/>
  <c r="Z59"/>
  <c r="U59"/>
  <c r="T59"/>
  <c r="S59"/>
  <c r="R59"/>
  <c r="Q59"/>
  <c r="P59"/>
  <c r="O59"/>
  <c r="N59"/>
  <c r="M59"/>
  <c r="L59"/>
  <c r="K59"/>
  <c r="J59"/>
  <c r="H59"/>
  <c r="G59"/>
  <c r="AK58"/>
  <c r="AJ58"/>
  <c r="AI58"/>
  <c r="AH58"/>
  <c r="AG58"/>
  <c r="AF58"/>
  <c r="AE58"/>
  <c r="AD58"/>
  <c r="AC58"/>
  <c r="AB58"/>
  <c r="AA58"/>
  <c r="Z58"/>
  <c r="U58"/>
  <c r="T58"/>
  <c r="S58"/>
  <c r="R58"/>
  <c r="Q58"/>
  <c r="P58"/>
  <c r="O58"/>
  <c r="N58"/>
  <c r="M58"/>
  <c r="L58"/>
  <c r="K58"/>
  <c r="J58"/>
  <c r="H58"/>
  <c r="G58"/>
  <c r="AK57"/>
  <c r="AJ57"/>
  <c r="AI57"/>
  <c r="AH57"/>
  <c r="AG57"/>
  <c r="AF57"/>
  <c r="AE57"/>
  <c r="AD57"/>
  <c r="AC57"/>
  <c r="AB57"/>
  <c r="AA57"/>
  <c r="Z57"/>
  <c r="U57"/>
  <c r="T57"/>
  <c r="S57"/>
  <c r="R57"/>
  <c r="Q57"/>
  <c r="P57"/>
  <c r="O57"/>
  <c r="N57"/>
  <c r="M57"/>
  <c r="L57"/>
  <c r="K57"/>
  <c r="J57"/>
  <c r="H57"/>
  <c r="G57"/>
  <c r="AK56"/>
  <c r="AJ56"/>
  <c r="AI56"/>
  <c r="AH56"/>
  <c r="AG56"/>
  <c r="AF56"/>
  <c r="AE56"/>
  <c r="AD56"/>
  <c r="AC56"/>
  <c r="AB56"/>
  <c r="AA56"/>
  <c r="Z56"/>
  <c r="U56"/>
  <c r="T56"/>
  <c r="S56"/>
  <c r="R56"/>
  <c r="Q56"/>
  <c r="P56"/>
  <c r="O56"/>
  <c r="N56"/>
  <c r="M56"/>
  <c r="L56"/>
  <c r="K56"/>
  <c r="J56"/>
  <c r="H56"/>
  <c r="G56"/>
  <c r="AK55"/>
  <c r="AJ55"/>
  <c r="AI55"/>
  <c r="AH55"/>
  <c r="AG55"/>
  <c r="AF55"/>
  <c r="AE55"/>
  <c r="AD55"/>
  <c r="AC55"/>
  <c r="AB55"/>
  <c r="AA55"/>
  <c r="Z55"/>
  <c r="U55"/>
  <c r="T55"/>
  <c r="S55"/>
  <c r="R55"/>
  <c r="Q55"/>
  <c r="P55"/>
  <c r="O55"/>
  <c r="N55"/>
  <c r="M55"/>
  <c r="L55"/>
  <c r="K55"/>
  <c r="J55"/>
  <c r="H55"/>
  <c r="G55"/>
  <c r="AK54"/>
  <c r="AJ54"/>
  <c r="AI54"/>
  <c r="AH54"/>
  <c r="AG54"/>
  <c r="AF54"/>
  <c r="AE54"/>
  <c r="AD54"/>
  <c r="AC54"/>
  <c r="AB54"/>
  <c r="AA54"/>
  <c r="Z54"/>
  <c r="U54"/>
  <c r="T54"/>
  <c r="S54"/>
  <c r="R54"/>
  <c r="Q54"/>
  <c r="P54"/>
  <c r="O54"/>
  <c r="N54"/>
  <c r="M54"/>
  <c r="L54"/>
  <c r="K54"/>
  <c r="J54"/>
  <c r="H54"/>
  <c r="G54"/>
  <c r="AK53"/>
  <c r="AJ53"/>
  <c r="AI53"/>
  <c r="AH53"/>
  <c r="AG53"/>
  <c r="AF53"/>
  <c r="AE53"/>
  <c r="AD53"/>
  <c r="AC53"/>
  <c r="AB53"/>
  <c r="AA53"/>
  <c r="Z53"/>
  <c r="U53"/>
  <c r="T53"/>
  <c r="S53"/>
  <c r="R53"/>
  <c r="Q53"/>
  <c r="P53"/>
  <c r="O53"/>
  <c r="N53"/>
  <c r="M53"/>
  <c r="L53"/>
  <c r="K53"/>
  <c r="J53"/>
  <c r="H53"/>
  <c r="G53"/>
  <c r="AK52"/>
  <c r="AJ52"/>
  <c r="AI52"/>
  <c r="AH52"/>
  <c r="AG52"/>
  <c r="AF52"/>
  <c r="AE52"/>
  <c r="AD52"/>
  <c r="AC52"/>
  <c r="AB52"/>
  <c r="AA52"/>
  <c r="Z52"/>
  <c r="U52"/>
  <c r="T52"/>
  <c r="S52"/>
  <c r="R52"/>
  <c r="Q52"/>
  <c r="P52"/>
  <c r="O52"/>
  <c r="N52"/>
  <c r="M52"/>
  <c r="L52"/>
  <c r="K52"/>
  <c r="J52"/>
  <c r="H52"/>
  <c r="G52"/>
  <c r="AK51"/>
  <c r="AJ51"/>
  <c r="AI51"/>
  <c r="AH51"/>
  <c r="AG51"/>
  <c r="AF51"/>
  <c r="AE51"/>
  <c r="AD51"/>
  <c r="AC51"/>
  <c r="AB51"/>
  <c r="AA51"/>
  <c r="Z51"/>
  <c r="U51"/>
  <c r="T51"/>
  <c r="S51"/>
  <c r="R51"/>
  <c r="Q51"/>
  <c r="P51"/>
  <c r="O51"/>
  <c r="N51"/>
  <c r="M51"/>
  <c r="L51"/>
  <c r="K51"/>
  <c r="J51"/>
  <c r="H51"/>
  <c r="G51"/>
  <c r="AK50"/>
  <c r="AJ50"/>
  <c r="AI50"/>
  <c r="AH50"/>
  <c r="AG50"/>
  <c r="AF50"/>
  <c r="AE50"/>
  <c r="AD50"/>
  <c r="AC50"/>
  <c r="AB50"/>
  <c r="AA50"/>
  <c r="Z50"/>
  <c r="U50"/>
  <c r="T50"/>
  <c r="S50"/>
  <c r="R50"/>
  <c r="Q50"/>
  <c r="P50"/>
  <c r="O50"/>
  <c r="N50"/>
  <c r="M50"/>
  <c r="L50"/>
  <c r="K50"/>
  <c r="J50"/>
  <c r="H50"/>
  <c r="G50"/>
  <c r="AK49"/>
  <c r="AJ49"/>
  <c r="AI49"/>
  <c r="AH49"/>
  <c r="AG49"/>
  <c r="AF49"/>
  <c r="AE49"/>
  <c r="AD49"/>
  <c r="AC49"/>
  <c r="AB49"/>
  <c r="AA49"/>
  <c r="Z49"/>
  <c r="U49"/>
  <c r="T49"/>
  <c r="S49"/>
  <c r="R49"/>
  <c r="Q49"/>
  <c r="P49"/>
  <c r="O49"/>
  <c r="N49"/>
  <c r="M49"/>
  <c r="L49"/>
  <c r="K49"/>
  <c r="J49"/>
  <c r="H49"/>
  <c r="G49"/>
  <c r="AK48"/>
  <c r="AJ48"/>
  <c r="AI48"/>
  <c r="AH48"/>
  <c r="AG48"/>
  <c r="AF48"/>
  <c r="AE48"/>
  <c r="AD48"/>
  <c r="AC48"/>
  <c r="AB48"/>
  <c r="AA48"/>
  <c r="Z48"/>
  <c r="U48"/>
  <c r="T48"/>
  <c r="S48"/>
  <c r="R48"/>
  <c r="Q48"/>
  <c r="P48"/>
  <c r="O48"/>
  <c r="N48"/>
  <c r="M48"/>
  <c r="L48"/>
  <c r="K48"/>
  <c r="J48"/>
  <c r="H48"/>
  <c r="G48"/>
  <c r="AK47"/>
  <c r="AJ47"/>
  <c r="AI47"/>
  <c r="AH47"/>
  <c r="AG47"/>
  <c r="AF47"/>
  <c r="AE47"/>
  <c r="AD47"/>
  <c r="AC47"/>
  <c r="AB47"/>
  <c r="AA47"/>
  <c r="Z47"/>
  <c r="U47"/>
  <c r="T47"/>
  <c r="S47"/>
  <c r="R47"/>
  <c r="Q47"/>
  <c r="P47"/>
  <c r="O47"/>
  <c r="N47"/>
  <c r="M47"/>
  <c r="L47"/>
  <c r="K47"/>
  <c r="J47"/>
  <c r="H47"/>
  <c r="G47"/>
  <c r="AK46"/>
  <c r="AJ46"/>
  <c r="AI46"/>
  <c r="AH46"/>
  <c r="AG46"/>
  <c r="AF46"/>
  <c r="AE46"/>
  <c r="AD46"/>
  <c r="AC46"/>
  <c r="AB46"/>
  <c r="AA46"/>
  <c r="Z46"/>
  <c r="U46"/>
  <c r="T46"/>
  <c r="S46"/>
  <c r="R46"/>
  <c r="Q46"/>
  <c r="P46"/>
  <c r="O46"/>
  <c r="N46"/>
  <c r="M46"/>
  <c r="L46"/>
  <c r="K46"/>
  <c r="J46"/>
  <c r="H46"/>
  <c r="G46"/>
  <c r="AK45"/>
  <c r="AJ45"/>
  <c r="AI45"/>
  <c r="AH45"/>
  <c r="AG45"/>
  <c r="AF45"/>
  <c r="AE45"/>
  <c r="AD45"/>
  <c r="AC45"/>
  <c r="AB45"/>
  <c r="AA45"/>
  <c r="Z45"/>
  <c r="U45"/>
  <c r="T45"/>
  <c r="S45"/>
  <c r="R45"/>
  <c r="Q45"/>
  <c r="P45"/>
  <c r="O45"/>
  <c r="N45"/>
  <c r="M45"/>
  <c r="L45"/>
  <c r="K45"/>
  <c r="J45"/>
  <c r="H45"/>
  <c r="G45"/>
  <c r="AK44"/>
  <c r="AJ44"/>
  <c r="AI44"/>
  <c r="AH44"/>
  <c r="AG44"/>
  <c r="AF44"/>
  <c r="AE44"/>
  <c r="AD44"/>
  <c r="AC44"/>
  <c r="AB44"/>
  <c r="AA44"/>
  <c r="Z44"/>
  <c r="U44"/>
  <c r="T44"/>
  <c r="S44"/>
  <c r="R44"/>
  <c r="Q44"/>
  <c r="P44"/>
  <c r="O44"/>
  <c r="N44"/>
  <c r="M44"/>
  <c r="L44"/>
  <c r="K44"/>
  <c r="J44"/>
  <c r="H44"/>
  <c r="G44"/>
  <c r="AK43"/>
  <c r="AJ43"/>
  <c r="AI43"/>
  <c r="AH43"/>
  <c r="AG43"/>
  <c r="AF43"/>
  <c r="AE43"/>
  <c r="AD43"/>
  <c r="AC43"/>
  <c r="AB43"/>
  <c r="AA43"/>
  <c r="Z43"/>
  <c r="U43"/>
  <c r="T43"/>
  <c r="S43"/>
  <c r="R43"/>
  <c r="Q43"/>
  <c r="P43"/>
  <c r="O43"/>
  <c r="N43"/>
  <c r="M43"/>
  <c r="L43"/>
  <c r="K43"/>
  <c r="J43"/>
  <c r="H43"/>
  <c r="G43"/>
  <c r="AK42"/>
  <c r="AJ42"/>
  <c r="AI42"/>
  <c r="AH42"/>
  <c r="AG42"/>
  <c r="AF42"/>
  <c r="AE42"/>
  <c r="AD42"/>
  <c r="AC42"/>
  <c r="AB42"/>
  <c r="AA42"/>
  <c r="Z42"/>
  <c r="U42"/>
  <c r="T42"/>
  <c r="S42"/>
  <c r="R42"/>
  <c r="Q42"/>
  <c r="P42"/>
  <c r="O42"/>
  <c r="N42"/>
  <c r="M42"/>
  <c r="L42"/>
  <c r="K42"/>
  <c r="J42"/>
  <c r="H42"/>
  <c r="G42"/>
  <c r="AK41"/>
  <c r="AJ41"/>
  <c r="AI41"/>
  <c r="AH41"/>
  <c r="AG41"/>
  <c r="AF41"/>
  <c r="AE41"/>
  <c r="AD41"/>
  <c r="AC41"/>
  <c r="AB41"/>
  <c r="AA41"/>
  <c r="Z41"/>
  <c r="U41"/>
  <c r="T41"/>
  <c r="S41"/>
  <c r="R41"/>
  <c r="Q41"/>
  <c r="P41"/>
  <c r="O41"/>
  <c r="N41"/>
  <c r="M41"/>
  <c r="L41"/>
  <c r="K41"/>
  <c r="J41"/>
  <c r="H41"/>
  <c r="G41"/>
  <c r="AK40"/>
  <c r="AJ40"/>
  <c r="AI40"/>
  <c r="AH40"/>
  <c r="AG40"/>
  <c r="AF40"/>
  <c r="AE40"/>
  <c r="AD40"/>
  <c r="AC40"/>
  <c r="AB40"/>
  <c r="AA40"/>
  <c r="Z40"/>
  <c r="U40"/>
  <c r="T40"/>
  <c r="S40"/>
  <c r="R40"/>
  <c r="Q40"/>
  <c r="P40"/>
  <c r="O40"/>
  <c r="N40"/>
  <c r="M40"/>
  <c r="L40"/>
  <c r="K40"/>
  <c r="J40"/>
  <c r="AK39"/>
  <c r="AJ39"/>
  <c r="AI39"/>
  <c r="AH39"/>
  <c r="AG39"/>
  <c r="AF39"/>
  <c r="AE39"/>
  <c r="AD39"/>
  <c r="AC39"/>
  <c r="AB39"/>
  <c r="AA39"/>
  <c r="Z39"/>
  <c r="U39"/>
  <c r="T39"/>
  <c r="S39"/>
  <c r="R39"/>
  <c r="Q39"/>
  <c r="P39"/>
  <c r="O39"/>
  <c r="N39"/>
  <c r="M39"/>
  <c r="L39"/>
  <c r="K39"/>
  <c r="J39"/>
  <c r="AK38"/>
  <c r="AJ38"/>
  <c r="AI38"/>
  <c r="AH38"/>
  <c r="AG38"/>
  <c r="AF38"/>
  <c r="AE38"/>
  <c r="AD38"/>
  <c r="AC38"/>
  <c r="AB38"/>
  <c r="AA38"/>
  <c r="Z38"/>
  <c r="U38"/>
  <c r="T38"/>
  <c r="S38"/>
  <c r="R38"/>
  <c r="Q38"/>
  <c r="P38"/>
  <c r="O38"/>
  <c r="N38"/>
  <c r="M38"/>
  <c r="L38"/>
  <c r="K38"/>
  <c r="J38"/>
  <c r="AK37"/>
  <c r="AJ37"/>
  <c r="AI37"/>
  <c r="AH37"/>
  <c r="AG37"/>
  <c r="AF37"/>
  <c r="AE37"/>
  <c r="AD37"/>
  <c r="AC37"/>
  <c r="AB37"/>
  <c r="AA37"/>
  <c r="Z37"/>
  <c r="U37"/>
  <c r="T37"/>
  <c r="S37"/>
  <c r="R37"/>
  <c r="Q37"/>
  <c r="P37"/>
  <c r="O37"/>
  <c r="N37"/>
  <c r="M37"/>
  <c r="L37"/>
  <c r="K37"/>
  <c r="J37"/>
  <c r="AK36"/>
  <c r="AJ36"/>
  <c r="AI36"/>
  <c r="AH36"/>
  <c r="AG36"/>
  <c r="AF36"/>
  <c r="AE36"/>
  <c r="AD36"/>
  <c r="AC36"/>
  <c r="AB36"/>
  <c r="AA36"/>
  <c r="Z36"/>
  <c r="U36"/>
  <c r="T36"/>
  <c r="S36"/>
  <c r="R36"/>
  <c r="Q36"/>
  <c r="P36"/>
  <c r="O36"/>
  <c r="N36"/>
  <c r="M36"/>
  <c r="L36"/>
  <c r="K36"/>
  <c r="J36"/>
  <c r="AK35"/>
  <c r="AJ35"/>
  <c r="AI35"/>
  <c r="AH35"/>
  <c r="AG35"/>
  <c r="AF35"/>
  <c r="AE35"/>
  <c r="AD35"/>
  <c r="AC35"/>
  <c r="AB35"/>
  <c r="AA35"/>
  <c r="Z35"/>
  <c r="U35"/>
  <c r="T35"/>
  <c r="S35"/>
  <c r="R35"/>
  <c r="Q35"/>
  <c r="P35"/>
  <c r="O35"/>
  <c r="N35"/>
  <c r="M35"/>
  <c r="L35"/>
  <c r="K35"/>
  <c r="J35"/>
  <c r="AK34"/>
  <c r="AJ34"/>
  <c r="AI34"/>
  <c r="AH34"/>
  <c r="AG34"/>
  <c r="AF34"/>
  <c r="AE34"/>
  <c r="AD34"/>
  <c r="AC34"/>
  <c r="AB34"/>
  <c r="AA34"/>
  <c r="Z34"/>
  <c r="U34"/>
  <c r="T34"/>
  <c r="S34"/>
  <c r="R34"/>
  <c r="Q34"/>
  <c r="P34"/>
  <c r="O34"/>
  <c r="N34"/>
  <c r="M34"/>
  <c r="L34"/>
  <c r="K34"/>
  <c r="J34"/>
  <c r="AK33"/>
  <c r="AJ33"/>
  <c r="AI33"/>
  <c r="AH33"/>
  <c r="AG33"/>
  <c r="AF33"/>
  <c r="AE33"/>
  <c r="AD33"/>
  <c r="AC33"/>
  <c r="AB33"/>
  <c r="AA33"/>
  <c r="Z33"/>
  <c r="U33"/>
  <c r="T33"/>
  <c r="S33"/>
  <c r="R33"/>
  <c r="Q33"/>
  <c r="P33"/>
  <c r="O33"/>
  <c r="N33"/>
  <c r="M33"/>
  <c r="L33"/>
  <c r="K33"/>
  <c r="J33"/>
  <c r="AK32"/>
  <c r="AJ32"/>
  <c r="AI32"/>
  <c r="AH32"/>
  <c r="AG32"/>
  <c r="AF32"/>
  <c r="AE32"/>
  <c r="AD32"/>
  <c r="AC32"/>
  <c r="AB32"/>
  <c r="AA32"/>
  <c r="Z32"/>
  <c r="U32"/>
  <c r="T32"/>
  <c r="S32"/>
  <c r="R32"/>
  <c r="Q32"/>
  <c r="P32"/>
  <c r="O32"/>
  <c r="N32"/>
  <c r="M32"/>
  <c r="L32"/>
  <c r="K32"/>
  <c r="J32"/>
  <c r="AK31"/>
  <c r="AJ31"/>
  <c r="AI31"/>
  <c r="AH31"/>
  <c r="AG31"/>
  <c r="AF31"/>
  <c r="AE31"/>
  <c r="AD31"/>
  <c r="AC31"/>
  <c r="AB31"/>
  <c r="AA31"/>
  <c r="Z31"/>
  <c r="U31"/>
  <c r="T31"/>
  <c r="S31"/>
  <c r="R31"/>
  <c r="Q31"/>
  <c r="P31"/>
  <c r="O31"/>
  <c r="N31"/>
  <c r="M31"/>
  <c r="L31"/>
  <c r="K31"/>
  <c r="J31"/>
  <c r="AK30"/>
  <c r="AJ30"/>
  <c r="AI30"/>
  <c r="AH30"/>
  <c r="AG30"/>
  <c r="AF30"/>
  <c r="AE30"/>
  <c r="AD30"/>
  <c r="AC30"/>
  <c r="AB30"/>
  <c r="AA30"/>
  <c r="Z30"/>
  <c r="U30"/>
  <c r="T30"/>
  <c r="S30"/>
  <c r="R30"/>
  <c r="Q30"/>
  <c r="P30"/>
  <c r="O30"/>
  <c r="N30"/>
  <c r="M30"/>
  <c r="L30"/>
  <c r="K30"/>
  <c r="J30"/>
  <c r="AK29"/>
  <c r="AJ29"/>
  <c r="AI29"/>
  <c r="AH29"/>
  <c r="AG29"/>
  <c r="AF29"/>
  <c r="AE29"/>
  <c r="AD29"/>
  <c r="AC29"/>
  <c r="AB29"/>
  <c r="AA29"/>
  <c r="Z29"/>
  <c r="U29"/>
  <c r="T29"/>
  <c r="S29"/>
  <c r="R29"/>
  <c r="Q29"/>
  <c r="P29"/>
  <c r="O29"/>
  <c r="N29"/>
  <c r="M29"/>
  <c r="L29"/>
  <c r="K29"/>
  <c r="J29"/>
  <c r="AW28"/>
  <c r="AW31" s="1"/>
  <c r="AZ26" s="1"/>
  <c r="AK28"/>
  <c r="AJ28"/>
  <c r="AI28"/>
  <c r="AH28"/>
  <c r="AG28"/>
  <c r="AF28"/>
  <c r="AE28"/>
  <c r="AD28"/>
  <c r="AC28"/>
  <c r="AB28"/>
  <c r="AA28"/>
  <c r="Z28"/>
  <c r="U28"/>
  <c r="T28"/>
  <c r="S28"/>
  <c r="R28"/>
  <c r="Q28"/>
  <c r="P28"/>
  <c r="O28"/>
  <c r="N28"/>
  <c r="M28"/>
  <c r="L28"/>
  <c r="K28"/>
  <c r="J28"/>
  <c r="AK27"/>
  <c r="AJ27"/>
  <c r="AI27"/>
  <c r="AH27"/>
  <c r="AG27"/>
  <c r="AF27"/>
  <c r="AE27"/>
  <c r="AD27"/>
  <c r="AC27"/>
  <c r="AA27"/>
  <c r="Z27"/>
  <c r="U27"/>
  <c r="T27"/>
  <c r="S27"/>
  <c r="R27"/>
  <c r="Q27"/>
  <c r="P27"/>
  <c r="O27"/>
  <c r="N27"/>
  <c r="M27"/>
  <c r="K27"/>
  <c r="J27"/>
  <c r="H27"/>
  <c r="L27" s="1"/>
  <c r="G27"/>
  <c r="AB27" s="1"/>
  <c r="AK26"/>
  <c r="AJ26"/>
  <c r="AI26"/>
  <c r="AH26"/>
  <c r="AG26"/>
  <c r="AF26"/>
  <c r="AE26"/>
  <c r="AD26"/>
  <c r="AC26"/>
  <c r="AB26"/>
  <c r="AA26"/>
  <c r="U26"/>
  <c r="T26"/>
  <c r="S26"/>
  <c r="R26"/>
  <c r="Q26"/>
  <c r="P26"/>
  <c r="O26"/>
  <c r="N26"/>
  <c r="M26"/>
  <c r="L26"/>
  <c r="K26"/>
  <c r="H26"/>
  <c r="J26" s="1"/>
  <c r="G26"/>
  <c r="Z26" s="1"/>
  <c r="AZ25"/>
  <c r="AK25"/>
  <c r="AJ25"/>
  <c r="AH25"/>
  <c r="AG25"/>
  <c r="AF25"/>
  <c r="AE25"/>
  <c r="AD25"/>
  <c r="AC25"/>
  <c r="AB25"/>
  <c r="AA25"/>
  <c r="Z25"/>
  <c r="U25"/>
  <c r="T25"/>
  <c r="R25"/>
  <c r="Q25"/>
  <c r="P25"/>
  <c r="O25"/>
  <c r="N25"/>
  <c r="M25"/>
  <c r="L25"/>
  <c r="K25"/>
  <c r="J25"/>
  <c r="H25"/>
  <c r="S25" s="1"/>
  <c r="G25"/>
  <c r="AI25" s="1"/>
  <c r="AK24"/>
  <c r="AJ24"/>
  <c r="AI24"/>
  <c r="AH24"/>
  <c r="AG24"/>
  <c r="AF24"/>
  <c r="AE24"/>
  <c r="AD24"/>
  <c r="AC24"/>
  <c r="AB24"/>
  <c r="Z24"/>
  <c r="U24"/>
  <c r="T24"/>
  <c r="S24"/>
  <c r="R24"/>
  <c r="Q24"/>
  <c r="P24"/>
  <c r="O24"/>
  <c r="N24"/>
  <c r="M24"/>
  <c r="L24"/>
  <c r="K24"/>
  <c r="J24"/>
  <c r="H24"/>
  <c r="G24"/>
  <c r="AA24" s="1"/>
  <c r="AK23"/>
  <c r="AJ23"/>
  <c r="AI23"/>
  <c r="AH23"/>
  <c r="AG23"/>
  <c r="AE23"/>
  <c r="AD23"/>
  <c r="AC23"/>
  <c r="AB23"/>
  <c r="AA23"/>
  <c r="Z23"/>
  <c r="U23"/>
  <c r="T23"/>
  <c r="S23"/>
  <c r="R23"/>
  <c r="Q23"/>
  <c r="O23"/>
  <c r="N23"/>
  <c r="M23"/>
  <c r="L23"/>
  <c r="K23"/>
  <c r="J23"/>
  <c r="H23"/>
  <c r="P23" s="1"/>
  <c r="G23"/>
  <c r="AF23" s="1"/>
  <c r="AK22"/>
  <c r="AJ22"/>
  <c r="AI22"/>
  <c r="AG22"/>
  <c r="AF22"/>
  <c r="AE22"/>
  <c r="AD22"/>
  <c r="AC22"/>
  <c r="AB22"/>
  <c r="AA22"/>
  <c r="U22"/>
  <c r="T22"/>
  <c r="S22"/>
  <c r="Q22"/>
  <c r="P22"/>
  <c r="O22"/>
  <c r="N22"/>
  <c r="M22"/>
  <c r="L22"/>
  <c r="K22"/>
  <c r="H22"/>
  <c r="R22" s="1"/>
  <c r="G22"/>
  <c r="AH22" s="1"/>
  <c r="AK21"/>
  <c r="AJ21"/>
  <c r="AI21"/>
  <c r="AH21"/>
  <c r="AG21"/>
  <c r="AF21"/>
  <c r="AE21"/>
  <c r="AC21"/>
  <c r="AB21"/>
  <c r="AA21"/>
  <c r="Z21"/>
  <c r="U21"/>
  <c r="T21"/>
  <c r="S21"/>
  <c r="R21"/>
  <c r="Q21"/>
  <c r="P21"/>
  <c r="O21"/>
  <c r="N21"/>
  <c r="M21"/>
  <c r="L21"/>
  <c r="K21"/>
  <c r="J21"/>
  <c r="AD21"/>
  <c r="AK20"/>
  <c r="AJ20"/>
  <c r="AH20"/>
  <c r="AG20"/>
  <c r="AF20"/>
  <c r="AE20"/>
  <c r="AD20"/>
  <c r="AC20"/>
  <c r="AB20"/>
  <c r="Z20"/>
  <c r="U20"/>
  <c r="T20"/>
  <c r="R20"/>
  <c r="Q20"/>
  <c r="P20"/>
  <c r="O20"/>
  <c r="N20"/>
  <c r="M20"/>
  <c r="L20"/>
  <c r="K20"/>
  <c r="J20"/>
  <c r="H20"/>
  <c r="S20" s="1"/>
  <c r="G20"/>
  <c r="AA20" s="1"/>
  <c r="AK19"/>
  <c r="AI19"/>
  <c r="AG19"/>
  <c r="AF19"/>
  <c r="AE19"/>
  <c r="AD19"/>
  <c r="AC19"/>
  <c r="AB19"/>
  <c r="AA19"/>
  <c r="Z19"/>
  <c r="U19"/>
  <c r="S19"/>
  <c r="Q19"/>
  <c r="P19"/>
  <c r="O19"/>
  <c r="N19"/>
  <c r="M19"/>
  <c r="L19"/>
  <c r="K19"/>
  <c r="J19"/>
  <c r="H19"/>
  <c r="R19" s="1"/>
  <c r="G19"/>
  <c r="AH19" s="1"/>
  <c r="AK18"/>
  <c r="AJ18"/>
  <c r="AI18"/>
  <c r="AG18"/>
  <c r="AF18"/>
  <c r="AE18"/>
  <c r="AD18"/>
  <c r="AC18"/>
  <c r="AA18"/>
  <c r="Z18"/>
  <c r="U18"/>
  <c r="T18"/>
  <c r="S18"/>
  <c r="Q18"/>
  <c r="P18"/>
  <c r="O18"/>
  <c r="N18"/>
  <c r="M18"/>
  <c r="K18"/>
  <c r="J18"/>
  <c r="H18"/>
  <c r="R18" s="1"/>
  <c r="G18"/>
  <c r="AH18" s="1"/>
  <c r="AK17"/>
  <c r="AJ17"/>
  <c r="AI17"/>
  <c r="AH17"/>
  <c r="AG17"/>
  <c r="AF17"/>
  <c r="AE17"/>
  <c r="AC17"/>
  <c r="AB17"/>
  <c r="AA17"/>
  <c r="U17"/>
  <c r="T17"/>
  <c r="S17"/>
  <c r="R17"/>
  <c r="Q17"/>
  <c r="P17"/>
  <c r="O17"/>
  <c r="M17"/>
  <c r="L17"/>
  <c r="K17"/>
  <c r="J17"/>
  <c r="G17"/>
  <c r="Z17" s="1"/>
  <c r="AK16"/>
  <c r="AJ16"/>
  <c r="AI16"/>
  <c r="AH16"/>
  <c r="AG16"/>
  <c r="AF16"/>
  <c r="AE16"/>
  <c r="AD16"/>
  <c r="AB16"/>
  <c r="AA16"/>
  <c r="Z16"/>
  <c r="U16"/>
  <c r="T16"/>
  <c r="S16"/>
  <c r="R16"/>
  <c r="Q16"/>
  <c r="P16"/>
  <c r="O16"/>
  <c r="N16"/>
  <c r="L16"/>
  <c r="K16"/>
  <c r="J16"/>
  <c r="H16"/>
  <c r="M16" s="1"/>
  <c r="G16"/>
  <c r="AC16" s="1"/>
  <c r="AK15"/>
  <c r="AI15"/>
  <c r="AH15"/>
  <c r="AG15"/>
  <c r="AF15"/>
  <c r="AE15"/>
  <c r="AD15"/>
  <c r="AC15"/>
  <c r="AB15"/>
  <c r="AA15"/>
  <c r="Z15"/>
  <c r="U15"/>
  <c r="T15"/>
  <c r="S15"/>
  <c r="R15"/>
  <c r="Q15"/>
  <c r="P15"/>
  <c r="O15"/>
  <c r="N15"/>
  <c r="M15"/>
  <c r="L15"/>
  <c r="K15"/>
  <c r="J15"/>
  <c r="H15"/>
  <c r="G15"/>
  <c r="AJ15" s="1"/>
  <c r="AK14"/>
  <c r="AJ14"/>
  <c r="AI14"/>
  <c r="AG14"/>
  <c r="AF14"/>
  <c r="AE14"/>
  <c r="AD14"/>
  <c r="AB14"/>
  <c r="AA14"/>
  <c r="Z14"/>
  <c r="U14"/>
  <c r="T14"/>
  <c r="S14"/>
  <c r="Q14"/>
  <c r="P14"/>
  <c r="O14"/>
  <c r="N14"/>
  <c r="L14"/>
  <c r="K14"/>
  <c r="J14"/>
  <c r="H14"/>
  <c r="R14" s="1"/>
  <c r="G14"/>
  <c r="AH14" s="1"/>
  <c r="AK13"/>
  <c r="AJ13"/>
  <c r="AI13"/>
  <c r="AG13"/>
  <c r="AF13"/>
  <c r="AE13"/>
  <c r="AD13"/>
  <c r="AC13"/>
  <c r="AB13"/>
  <c r="AA13"/>
  <c r="Z13"/>
  <c r="U13"/>
  <c r="T13"/>
  <c r="S13"/>
  <c r="Q13"/>
  <c r="P13"/>
  <c r="O13"/>
  <c r="N13"/>
  <c r="M13"/>
  <c r="L13"/>
  <c r="K13"/>
  <c r="J13"/>
  <c r="H13"/>
  <c r="R13" s="1"/>
  <c r="G13"/>
  <c r="AH13" s="1"/>
  <c r="AK12"/>
  <c r="AI12"/>
  <c r="AG12"/>
  <c r="AF12"/>
  <c r="AE12"/>
  <c r="AD12"/>
  <c r="AC12"/>
  <c r="AB12"/>
  <c r="AA12"/>
  <c r="Z12"/>
  <c r="U12"/>
  <c r="S12"/>
  <c r="Q12"/>
  <c r="P12"/>
  <c r="O12"/>
  <c r="N12"/>
  <c r="M12"/>
  <c r="L12"/>
  <c r="K12"/>
  <c r="J12"/>
  <c r="H12"/>
  <c r="T12" s="1"/>
  <c r="G12"/>
  <c r="AJ12" s="1"/>
  <c r="AK11"/>
  <c r="AJ11"/>
  <c r="AI11"/>
  <c r="AH11"/>
  <c r="AG11"/>
  <c r="AF11"/>
  <c r="AE11"/>
  <c r="AD11"/>
  <c r="AC11"/>
  <c r="AA11"/>
  <c r="Z11"/>
  <c r="U11"/>
  <c r="T11"/>
  <c r="S11"/>
  <c r="R11"/>
  <c r="Q11"/>
  <c r="P11"/>
  <c r="O11"/>
  <c r="N11"/>
  <c r="M11"/>
  <c r="L11"/>
  <c r="K11"/>
  <c r="J11"/>
  <c r="H11"/>
  <c r="G11"/>
  <c r="AB11" s="1"/>
  <c r="AK10"/>
  <c r="AH10"/>
  <c r="AG10"/>
  <c r="AF10"/>
  <c r="AE10"/>
  <c r="AD10"/>
  <c r="AC10"/>
  <c r="AB10"/>
  <c r="AA10"/>
  <c r="Z10"/>
  <c r="U10"/>
  <c r="R10"/>
  <c r="Q10"/>
  <c r="P10"/>
  <c r="O10"/>
  <c r="N10"/>
  <c r="M10"/>
  <c r="L10"/>
  <c r="K10"/>
  <c r="J10"/>
  <c r="H10"/>
  <c r="T10" s="1"/>
  <c r="G10"/>
  <c r="AJ10" s="1"/>
  <c r="AK9"/>
  <c r="AJ9"/>
  <c r="AI9"/>
  <c r="AH9"/>
  <c r="AG9"/>
  <c r="AF9"/>
  <c r="AE9"/>
  <c r="AD9"/>
  <c r="AC9"/>
  <c r="AA9"/>
  <c r="Z9"/>
  <c r="U9"/>
  <c r="T9"/>
  <c r="S9"/>
  <c r="R9"/>
  <c r="Q9"/>
  <c r="P9"/>
  <c r="O9"/>
  <c r="N9"/>
  <c r="M9"/>
  <c r="K9"/>
  <c r="J9"/>
  <c r="H9"/>
  <c r="L9" s="1"/>
  <c r="G9"/>
  <c r="AB9" s="1"/>
  <c r="AK8"/>
  <c r="AJ8"/>
  <c r="AI8"/>
  <c r="AH8"/>
  <c r="AG8"/>
  <c r="AF8"/>
  <c r="AE8"/>
  <c r="AD8"/>
  <c r="AC8"/>
  <c r="AA8"/>
  <c r="Z8"/>
  <c r="U8"/>
  <c r="T8"/>
  <c r="S8"/>
  <c r="R8"/>
  <c r="Q8"/>
  <c r="P8"/>
  <c r="O8"/>
  <c r="N8"/>
  <c r="M8"/>
  <c r="K8"/>
  <c r="J8"/>
  <c r="H8"/>
  <c r="L8" s="1"/>
  <c r="G8"/>
  <c r="AB8" s="1"/>
  <c r="AK7"/>
  <c r="AJ7"/>
  <c r="AI7"/>
  <c r="AH7"/>
  <c r="AG7"/>
  <c r="AF7"/>
  <c r="AE7"/>
  <c r="AC7"/>
  <c r="AA7"/>
  <c r="Z7"/>
  <c r="U7"/>
  <c r="T7"/>
  <c r="S7"/>
  <c r="R7"/>
  <c r="Q7"/>
  <c r="P7"/>
  <c r="O7"/>
  <c r="M7"/>
  <c r="K7"/>
  <c r="J7"/>
  <c r="N7"/>
  <c r="AD7"/>
  <c r="AK6"/>
  <c r="AJ6"/>
  <c r="AI6"/>
  <c r="AH6"/>
  <c r="AG6"/>
  <c r="AF6"/>
  <c r="AE6"/>
  <c r="AC6"/>
  <c r="AB6"/>
  <c r="AA6"/>
  <c r="Z6"/>
  <c r="U6"/>
  <c r="T6"/>
  <c r="S6"/>
  <c r="R6"/>
  <c r="Q6"/>
  <c r="P6"/>
  <c r="O6"/>
  <c r="M6"/>
  <c r="L6"/>
  <c r="K6"/>
  <c r="J6"/>
  <c r="N6"/>
  <c r="AD6"/>
  <c r="AK5"/>
  <c r="AJ5"/>
  <c r="AI5"/>
  <c r="AG5"/>
  <c r="AF5"/>
  <c r="AE5"/>
  <c r="AD5"/>
  <c r="AC5"/>
  <c r="AB5"/>
  <c r="AA5"/>
  <c r="Z5"/>
  <c r="U5"/>
  <c r="T5"/>
  <c r="S5"/>
  <c r="Q5"/>
  <c r="P5"/>
  <c r="O5"/>
  <c r="N5"/>
  <c r="M5"/>
  <c r="L5"/>
  <c r="K5"/>
  <c r="J5"/>
  <c r="H5"/>
  <c r="R5" s="1"/>
  <c r="G5"/>
  <c r="AH5" s="1"/>
  <c r="AK4"/>
  <c r="AJ4"/>
  <c r="AI4"/>
  <c r="AG4"/>
  <c r="AF4"/>
  <c r="AE4"/>
  <c r="AD4"/>
  <c r="AC4"/>
  <c r="AB4"/>
  <c r="AA4"/>
  <c r="Z4"/>
  <c r="U4"/>
  <c r="T4"/>
  <c r="S4"/>
  <c r="Q4"/>
  <c r="P4"/>
  <c r="O4"/>
  <c r="N4"/>
  <c r="M4"/>
  <c r="L4"/>
  <c r="K4"/>
  <c r="J4"/>
  <c r="H4"/>
  <c r="R4" s="1"/>
  <c r="G4"/>
  <c r="AH4" s="1"/>
  <c r="AK3"/>
  <c r="AJ3"/>
  <c r="AI3"/>
  <c r="AG3"/>
  <c r="AF3"/>
  <c r="AE3"/>
  <c r="AD3"/>
  <c r="AC3"/>
  <c r="AB3"/>
  <c r="AA3"/>
  <c r="Z3"/>
  <c r="U3"/>
  <c r="T3"/>
  <c r="S3"/>
  <c r="Q3"/>
  <c r="P3"/>
  <c r="O3"/>
  <c r="N3"/>
  <c r="M3"/>
  <c r="L3"/>
  <c r="K3"/>
  <c r="J3"/>
  <c r="H3"/>
  <c r="R3" s="1"/>
  <c r="G3"/>
  <c r="AH3" s="1"/>
  <c r="AN2"/>
  <c r="AN16" s="1"/>
  <c r="AM2"/>
  <c r="AM32" s="1"/>
  <c r="AL2"/>
  <c r="AL62" s="1"/>
  <c r="X2"/>
  <c r="X34" s="1"/>
  <c r="W2"/>
  <c r="W16" s="1"/>
  <c r="V2"/>
  <c r="V32" s="1"/>
  <c r="AR7" i="14" l="1"/>
  <c r="AR6"/>
  <c r="AR3"/>
  <c r="AR4"/>
  <c r="AR9"/>
  <c r="AG26" i="25"/>
  <c r="AN26"/>
  <c r="AG25"/>
  <c r="AN25"/>
  <c r="AG24"/>
  <c r="AN24"/>
  <c r="AG23"/>
  <c r="AN23"/>
  <c r="AG22"/>
  <c r="AN22"/>
  <c r="AR11" i="10"/>
  <c r="AR3"/>
  <c r="AG21" i="25"/>
  <c r="AN21"/>
  <c r="AG20"/>
  <c r="AN20"/>
  <c r="AG19"/>
  <c r="AN19"/>
  <c r="AG18"/>
  <c r="AN18"/>
  <c r="AG17"/>
  <c r="AN17"/>
  <c r="AG16"/>
  <c r="AN16"/>
  <c r="AG15"/>
  <c r="AN15"/>
  <c r="AG14"/>
  <c r="AN14"/>
  <c r="AG11"/>
  <c r="AR7" i="10"/>
  <c r="AR4"/>
  <c r="AR6"/>
  <c r="AR2"/>
  <c r="AR5"/>
  <c r="AR8"/>
  <c r="AR13"/>
  <c r="AR9"/>
  <c r="AR10"/>
  <c r="AR13" i="9"/>
  <c r="AR2"/>
  <c r="AR5"/>
  <c r="AR11"/>
  <c r="AR6"/>
  <c r="AI20" i="7"/>
  <c r="AH63" i="9"/>
  <c r="AS10" s="1"/>
  <c r="AR10" s="1"/>
  <c r="AR8"/>
  <c r="X63" i="14"/>
  <c r="AT16" s="1"/>
  <c r="AR13"/>
  <c r="V63" i="10"/>
  <c r="AT14" s="1"/>
  <c r="V5" i="7"/>
  <c r="AR12" i="10"/>
  <c r="AR5" i="14"/>
  <c r="AR11"/>
  <c r="AR12"/>
  <c r="AN63"/>
  <c r="AS16" s="1"/>
  <c r="AL63"/>
  <c r="AS14" s="1"/>
  <c r="V63"/>
  <c r="AT14" s="1"/>
  <c r="AM63"/>
  <c r="AS15" s="1"/>
  <c r="W63"/>
  <c r="AT15" s="1"/>
  <c r="AR10"/>
  <c r="AR7" i="9"/>
  <c r="AR3"/>
  <c r="AM63" i="10"/>
  <c r="AS15" s="1"/>
  <c r="X63"/>
  <c r="AT16" s="1"/>
  <c r="W63"/>
  <c r="AT15" s="1"/>
  <c r="AN63"/>
  <c r="AS16" s="1"/>
  <c r="AL63"/>
  <c r="AS14" s="1"/>
  <c r="X63" i="9"/>
  <c r="AT16" s="1"/>
  <c r="V63"/>
  <c r="AT14" s="1"/>
  <c r="AN63"/>
  <c r="AS16" s="1"/>
  <c r="AM63"/>
  <c r="AS15" s="1"/>
  <c r="W63"/>
  <c r="AT15" s="1"/>
  <c r="AL63"/>
  <c r="AS14" s="1"/>
  <c r="AL3" i="7"/>
  <c r="V4"/>
  <c r="AL4"/>
  <c r="AL7"/>
  <c r="AI10"/>
  <c r="S10"/>
  <c r="S63" s="1"/>
  <c r="AT11" s="1"/>
  <c r="R12"/>
  <c r="J22"/>
  <c r="Z22"/>
  <c r="Z63" s="1"/>
  <c r="AS2" s="1"/>
  <c r="T19"/>
  <c r="AJ19"/>
  <c r="AB18"/>
  <c r="L18"/>
  <c r="AD17"/>
  <c r="AM9"/>
  <c r="AM4"/>
  <c r="AM8"/>
  <c r="AM5"/>
  <c r="AC14"/>
  <c r="AC63" s="1"/>
  <c r="AS5" s="1"/>
  <c r="M14"/>
  <c r="M63" s="1"/>
  <c r="AT5" s="1"/>
  <c r="B18" i="17"/>
  <c r="D18"/>
  <c r="D17" s="1"/>
  <c r="AK27" i="25"/>
  <c r="AE27"/>
  <c r="W25"/>
  <c r="C16"/>
  <c r="U63" i="7"/>
  <c r="AT13" s="1"/>
  <c r="AH12"/>
  <c r="AH63" s="1"/>
  <c r="AS10" s="1"/>
  <c r="AI63"/>
  <c r="AS11" s="1"/>
  <c r="Q63"/>
  <c r="AT9" s="1"/>
  <c r="K63"/>
  <c r="AT3" s="1"/>
  <c r="O63"/>
  <c r="AT7" s="1"/>
  <c r="AF63"/>
  <c r="AS8" s="1"/>
  <c r="AJ63"/>
  <c r="AS12" s="1"/>
  <c r="J63"/>
  <c r="AT2" s="1"/>
  <c r="N63"/>
  <c r="AT6" s="1"/>
  <c r="AA63"/>
  <c r="AS3" s="1"/>
  <c r="AE63"/>
  <c r="AS7" s="1"/>
  <c r="L63"/>
  <c r="AT4" s="1"/>
  <c r="P63"/>
  <c r="AT8" s="1"/>
  <c r="AG63"/>
  <c r="AS9" s="1"/>
  <c r="AK63"/>
  <c r="AS13" s="1"/>
  <c r="R63"/>
  <c r="AT10" s="1"/>
  <c r="AD63"/>
  <c r="AS6" s="1"/>
  <c r="T63"/>
  <c r="AT12" s="1"/>
  <c r="AB63"/>
  <c r="AS4" s="1"/>
  <c r="W5"/>
  <c r="AN5"/>
  <c r="X6"/>
  <c r="V8"/>
  <c r="W9"/>
  <c r="AN9"/>
  <c r="X10"/>
  <c r="AL11"/>
  <c r="V12"/>
  <c r="AM12"/>
  <c r="W13"/>
  <c r="AN13"/>
  <c r="X14"/>
  <c r="AL15"/>
  <c r="V16"/>
  <c r="AM16"/>
  <c r="W17"/>
  <c r="AN17"/>
  <c r="X18"/>
  <c r="X19"/>
  <c r="X20"/>
  <c r="AL21"/>
  <c r="AL22"/>
  <c r="AL23"/>
  <c r="AL24"/>
  <c r="W25"/>
  <c r="AN25"/>
  <c r="AL26"/>
  <c r="W27"/>
  <c r="AN27"/>
  <c r="W28"/>
  <c r="AN28"/>
  <c r="X29"/>
  <c r="X30"/>
  <c r="W31"/>
  <c r="AN31"/>
  <c r="AL32"/>
  <c r="W33"/>
  <c r="AN33"/>
  <c r="W34"/>
  <c r="AN34"/>
  <c r="X35"/>
  <c r="X36"/>
  <c r="X37"/>
  <c r="X38"/>
  <c r="X39"/>
  <c r="X40"/>
  <c r="X41"/>
  <c r="X42"/>
  <c r="X43"/>
  <c r="X44"/>
  <c r="X45"/>
  <c r="X46"/>
  <c r="X47"/>
  <c r="X48"/>
  <c r="X49"/>
  <c r="X50"/>
  <c r="X51"/>
  <c r="X52"/>
  <c r="X53"/>
  <c r="X54"/>
  <c r="X55"/>
  <c r="X56"/>
  <c r="X57"/>
  <c r="X58"/>
  <c r="X59"/>
  <c r="X60"/>
  <c r="X61"/>
  <c r="X62"/>
  <c r="AL8"/>
  <c r="V9"/>
  <c r="W10"/>
  <c r="AN10"/>
  <c r="X11"/>
  <c r="AL12"/>
  <c r="V13"/>
  <c r="AM13"/>
  <c r="W14"/>
  <c r="AN14"/>
  <c r="X15"/>
  <c r="AL16"/>
  <c r="V17"/>
  <c r="AM17"/>
  <c r="W18"/>
  <c r="AN18"/>
  <c r="W19"/>
  <c r="AN19"/>
  <c r="W20"/>
  <c r="AN20"/>
  <c r="X21"/>
  <c r="X22"/>
  <c r="X23"/>
  <c r="X24"/>
  <c r="V25"/>
  <c r="AM25"/>
  <c r="X26"/>
  <c r="V27"/>
  <c r="AM27"/>
  <c r="V28"/>
  <c r="AM28"/>
  <c r="W29"/>
  <c r="AN29"/>
  <c r="W30"/>
  <c r="AN30"/>
  <c r="V31"/>
  <c r="AM31"/>
  <c r="X32"/>
  <c r="V33"/>
  <c r="AM33"/>
  <c r="V34"/>
  <c r="AM34"/>
  <c r="W35"/>
  <c r="AN35"/>
  <c r="W36"/>
  <c r="AN36"/>
  <c r="W37"/>
  <c r="AN37"/>
  <c r="W38"/>
  <c r="AN38"/>
  <c r="W39"/>
  <c r="AN39"/>
  <c r="W40"/>
  <c r="AN40"/>
  <c r="W41"/>
  <c r="AN41"/>
  <c r="W42"/>
  <c r="AN42"/>
  <c r="W43"/>
  <c r="AN43"/>
  <c r="W44"/>
  <c r="AN44"/>
  <c r="W45"/>
  <c r="AN45"/>
  <c r="W46"/>
  <c r="AN46"/>
  <c r="W47"/>
  <c r="AN47"/>
  <c r="W48"/>
  <c r="AN48"/>
  <c r="W49"/>
  <c r="AN49"/>
  <c r="W50"/>
  <c r="AN50"/>
  <c r="W51"/>
  <c r="AN51"/>
  <c r="W52"/>
  <c r="AN52"/>
  <c r="W53"/>
  <c r="AN53"/>
  <c r="W54"/>
  <c r="AN54"/>
  <c r="W55"/>
  <c r="AN55"/>
  <c r="W56"/>
  <c r="AN56"/>
  <c r="W57"/>
  <c r="AN57"/>
  <c r="W58"/>
  <c r="AN58"/>
  <c r="W59"/>
  <c r="AN59"/>
  <c r="W60"/>
  <c r="AN60"/>
  <c r="W61"/>
  <c r="AN61"/>
  <c r="W62"/>
  <c r="AN62"/>
  <c r="W3"/>
  <c r="AN3"/>
  <c r="X4"/>
  <c r="AL5"/>
  <c r="V6"/>
  <c r="AM6"/>
  <c r="W7"/>
  <c r="AN7"/>
  <c r="X8"/>
  <c r="AL9"/>
  <c r="V10"/>
  <c r="AM10"/>
  <c r="W11"/>
  <c r="AN11"/>
  <c r="X12"/>
  <c r="AL13"/>
  <c r="V14"/>
  <c r="AM14"/>
  <c r="W15"/>
  <c r="AN15"/>
  <c r="X16"/>
  <c r="AL17"/>
  <c r="V18"/>
  <c r="AM18"/>
  <c r="V19"/>
  <c r="AM19"/>
  <c r="V20"/>
  <c r="AM20"/>
  <c r="W21"/>
  <c r="AN21"/>
  <c r="W22"/>
  <c r="AN22"/>
  <c r="W23"/>
  <c r="AN23"/>
  <c r="W24"/>
  <c r="AN24"/>
  <c r="AL25"/>
  <c r="W26"/>
  <c r="AN26"/>
  <c r="AL27"/>
  <c r="AL28"/>
  <c r="V29"/>
  <c r="AM29"/>
  <c r="V30"/>
  <c r="AM30"/>
  <c r="AL31"/>
  <c r="W32"/>
  <c r="AN32"/>
  <c r="AL33"/>
  <c r="AL34"/>
  <c r="V35"/>
  <c r="AM35"/>
  <c r="V36"/>
  <c r="AM36"/>
  <c r="V37"/>
  <c r="AM37"/>
  <c r="V38"/>
  <c r="AM38"/>
  <c r="V39"/>
  <c r="AM39"/>
  <c r="V40"/>
  <c r="AM40"/>
  <c r="V41"/>
  <c r="AM41"/>
  <c r="V42"/>
  <c r="AM42"/>
  <c r="V43"/>
  <c r="AM43"/>
  <c r="V44"/>
  <c r="AM44"/>
  <c r="V45"/>
  <c r="AM45"/>
  <c r="V46"/>
  <c r="AM46"/>
  <c r="V47"/>
  <c r="AM47"/>
  <c r="V48"/>
  <c r="AM48"/>
  <c r="V49"/>
  <c r="AM49"/>
  <c r="V50"/>
  <c r="AM50"/>
  <c r="V51"/>
  <c r="AM51"/>
  <c r="V52"/>
  <c r="AM52"/>
  <c r="V53"/>
  <c r="AM53"/>
  <c r="V54"/>
  <c r="AM54"/>
  <c r="V55"/>
  <c r="AM55"/>
  <c r="V56"/>
  <c r="AM56"/>
  <c r="V57"/>
  <c r="AM57"/>
  <c r="V58"/>
  <c r="AM58"/>
  <c r="V59"/>
  <c r="AM59"/>
  <c r="V60"/>
  <c r="AM60"/>
  <c r="V61"/>
  <c r="AM61"/>
  <c r="V62"/>
  <c r="AM62"/>
  <c r="X3"/>
  <c r="W6"/>
  <c r="AN6"/>
  <c r="X7"/>
  <c r="V3"/>
  <c r="AM3"/>
  <c r="W4"/>
  <c r="AN4"/>
  <c r="X5"/>
  <c r="AL6"/>
  <c r="V7"/>
  <c r="AM7"/>
  <c r="W8"/>
  <c r="AN8"/>
  <c r="X9"/>
  <c r="AL10"/>
  <c r="V11"/>
  <c r="AM11"/>
  <c r="W12"/>
  <c r="AN12"/>
  <c r="X13"/>
  <c r="AL14"/>
  <c r="V15"/>
  <c r="AM15"/>
  <c r="X17"/>
  <c r="AL18"/>
  <c r="AL19"/>
  <c r="AL20"/>
  <c r="V21"/>
  <c r="AM21"/>
  <c r="V22"/>
  <c r="AM22"/>
  <c r="V23"/>
  <c r="AM23"/>
  <c r="V24"/>
  <c r="AM24"/>
  <c r="X25"/>
  <c r="V26"/>
  <c r="AM26"/>
  <c r="X27"/>
  <c r="X28"/>
  <c r="AL29"/>
  <c r="AL30"/>
  <c r="X31"/>
  <c r="X33"/>
  <c r="AL35"/>
  <c r="AL36"/>
  <c r="AL37"/>
  <c r="AL38"/>
  <c r="AL39"/>
  <c r="AL40"/>
  <c r="AL41"/>
  <c r="AL42"/>
  <c r="AL43"/>
  <c r="AL44"/>
  <c r="AL45"/>
  <c r="AL46"/>
  <c r="AL47"/>
  <c r="AL48"/>
  <c r="AL49"/>
  <c r="AL50"/>
  <c r="AL51"/>
  <c r="AL52"/>
  <c r="AL53"/>
  <c r="AL54"/>
  <c r="AL55"/>
  <c r="AL56"/>
  <c r="AL57"/>
  <c r="AL58"/>
  <c r="AL59"/>
  <c r="AL60"/>
  <c r="AL61"/>
  <c r="AZ25" i="8"/>
  <c r="G30" i="1"/>
  <c r="W9" i="25"/>
  <c r="W13"/>
  <c r="D12"/>
  <c r="F17" i="1"/>
  <c r="G21" i="8"/>
  <c r="G23" i="1"/>
  <c r="G7" i="8"/>
  <c r="G6"/>
  <c r="AD6" s="1"/>
  <c r="H7"/>
  <c r="H6"/>
  <c r="F21" i="1"/>
  <c r="F42"/>
  <c r="F24"/>
  <c r="G15" i="8"/>
  <c r="AJ15" s="1"/>
  <c r="H15"/>
  <c r="G16"/>
  <c r="H16"/>
  <c r="G17"/>
  <c r="Z17" s="1"/>
  <c r="H17"/>
  <c r="F8" i="1"/>
  <c r="B3" i="25"/>
  <c r="C12"/>
  <c r="AW28" i="8"/>
  <c r="AW31" s="1"/>
  <c r="AZ26" s="1"/>
  <c r="AR25"/>
  <c r="E18" i="1"/>
  <c r="F6"/>
  <c r="F19"/>
  <c r="AZ27" i="23"/>
  <c r="AJ24" i="17"/>
  <c r="R24"/>
  <c r="U24"/>
  <c r="X24"/>
  <c r="AA24"/>
  <c r="AD24"/>
  <c r="AG24"/>
  <c r="O24"/>
  <c r="AZ25" i="23"/>
  <c r="AR25"/>
  <c r="AK62" i="8"/>
  <c r="AJ62"/>
  <c r="AI62"/>
  <c r="AH62"/>
  <c r="AG62"/>
  <c r="AF62"/>
  <c r="AE62"/>
  <c r="AD62"/>
  <c r="AC62"/>
  <c r="AB62"/>
  <c r="AA62"/>
  <c r="Z62"/>
  <c r="U62"/>
  <c r="T62"/>
  <c r="S62"/>
  <c r="R62"/>
  <c r="Q62"/>
  <c r="P62"/>
  <c r="O62"/>
  <c r="N62"/>
  <c r="M62"/>
  <c r="L62"/>
  <c r="K62"/>
  <c r="J62"/>
  <c r="AK61"/>
  <c r="AJ61"/>
  <c r="AI61"/>
  <c r="AH61"/>
  <c r="AG61"/>
  <c r="AF61"/>
  <c r="AE61"/>
  <c r="AD61"/>
  <c r="AC61"/>
  <c r="AB61"/>
  <c r="AA61"/>
  <c r="Z61"/>
  <c r="U61"/>
  <c r="T61"/>
  <c r="S61"/>
  <c r="R61"/>
  <c r="Q61"/>
  <c r="P61"/>
  <c r="O61"/>
  <c r="N61"/>
  <c r="M61"/>
  <c r="L61"/>
  <c r="K61"/>
  <c r="J61"/>
  <c r="AK60"/>
  <c r="AJ60"/>
  <c r="AI60"/>
  <c r="AH60"/>
  <c r="AG60"/>
  <c r="AF60"/>
  <c r="AE60"/>
  <c r="AD60"/>
  <c r="AC60"/>
  <c r="AB60"/>
  <c r="AA60"/>
  <c r="Z60"/>
  <c r="U60"/>
  <c r="T60"/>
  <c r="S60"/>
  <c r="R60"/>
  <c r="Q60"/>
  <c r="P60"/>
  <c r="O60"/>
  <c r="N60"/>
  <c r="M60"/>
  <c r="L60"/>
  <c r="K60"/>
  <c r="J60"/>
  <c r="AK59"/>
  <c r="AJ59"/>
  <c r="AI59"/>
  <c r="AH59"/>
  <c r="AG59"/>
  <c r="AF59"/>
  <c r="AE59"/>
  <c r="AD59"/>
  <c r="AC59"/>
  <c r="AB59"/>
  <c r="AA59"/>
  <c r="Z59"/>
  <c r="U59"/>
  <c r="T59"/>
  <c r="S59"/>
  <c r="R59"/>
  <c r="Q59"/>
  <c r="P59"/>
  <c r="O59"/>
  <c r="N59"/>
  <c r="M59"/>
  <c r="L59"/>
  <c r="K59"/>
  <c r="J59"/>
  <c r="AK58"/>
  <c r="AJ58"/>
  <c r="AI58"/>
  <c r="AH58"/>
  <c r="AG58"/>
  <c r="AF58"/>
  <c r="AE58"/>
  <c r="AD58"/>
  <c r="AC58"/>
  <c r="AB58"/>
  <c r="AA58"/>
  <c r="Z58"/>
  <c r="U58"/>
  <c r="T58"/>
  <c r="S58"/>
  <c r="R58"/>
  <c r="Q58"/>
  <c r="P58"/>
  <c r="O58"/>
  <c r="N58"/>
  <c r="M58"/>
  <c r="L58"/>
  <c r="K58"/>
  <c r="J58"/>
  <c r="AK57"/>
  <c r="AJ57"/>
  <c r="AI57"/>
  <c r="AH57"/>
  <c r="AG57"/>
  <c r="AF57"/>
  <c r="AE57"/>
  <c r="AD57"/>
  <c r="AC57"/>
  <c r="AB57"/>
  <c r="AA57"/>
  <c r="Z57"/>
  <c r="U57"/>
  <c r="T57"/>
  <c r="S57"/>
  <c r="R57"/>
  <c r="Q57"/>
  <c r="P57"/>
  <c r="O57"/>
  <c r="N57"/>
  <c r="M57"/>
  <c r="L57"/>
  <c r="K57"/>
  <c r="J57"/>
  <c r="AK56"/>
  <c r="AJ56"/>
  <c r="AI56"/>
  <c r="AH56"/>
  <c r="AG56"/>
  <c r="AF56"/>
  <c r="AE56"/>
  <c r="AD56"/>
  <c r="AC56"/>
  <c r="AB56"/>
  <c r="AA56"/>
  <c r="Z56"/>
  <c r="U56"/>
  <c r="T56"/>
  <c r="S56"/>
  <c r="R56"/>
  <c r="Q56"/>
  <c r="P56"/>
  <c r="O56"/>
  <c r="N56"/>
  <c r="M56"/>
  <c r="L56"/>
  <c r="K56"/>
  <c r="J56"/>
  <c r="AK55"/>
  <c r="AJ55"/>
  <c r="AI55"/>
  <c r="AH55"/>
  <c r="AG55"/>
  <c r="AF55"/>
  <c r="AE55"/>
  <c r="AD55"/>
  <c r="AC55"/>
  <c r="AB55"/>
  <c r="AA55"/>
  <c r="Z55"/>
  <c r="U55"/>
  <c r="T55"/>
  <c r="S55"/>
  <c r="R55"/>
  <c r="Q55"/>
  <c r="P55"/>
  <c r="O55"/>
  <c r="N55"/>
  <c r="M55"/>
  <c r="L55"/>
  <c r="K55"/>
  <c r="J55"/>
  <c r="AK54"/>
  <c r="AJ54"/>
  <c r="AI54"/>
  <c r="AH54"/>
  <c r="AG54"/>
  <c r="AF54"/>
  <c r="AE54"/>
  <c r="AD54"/>
  <c r="AC54"/>
  <c r="AB54"/>
  <c r="AA54"/>
  <c r="Z54"/>
  <c r="U54"/>
  <c r="T54"/>
  <c r="S54"/>
  <c r="R54"/>
  <c r="Q54"/>
  <c r="P54"/>
  <c r="O54"/>
  <c r="N54"/>
  <c r="M54"/>
  <c r="L54"/>
  <c r="K54"/>
  <c r="J54"/>
  <c r="AK53"/>
  <c r="AJ53"/>
  <c r="AI53"/>
  <c r="AH53"/>
  <c r="AG53"/>
  <c r="AF53"/>
  <c r="AE53"/>
  <c r="AD53"/>
  <c r="AC53"/>
  <c r="AB53"/>
  <c r="AA53"/>
  <c r="Z53"/>
  <c r="U53"/>
  <c r="T53"/>
  <c r="S53"/>
  <c r="R53"/>
  <c r="Q53"/>
  <c r="P53"/>
  <c r="O53"/>
  <c r="N53"/>
  <c r="M53"/>
  <c r="L53"/>
  <c r="K53"/>
  <c r="J53"/>
  <c r="AK52"/>
  <c r="AJ52"/>
  <c r="AI52"/>
  <c r="AH52"/>
  <c r="AG52"/>
  <c r="AF52"/>
  <c r="AE52"/>
  <c r="AD52"/>
  <c r="AC52"/>
  <c r="AB52"/>
  <c r="AA52"/>
  <c r="Z52"/>
  <c r="U52"/>
  <c r="T52"/>
  <c r="S52"/>
  <c r="R52"/>
  <c r="Q52"/>
  <c r="P52"/>
  <c r="O52"/>
  <c r="N52"/>
  <c r="M52"/>
  <c r="L52"/>
  <c r="K52"/>
  <c r="J52"/>
  <c r="AK51"/>
  <c r="AJ51"/>
  <c r="AI51"/>
  <c r="AH51"/>
  <c r="AG51"/>
  <c r="AF51"/>
  <c r="AE51"/>
  <c r="AD51"/>
  <c r="AC51"/>
  <c r="AB51"/>
  <c r="AA51"/>
  <c r="Z51"/>
  <c r="U51"/>
  <c r="T51"/>
  <c r="S51"/>
  <c r="R51"/>
  <c r="Q51"/>
  <c r="P51"/>
  <c r="O51"/>
  <c r="N51"/>
  <c r="M51"/>
  <c r="L51"/>
  <c r="K51"/>
  <c r="J51"/>
  <c r="AK50"/>
  <c r="AJ50"/>
  <c r="AI50"/>
  <c r="AH50"/>
  <c r="AG50"/>
  <c r="AF50"/>
  <c r="AE50"/>
  <c r="AD50"/>
  <c r="AC50"/>
  <c r="AB50"/>
  <c r="AA50"/>
  <c r="Z50"/>
  <c r="U50"/>
  <c r="T50"/>
  <c r="S50"/>
  <c r="R50"/>
  <c r="Q50"/>
  <c r="P50"/>
  <c r="O50"/>
  <c r="N50"/>
  <c r="M50"/>
  <c r="L50"/>
  <c r="K50"/>
  <c r="J50"/>
  <c r="AK49"/>
  <c r="AJ49"/>
  <c r="AI49"/>
  <c r="AH49"/>
  <c r="AG49"/>
  <c r="AF49"/>
  <c r="AE49"/>
  <c r="AD49"/>
  <c r="AC49"/>
  <c r="AB49"/>
  <c r="AA49"/>
  <c r="Z49"/>
  <c r="U49"/>
  <c r="T49"/>
  <c r="S49"/>
  <c r="R49"/>
  <c r="Q49"/>
  <c r="P49"/>
  <c r="O49"/>
  <c r="N49"/>
  <c r="M49"/>
  <c r="L49"/>
  <c r="K49"/>
  <c r="J49"/>
  <c r="AK48"/>
  <c r="AJ48"/>
  <c r="AI48"/>
  <c r="AH48"/>
  <c r="AG48"/>
  <c r="AF48"/>
  <c r="AE48"/>
  <c r="AD48"/>
  <c r="AC48"/>
  <c r="AB48"/>
  <c r="AA48"/>
  <c r="Z48"/>
  <c r="U48"/>
  <c r="T48"/>
  <c r="S48"/>
  <c r="R48"/>
  <c r="Q48"/>
  <c r="P48"/>
  <c r="O48"/>
  <c r="N48"/>
  <c r="M48"/>
  <c r="L48"/>
  <c r="K48"/>
  <c r="J48"/>
  <c r="AK47"/>
  <c r="AJ47"/>
  <c r="AI47"/>
  <c r="AH47"/>
  <c r="AG47"/>
  <c r="AF47"/>
  <c r="AE47"/>
  <c r="AD47"/>
  <c r="AC47"/>
  <c r="AB47"/>
  <c r="AA47"/>
  <c r="Z47"/>
  <c r="U47"/>
  <c r="T47"/>
  <c r="S47"/>
  <c r="R47"/>
  <c r="Q47"/>
  <c r="P47"/>
  <c r="O47"/>
  <c r="N47"/>
  <c r="M47"/>
  <c r="L47"/>
  <c r="K47"/>
  <c r="J47"/>
  <c r="AK46"/>
  <c r="AJ46"/>
  <c r="AI46"/>
  <c r="AH46"/>
  <c r="AG46"/>
  <c r="AF46"/>
  <c r="AE46"/>
  <c r="AD46"/>
  <c r="AC46"/>
  <c r="AB46"/>
  <c r="AA46"/>
  <c r="Z46"/>
  <c r="U46"/>
  <c r="T46"/>
  <c r="S46"/>
  <c r="R46"/>
  <c r="Q46"/>
  <c r="P46"/>
  <c r="O46"/>
  <c r="N46"/>
  <c r="M46"/>
  <c r="L46"/>
  <c r="K46"/>
  <c r="J46"/>
  <c r="AK45"/>
  <c r="AJ45"/>
  <c r="AI45"/>
  <c r="AH45"/>
  <c r="AG45"/>
  <c r="AF45"/>
  <c r="AE45"/>
  <c r="AD45"/>
  <c r="AC45"/>
  <c r="AB45"/>
  <c r="AA45"/>
  <c r="Z45"/>
  <c r="U45"/>
  <c r="T45"/>
  <c r="S45"/>
  <c r="R45"/>
  <c r="Q45"/>
  <c r="P45"/>
  <c r="O45"/>
  <c r="N45"/>
  <c r="M45"/>
  <c r="L45"/>
  <c r="K45"/>
  <c r="J45"/>
  <c r="AK44"/>
  <c r="AJ44"/>
  <c r="AI44"/>
  <c r="AH44"/>
  <c r="AG44"/>
  <c r="AF44"/>
  <c r="AE44"/>
  <c r="AD44"/>
  <c r="AC44"/>
  <c r="AB44"/>
  <c r="AA44"/>
  <c r="Z44"/>
  <c r="U44"/>
  <c r="T44"/>
  <c r="S44"/>
  <c r="R44"/>
  <c r="Q44"/>
  <c r="P44"/>
  <c r="O44"/>
  <c r="N44"/>
  <c r="M44"/>
  <c r="L44"/>
  <c r="K44"/>
  <c r="J44"/>
  <c r="AK43"/>
  <c r="AJ43"/>
  <c r="AI43"/>
  <c r="AH43"/>
  <c r="AG43"/>
  <c r="AF43"/>
  <c r="AE43"/>
  <c r="AD43"/>
  <c r="AC43"/>
  <c r="AB43"/>
  <c r="AA43"/>
  <c r="Z43"/>
  <c r="U43"/>
  <c r="T43"/>
  <c r="S43"/>
  <c r="R43"/>
  <c r="Q43"/>
  <c r="P43"/>
  <c r="O43"/>
  <c r="N43"/>
  <c r="M43"/>
  <c r="L43"/>
  <c r="K43"/>
  <c r="J43"/>
  <c r="AK42"/>
  <c r="AJ42"/>
  <c r="AI42"/>
  <c r="AH42"/>
  <c r="AG42"/>
  <c r="AF42"/>
  <c r="AE42"/>
  <c r="AD42"/>
  <c r="AC42"/>
  <c r="AB42"/>
  <c r="AA42"/>
  <c r="Z42"/>
  <c r="U42"/>
  <c r="T42"/>
  <c r="S42"/>
  <c r="R42"/>
  <c r="Q42"/>
  <c r="P42"/>
  <c r="O42"/>
  <c r="N42"/>
  <c r="M42"/>
  <c r="L42"/>
  <c r="K42"/>
  <c r="J42"/>
  <c r="AK41"/>
  <c r="AJ41"/>
  <c r="AI41"/>
  <c r="AH41"/>
  <c r="AG41"/>
  <c r="AF41"/>
  <c r="AE41"/>
  <c r="AD41"/>
  <c r="AC41"/>
  <c r="AB41"/>
  <c r="AA41"/>
  <c r="Z41"/>
  <c r="U41"/>
  <c r="T41"/>
  <c r="S41"/>
  <c r="R41"/>
  <c r="Q41"/>
  <c r="P41"/>
  <c r="O41"/>
  <c r="N41"/>
  <c r="M41"/>
  <c r="L41"/>
  <c r="K41"/>
  <c r="J41"/>
  <c r="AK40"/>
  <c r="AJ40"/>
  <c r="AI40"/>
  <c r="AH40"/>
  <c r="AG40"/>
  <c r="AF40"/>
  <c r="AE40"/>
  <c r="AD40"/>
  <c r="AC40"/>
  <c r="AB40"/>
  <c r="AA40"/>
  <c r="Z40"/>
  <c r="U40"/>
  <c r="T40"/>
  <c r="S40"/>
  <c r="R40"/>
  <c r="Q40"/>
  <c r="P40"/>
  <c r="O40"/>
  <c r="N40"/>
  <c r="M40"/>
  <c r="L40"/>
  <c r="K40"/>
  <c r="J40"/>
  <c r="AK39"/>
  <c r="AJ39"/>
  <c r="AI39"/>
  <c r="AH39"/>
  <c r="AG39"/>
  <c r="AF39"/>
  <c r="AE39"/>
  <c r="AD39"/>
  <c r="AC39"/>
  <c r="AB39"/>
  <c r="AA39"/>
  <c r="Z39"/>
  <c r="U39"/>
  <c r="T39"/>
  <c r="S39"/>
  <c r="R39"/>
  <c r="Q39"/>
  <c r="P39"/>
  <c r="O39"/>
  <c r="N39"/>
  <c r="M39"/>
  <c r="L39"/>
  <c r="K39"/>
  <c r="J39"/>
  <c r="AK38"/>
  <c r="AJ38"/>
  <c r="AI38"/>
  <c r="AH38"/>
  <c r="AG38"/>
  <c r="AF38"/>
  <c r="AE38"/>
  <c r="AD38"/>
  <c r="AC38"/>
  <c r="AB38"/>
  <c r="AA38"/>
  <c r="Z38"/>
  <c r="U38"/>
  <c r="T38"/>
  <c r="S38"/>
  <c r="R38"/>
  <c r="Q38"/>
  <c r="P38"/>
  <c r="O38"/>
  <c r="N38"/>
  <c r="M38"/>
  <c r="L38"/>
  <c r="K38"/>
  <c r="J38"/>
  <c r="AK37"/>
  <c r="AJ37"/>
  <c r="AI37"/>
  <c r="AH37"/>
  <c r="AG37"/>
  <c r="AF37"/>
  <c r="AE37"/>
  <c r="AD37"/>
  <c r="AC37"/>
  <c r="AB37"/>
  <c r="AA37"/>
  <c r="Z37"/>
  <c r="U37"/>
  <c r="T37"/>
  <c r="S37"/>
  <c r="R37"/>
  <c r="Q37"/>
  <c r="P37"/>
  <c r="O37"/>
  <c r="N37"/>
  <c r="M37"/>
  <c r="L37"/>
  <c r="K37"/>
  <c r="J37"/>
  <c r="AK36"/>
  <c r="AJ36"/>
  <c r="AI36"/>
  <c r="AH36"/>
  <c r="AG36"/>
  <c r="AF36"/>
  <c r="AE36"/>
  <c r="AD36"/>
  <c r="AC36"/>
  <c r="AB36"/>
  <c r="AA36"/>
  <c r="Z36"/>
  <c r="U36"/>
  <c r="T36"/>
  <c r="S36"/>
  <c r="R36"/>
  <c r="Q36"/>
  <c r="P36"/>
  <c r="O36"/>
  <c r="N36"/>
  <c r="M36"/>
  <c r="L36"/>
  <c r="K36"/>
  <c r="J36"/>
  <c r="AK35"/>
  <c r="AJ35"/>
  <c r="AI35"/>
  <c r="AH35"/>
  <c r="AG35"/>
  <c r="AF35"/>
  <c r="AE35"/>
  <c r="AD35"/>
  <c r="AC35"/>
  <c r="AB35"/>
  <c r="AA35"/>
  <c r="Z35"/>
  <c r="U35"/>
  <c r="T35"/>
  <c r="S35"/>
  <c r="R35"/>
  <c r="Q35"/>
  <c r="P35"/>
  <c r="O35"/>
  <c r="N35"/>
  <c r="M35"/>
  <c r="L35"/>
  <c r="K35"/>
  <c r="J35"/>
  <c r="AK34"/>
  <c r="AJ34"/>
  <c r="AI34"/>
  <c r="AH34"/>
  <c r="AG34"/>
  <c r="AF34"/>
  <c r="AE34"/>
  <c r="AD34"/>
  <c r="AC34"/>
  <c r="AB34"/>
  <c r="AA34"/>
  <c r="Z34"/>
  <c r="U34"/>
  <c r="T34"/>
  <c r="S34"/>
  <c r="R34"/>
  <c r="Q34"/>
  <c r="P34"/>
  <c r="O34"/>
  <c r="N34"/>
  <c r="M34"/>
  <c r="L34"/>
  <c r="K34"/>
  <c r="J34"/>
  <c r="AK33"/>
  <c r="AJ33"/>
  <c r="AI33"/>
  <c r="AH33"/>
  <c r="AG33"/>
  <c r="AF33"/>
  <c r="AE33"/>
  <c r="AD33"/>
  <c r="AC33"/>
  <c r="AB33"/>
  <c r="AA33"/>
  <c r="Z33"/>
  <c r="U33"/>
  <c r="T33"/>
  <c r="S33"/>
  <c r="R33"/>
  <c r="Q33"/>
  <c r="P33"/>
  <c r="O33"/>
  <c r="N33"/>
  <c r="M33"/>
  <c r="L33"/>
  <c r="K33"/>
  <c r="J33"/>
  <c r="AK32"/>
  <c r="AJ32"/>
  <c r="AI32"/>
  <c r="AH32"/>
  <c r="AG32"/>
  <c r="AF32"/>
  <c r="AE32"/>
  <c r="AD32"/>
  <c r="AC32"/>
  <c r="AB32"/>
  <c r="AA32"/>
  <c r="Z32"/>
  <c r="U32"/>
  <c r="T32"/>
  <c r="S32"/>
  <c r="R32"/>
  <c r="Q32"/>
  <c r="P32"/>
  <c r="O32"/>
  <c r="N32"/>
  <c r="M32"/>
  <c r="L32"/>
  <c r="K32"/>
  <c r="J32"/>
  <c r="AK31"/>
  <c r="AJ31"/>
  <c r="AI31"/>
  <c r="AH31"/>
  <c r="AG31"/>
  <c r="AF31"/>
  <c r="AE31"/>
  <c r="AD31"/>
  <c r="AC31"/>
  <c r="AB31"/>
  <c r="AA31"/>
  <c r="Z31"/>
  <c r="U31"/>
  <c r="T31"/>
  <c r="S31"/>
  <c r="R31"/>
  <c r="Q31"/>
  <c r="P31"/>
  <c r="O31"/>
  <c r="N31"/>
  <c r="M31"/>
  <c r="L31"/>
  <c r="K31"/>
  <c r="J31"/>
  <c r="AK30"/>
  <c r="AJ30"/>
  <c r="AI30"/>
  <c r="AH30"/>
  <c r="AG30"/>
  <c r="AF30"/>
  <c r="AE30"/>
  <c r="AD30"/>
  <c r="AC30"/>
  <c r="AB30"/>
  <c r="AA30"/>
  <c r="Z30"/>
  <c r="U30"/>
  <c r="T30"/>
  <c r="S30"/>
  <c r="R30"/>
  <c r="Q30"/>
  <c r="P30"/>
  <c r="O30"/>
  <c r="N30"/>
  <c r="M30"/>
  <c r="L30"/>
  <c r="K30"/>
  <c r="J30"/>
  <c r="AK29"/>
  <c r="AJ29"/>
  <c r="AI29"/>
  <c r="AH29"/>
  <c r="AG29"/>
  <c r="AF29"/>
  <c r="AE29"/>
  <c r="AD29"/>
  <c r="AC29"/>
  <c r="AB29"/>
  <c r="AA29"/>
  <c r="Z29"/>
  <c r="U29"/>
  <c r="T29"/>
  <c r="S29"/>
  <c r="R29"/>
  <c r="Q29"/>
  <c r="P29"/>
  <c r="O29"/>
  <c r="N29"/>
  <c r="M29"/>
  <c r="L29"/>
  <c r="K29"/>
  <c r="J29"/>
  <c r="AK28"/>
  <c r="AJ28"/>
  <c r="AI28"/>
  <c r="AH28"/>
  <c r="AG28"/>
  <c r="AF28"/>
  <c r="AE28"/>
  <c r="AD28"/>
  <c r="AC28"/>
  <c r="AB28"/>
  <c r="AA28"/>
  <c r="Z28"/>
  <c r="U28"/>
  <c r="T28"/>
  <c r="S28"/>
  <c r="R28"/>
  <c r="Q28"/>
  <c r="P28"/>
  <c r="O28"/>
  <c r="N28"/>
  <c r="M28"/>
  <c r="L28"/>
  <c r="K28"/>
  <c r="J28"/>
  <c r="AK27"/>
  <c r="AJ27"/>
  <c r="AI27"/>
  <c r="AH27"/>
  <c r="AG27"/>
  <c r="AF27"/>
  <c r="AE27"/>
  <c r="AD27"/>
  <c r="AC27"/>
  <c r="AB27"/>
  <c r="AA27"/>
  <c r="Z27"/>
  <c r="U27"/>
  <c r="T27"/>
  <c r="S27"/>
  <c r="R27"/>
  <c r="Q27"/>
  <c r="P27"/>
  <c r="O27"/>
  <c r="N27"/>
  <c r="M27"/>
  <c r="L27"/>
  <c r="K27"/>
  <c r="J27"/>
  <c r="AK26"/>
  <c r="AJ26"/>
  <c r="AI26"/>
  <c r="AH26"/>
  <c r="AG26"/>
  <c r="AF26"/>
  <c r="AE26"/>
  <c r="AD26"/>
  <c r="AC26"/>
  <c r="AB26"/>
  <c r="AA26"/>
  <c r="Z26"/>
  <c r="U26"/>
  <c r="T26"/>
  <c r="S26"/>
  <c r="R26"/>
  <c r="Q26"/>
  <c r="P26"/>
  <c r="O26"/>
  <c r="N26"/>
  <c r="M26"/>
  <c r="L26"/>
  <c r="K26"/>
  <c r="J26"/>
  <c r="AK25"/>
  <c r="AJ25"/>
  <c r="AI25"/>
  <c r="AH25"/>
  <c r="AG25"/>
  <c r="AF25"/>
  <c r="AE25"/>
  <c r="AD25"/>
  <c r="AC25"/>
  <c r="AB25"/>
  <c r="AA25"/>
  <c r="Z25"/>
  <c r="U25"/>
  <c r="T25"/>
  <c r="S25"/>
  <c r="R25"/>
  <c r="Q25"/>
  <c r="P25"/>
  <c r="O25"/>
  <c r="N25"/>
  <c r="M25"/>
  <c r="L25"/>
  <c r="K25"/>
  <c r="J25"/>
  <c r="AK24"/>
  <c r="AJ24"/>
  <c r="AI24"/>
  <c r="AH24"/>
  <c r="AG24"/>
  <c r="AF24"/>
  <c r="AE24"/>
  <c r="AD24"/>
  <c r="AC24"/>
  <c r="AB24"/>
  <c r="AA24"/>
  <c r="Z24"/>
  <c r="U24"/>
  <c r="T24"/>
  <c r="S24"/>
  <c r="R24"/>
  <c r="Q24"/>
  <c r="P24"/>
  <c r="O24"/>
  <c r="N24"/>
  <c r="M24"/>
  <c r="L24"/>
  <c r="K24"/>
  <c r="J24"/>
  <c r="AK23"/>
  <c r="AJ23"/>
  <c r="AI23"/>
  <c r="AH23"/>
  <c r="AG23"/>
  <c r="AF23"/>
  <c r="AE23"/>
  <c r="AC23"/>
  <c r="AB23"/>
  <c r="AA23"/>
  <c r="Z23"/>
  <c r="U23"/>
  <c r="T23"/>
  <c r="S23"/>
  <c r="R23"/>
  <c r="Q23"/>
  <c r="P23"/>
  <c r="O23"/>
  <c r="M23"/>
  <c r="L23"/>
  <c r="K23"/>
  <c r="J23"/>
  <c r="N23"/>
  <c r="AD23"/>
  <c r="AK22"/>
  <c r="AJ22"/>
  <c r="AI22"/>
  <c r="AG22"/>
  <c r="AF22"/>
  <c r="AE22"/>
  <c r="AD22"/>
  <c r="AB22"/>
  <c r="AA22"/>
  <c r="Z22"/>
  <c r="U22"/>
  <c r="T22"/>
  <c r="S22"/>
  <c r="Q22"/>
  <c r="P22"/>
  <c r="O22"/>
  <c r="N22"/>
  <c r="L22"/>
  <c r="K22"/>
  <c r="J22"/>
  <c r="H22"/>
  <c r="M22" s="1"/>
  <c r="G22"/>
  <c r="AC22" s="1"/>
  <c r="AK21"/>
  <c r="AJ21"/>
  <c r="AI21"/>
  <c r="AH21"/>
  <c r="AG21"/>
  <c r="AF21"/>
  <c r="AC21"/>
  <c r="AB21"/>
  <c r="AA21"/>
  <c r="Z21"/>
  <c r="U21"/>
  <c r="T21"/>
  <c r="S21"/>
  <c r="R21"/>
  <c r="Q21"/>
  <c r="P21"/>
  <c r="M21"/>
  <c r="L21"/>
  <c r="K21"/>
  <c r="J21"/>
  <c r="O21"/>
  <c r="AE21"/>
  <c r="AK20"/>
  <c r="AJ20"/>
  <c r="AI20"/>
  <c r="AG20"/>
  <c r="AF20"/>
  <c r="AE20"/>
  <c r="AD20"/>
  <c r="AC20"/>
  <c r="AB20"/>
  <c r="Z20"/>
  <c r="U20"/>
  <c r="T20"/>
  <c r="S20"/>
  <c r="Q20"/>
  <c r="P20"/>
  <c r="O20"/>
  <c r="N20"/>
  <c r="M20"/>
  <c r="L20"/>
  <c r="J20"/>
  <c r="H20"/>
  <c r="R20" s="1"/>
  <c r="G20"/>
  <c r="AH20" s="1"/>
  <c r="AK19"/>
  <c r="AJ19"/>
  <c r="AI19"/>
  <c r="AG19"/>
  <c r="AF19"/>
  <c r="AE19"/>
  <c r="AD19"/>
  <c r="AC19"/>
  <c r="AB19"/>
  <c r="AA19"/>
  <c r="Z19"/>
  <c r="U19"/>
  <c r="T19"/>
  <c r="S19"/>
  <c r="Q19"/>
  <c r="P19"/>
  <c r="O19"/>
  <c r="N19"/>
  <c r="M19"/>
  <c r="L19"/>
  <c r="K19"/>
  <c r="J19"/>
  <c r="H19"/>
  <c r="R19" s="1"/>
  <c r="G19"/>
  <c r="AH19" s="1"/>
  <c r="AK18"/>
  <c r="AJ18"/>
  <c r="AI18"/>
  <c r="AG18"/>
  <c r="AF18"/>
  <c r="AE18"/>
  <c r="AD18"/>
  <c r="AC18"/>
  <c r="AB18"/>
  <c r="AA18"/>
  <c r="Z18"/>
  <c r="U18"/>
  <c r="T18"/>
  <c r="S18"/>
  <c r="Q18"/>
  <c r="P18"/>
  <c r="O18"/>
  <c r="N18"/>
  <c r="M18"/>
  <c r="L18"/>
  <c r="K18"/>
  <c r="J18"/>
  <c r="H18"/>
  <c r="R18" s="1"/>
  <c r="G18"/>
  <c r="AH18" s="1"/>
  <c r="AK17"/>
  <c r="AJ17"/>
  <c r="AI17"/>
  <c r="AH17"/>
  <c r="AG17"/>
  <c r="AF17"/>
  <c r="AE17"/>
  <c r="AD17"/>
  <c r="AC17"/>
  <c r="AB17"/>
  <c r="AA17"/>
  <c r="U17"/>
  <c r="S17"/>
  <c r="R17"/>
  <c r="Q17"/>
  <c r="P17"/>
  <c r="O17"/>
  <c r="N17"/>
  <c r="M17"/>
  <c r="L17"/>
  <c r="K17"/>
  <c r="T17"/>
  <c r="AK16"/>
  <c r="AJ16"/>
  <c r="AI16"/>
  <c r="AH16"/>
  <c r="AG16"/>
  <c r="AF16"/>
  <c r="AE16"/>
  <c r="AD16"/>
  <c r="AB16"/>
  <c r="AA16"/>
  <c r="Z16"/>
  <c r="U16"/>
  <c r="T16"/>
  <c r="S16"/>
  <c r="R16"/>
  <c r="Q16"/>
  <c r="P16"/>
  <c r="O16"/>
  <c r="L16"/>
  <c r="K16"/>
  <c r="J16"/>
  <c r="N16"/>
  <c r="AC16"/>
  <c r="AK15"/>
  <c r="AI15"/>
  <c r="AH15"/>
  <c r="AG15"/>
  <c r="AF15"/>
  <c r="AE15"/>
  <c r="AC15"/>
  <c r="AB15"/>
  <c r="AA15"/>
  <c r="Z15"/>
  <c r="U15"/>
  <c r="S15"/>
  <c r="R15"/>
  <c r="Q15"/>
  <c r="P15"/>
  <c r="O15"/>
  <c r="M15"/>
  <c r="L15"/>
  <c r="K15"/>
  <c r="J15"/>
  <c r="N15"/>
  <c r="AD15"/>
  <c r="AK14"/>
  <c r="AJ14"/>
  <c r="AI14"/>
  <c r="AG14"/>
  <c r="AF14"/>
  <c r="AE14"/>
  <c r="AD14"/>
  <c r="AC14"/>
  <c r="AA14"/>
  <c r="Z14"/>
  <c r="U14"/>
  <c r="T14"/>
  <c r="S14"/>
  <c r="Q14"/>
  <c r="P14"/>
  <c r="O14"/>
  <c r="N14"/>
  <c r="M14"/>
  <c r="L14"/>
  <c r="K14"/>
  <c r="J14"/>
  <c r="H14"/>
  <c r="R14" s="1"/>
  <c r="G14"/>
  <c r="AB14" s="1"/>
  <c r="AK13"/>
  <c r="AJ13"/>
  <c r="AI13"/>
  <c r="AH13"/>
  <c r="AG13"/>
  <c r="AF13"/>
  <c r="AE13"/>
  <c r="AD13"/>
  <c r="AC13"/>
  <c r="AB13"/>
  <c r="AA13"/>
  <c r="Z13"/>
  <c r="U13"/>
  <c r="T13"/>
  <c r="S13"/>
  <c r="R13"/>
  <c r="Q13"/>
  <c r="P13"/>
  <c r="O13"/>
  <c r="N13"/>
  <c r="M13"/>
  <c r="K13"/>
  <c r="J13"/>
  <c r="H13"/>
  <c r="L13" s="1"/>
  <c r="G13"/>
  <c r="AK12"/>
  <c r="AJ12"/>
  <c r="AI12"/>
  <c r="AH12"/>
  <c r="AG12"/>
  <c r="AF12"/>
  <c r="AE12"/>
  <c r="AD12"/>
  <c r="AC12"/>
  <c r="AA12"/>
  <c r="Z12"/>
  <c r="U12"/>
  <c r="S12"/>
  <c r="R12"/>
  <c r="Q12"/>
  <c r="P12"/>
  <c r="O12"/>
  <c r="N12"/>
  <c r="M12"/>
  <c r="K12"/>
  <c r="J12"/>
  <c r="H12"/>
  <c r="L12" s="1"/>
  <c r="G12"/>
  <c r="AB12" s="1"/>
  <c r="AK11"/>
  <c r="AJ11"/>
  <c r="AI11"/>
  <c r="AH11"/>
  <c r="AG11"/>
  <c r="AF11"/>
  <c r="AE11"/>
  <c r="AD11"/>
  <c r="AC11"/>
  <c r="AA11"/>
  <c r="Z11"/>
  <c r="U11"/>
  <c r="T11"/>
  <c r="S11"/>
  <c r="R11"/>
  <c r="Q11"/>
  <c r="P11"/>
  <c r="O11"/>
  <c r="N11"/>
  <c r="M11"/>
  <c r="K11"/>
  <c r="J11"/>
  <c r="H11"/>
  <c r="L11" s="1"/>
  <c r="G11"/>
  <c r="AB11" s="1"/>
  <c r="AK10"/>
  <c r="AJ10"/>
  <c r="AI10"/>
  <c r="AH10"/>
  <c r="AG10"/>
  <c r="AF10"/>
  <c r="AE10"/>
  <c r="AD10"/>
  <c r="AC10"/>
  <c r="AA10"/>
  <c r="Z10"/>
  <c r="U10"/>
  <c r="T10"/>
  <c r="S10"/>
  <c r="R10"/>
  <c r="Q10"/>
  <c r="P10"/>
  <c r="O10"/>
  <c r="N10"/>
  <c r="M10"/>
  <c r="L10"/>
  <c r="K10"/>
  <c r="J10"/>
  <c r="H10"/>
  <c r="G10"/>
  <c r="AB10" s="1"/>
  <c r="AK9"/>
  <c r="AJ9"/>
  <c r="AI9"/>
  <c r="AH9"/>
  <c r="AG9"/>
  <c r="AF9"/>
  <c r="AE9"/>
  <c r="AD9"/>
  <c r="AC9"/>
  <c r="AA9"/>
  <c r="Z9"/>
  <c r="U9"/>
  <c r="T9"/>
  <c r="S9"/>
  <c r="R9"/>
  <c r="Q9"/>
  <c r="P9"/>
  <c r="O9"/>
  <c r="N9"/>
  <c r="M9"/>
  <c r="K9"/>
  <c r="J9"/>
  <c r="H9"/>
  <c r="L9" s="1"/>
  <c r="G9"/>
  <c r="AB9" s="1"/>
  <c r="AK8"/>
  <c r="AJ8"/>
  <c r="AI8"/>
  <c r="AH8"/>
  <c r="AG8"/>
  <c r="AE8"/>
  <c r="AD8"/>
  <c r="AC8"/>
  <c r="AA8"/>
  <c r="Z8"/>
  <c r="U8"/>
  <c r="T8"/>
  <c r="S8"/>
  <c r="R8"/>
  <c r="Q8"/>
  <c r="O8"/>
  <c r="N8"/>
  <c r="M8"/>
  <c r="K8"/>
  <c r="J8"/>
  <c r="H8"/>
  <c r="P8" s="1"/>
  <c r="G8"/>
  <c r="AF8" s="1"/>
  <c r="AK7"/>
  <c r="AJ7"/>
  <c r="AI7"/>
  <c r="AG7"/>
  <c r="AF7"/>
  <c r="AE7"/>
  <c r="AD7"/>
  <c r="AC7"/>
  <c r="AB7"/>
  <c r="AA7"/>
  <c r="Z7"/>
  <c r="U7"/>
  <c r="T7"/>
  <c r="S7"/>
  <c r="Q7"/>
  <c r="P7"/>
  <c r="O7"/>
  <c r="M7"/>
  <c r="L7"/>
  <c r="K7"/>
  <c r="J7"/>
  <c r="R7"/>
  <c r="AH7"/>
  <c r="AK6"/>
  <c r="AJ6"/>
  <c r="AI6"/>
  <c r="AG6"/>
  <c r="AF6"/>
  <c r="AE6"/>
  <c r="AC6"/>
  <c r="AB6"/>
  <c r="AA6"/>
  <c r="Z6"/>
  <c r="U6"/>
  <c r="T6"/>
  <c r="S6"/>
  <c r="Q6"/>
  <c r="P6"/>
  <c r="O6"/>
  <c r="M6"/>
  <c r="L6"/>
  <c r="K6"/>
  <c r="J6"/>
  <c r="R6"/>
  <c r="AH6"/>
  <c r="AK5"/>
  <c r="AJ5"/>
  <c r="AI5"/>
  <c r="AG5"/>
  <c r="AF5"/>
  <c r="AE5"/>
  <c r="AD5"/>
  <c r="AC5"/>
  <c r="AB5"/>
  <c r="AA5"/>
  <c r="Z5"/>
  <c r="U5"/>
  <c r="T5"/>
  <c r="S5"/>
  <c r="Q5"/>
  <c r="P5"/>
  <c r="O5"/>
  <c r="N5"/>
  <c r="M5"/>
  <c r="L5"/>
  <c r="K5"/>
  <c r="J5"/>
  <c r="H5"/>
  <c r="R5" s="1"/>
  <c r="G5"/>
  <c r="AH5" s="1"/>
  <c r="AK4"/>
  <c r="AJ4"/>
  <c r="AI4"/>
  <c r="AG4"/>
  <c r="AF4"/>
  <c r="AE4"/>
  <c r="AD4"/>
  <c r="AC4"/>
  <c r="AB4"/>
  <c r="AA4"/>
  <c r="Z4"/>
  <c r="V4"/>
  <c r="U4"/>
  <c r="T4"/>
  <c r="S4"/>
  <c r="Q4"/>
  <c r="P4"/>
  <c r="O4"/>
  <c r="N4"/>
  <c r="M4"/>
  <c r="L4"/>
  <c r="K4"/>
  <c r="J4"/>
  <c r="H4"/>
  <c r="R4" s="1"/>
  <c r="G4"/>
  <c r="AK3"/>
  <c r="AJ3"/>
  <c r="AI3"/>
  <c r="AF3"/>
  <c r="AE3"/>
  <c r="AD3"/>
  <c r="AC3"/>
  <c r="AB3"/>
  <c r="AA3"/>
  <c r="Z3"/>
  <c r="U3"/>
  <c r="T3"/>
  <c r="S3"/>
  <c r="P3"/>
  <c r="O3"/>
  <c r="N3"/>
  <c r="M3"/>
  <c r="L3"/>
  <c r="K3"/>
  <c r="J3"/>
  <c r="H3"/>
  <c r="G3"/>
  <c r="AN2"/>
  <c r="AN29" s="1"/>
  <c r="AM2"/>
  <c r="AM31" s="1"/>
  <c r="AL2"/>
  <c r="AL62" s="1"/>
  <c r="X2"/>
  <c r="X25" s="1"/>
  <c r="W2"/>
  <c r="W29" s="1"/>
  <c r="V2"/>
  <c r="V31" s="1"/>
  <c r="BD23" i="18"/>
  <c r="AZ23"/>
  <c r="AV23"/>
  <c r="AR23"/>
  <c r="AN23"/>
  <c r="AJ23"/>
  <c r="AF23"/>
  <c r="AB23"/>
  <c r="X23"/>
  <c r="E21" i="1"/>
  <c r="AP41" i="22"/>
  <c r="AL41"/>
  <c r="AH41"/>
  <c r="AD41"/>
  <c r="Z41"/>
  <c r="V41"/>
  <c r="R41"/>
  <c r="N41"/>
  <c r="J41"/>
  <c r="F41"/>
  <c r="E23" i="1"/>
  <c r="E30"/>
  <c r="E17"/>
  <c r="E24"/>
  <c r="E22"/>
  <c r="E42"/>
  <c r="E38"/>
  <c r="E10"/>
  <c r="P15" i="24"/>
  <c r="L10"/>
  <c r="O10"/>
  <c r="Q10" s="1"/>
  <c r="R10" s="1"/>
  <c r="L11"/>
  <c r="O11"/>
  <c r="Q11" s="1"/>
  <c r="R11" s="1"/>
  <c r="L12"/>
  <c r="O12"/>
  <c r="Q12" s="1"/>
  <c r="R12" s="1"/>
  <c r="L13"/>
  <c r="O13"/>
  <c r="Q13" s="1"/>
  <c r="L14"/>
  <c r="O14"/>
  <c r="Q14" s="1"/>
  <c r="R14" s="1"/>
  <c r="L9"/>
  <c r="O9"/>
  <c r="Q9" s="1"/>
  <c r="O7"/>
  <c r="Q7" s="1"/>
  <c r="R7" s="1"/>
  <c r="L8"/>
  <c r="O8"/>
  <c r="Q8" s="1"/>
  <c r="R8" s="1"/>
  <c r="O6"/>
  <c r="Q6" s="1"/>
  <c r="H7" i="17"/>
  <c r="O5" i="24"/>
  <c r="L5" s="1"/>
  <c r="H16" i="23"/>
  <c r="H15"/>
  <c r="N15" s="1"/>
  <c r="G16"/>
  <c r="G15"/>
  <c r="AD15" s="1"/>
  <c r="G12"/>
  <c r="AB12" s="1"/>
  <c r="H12"/>
  <c r="G13"/>
  <c r="AB13" s="1"/>
  <c r="H13"/>
  <c r="G14"/>
  <c r="AB14" s="1"/>
  <c r="H14"/>
  <c r="G17"/>
  <c r="H17"/>
  <c r="G18"/>
  <c r="H18"/>
  <c r="G13" i="6"/>
  <c r="H13"/>
  <c r="G14"/>
  <c r="H14"/>
  <c r="G15"/>
  <c r="H15"/>
  <c r="G16"/>
  <c r="H16"/>
  <c r="AK34" i="23"/>
  <c r="AJ34"/>
  <c r="AI34"/>
  <c r="AH34"/>
  <c r="AG34"/>
  <c r="AF34"/>
  <c r="AE34"/>
  <c r="AD34"/>
  <c r="AC34"/>
  <c r="AB34"/>
  <c r="AA34"/>
  <c r="Z34"/>
  <c r="U34"/>
  <c r="T34"/>
  <c r="S34"/>
  <c r="R34"/>
  <c r="Q34"/>
  <c r="P34"/>
  <c r="O34"/>
  <c r="N34"/>
  <c r="M34"/>
  <c r="L34"/>
  <c r="K34"/>
  <c r="J34"/>
  <c r="AK33"/>
  <c r="AJ33"/>
  <c r="AI33"/>
  <c r="AH33"/>
  <c r="AG33"/>
  <c r="AF33"/>
  <c r="AE33"/>
  <c r="AD33"/>
  <c r="AC33"/>
  <c r="AB33"/>
  <c r="AA33"/>
  <c r="Z33"/>
  <c r="U33"/>
  <c r="T33"/>
  <c r="S33"/>
  <c r="R33"/>
  <c r="Q33"/>
  <c r="P33"/>
  <c r="O33"/>
  <c r="N33"/>
  <c r="M33"/>
  <c r="L33"/>
  <c r="K33"/>
  <c r="J33"/>
  <c r="AK32"/>
  <c r="AJ32"/>
  <c r="AI32"/>
  <c r="AH32"/>
  <c r="AG32"/>
  <c r="AF32"/>
  <c r="AE32"/>
  <c r="AD32"/>
  <c r="AC32"/>
  <c r="AB32"/>
  <c r="AA32"/>
  <c r="Z32"/>
  <c r="U32"/>
  <c r="T32"/>
  <c r="S32"/>
  <c r="R32"/>
  <c r="Q32"/>
  <c r="P32"/>
  <c r="O32"/>
  <c r="N32"/>
  <c r="M32"/>
  <c r="L32"/>
  <c r="K32"/>
  <c r="J32"/>
  <c r="AK31"/>
  <c r="AJ31"/>
  <c r="AI31"/>
  <c r="AH31"/>
  <c r="AG31"/>
  <c r="AF31"/>
  <c r="AE31"/>
  <c r="AD31"/>
  <c r="AC31"/>
  <c r="AB31"/>
  <c r="AA31"/>
  <c r="Z31"/>
  <c r="U31"/>
  <c r="T31"/>
  <c r="S31"/>
  <c r="R31"/>
  <c r="Q31"/>
  <c r="P31"/>
  <c r="O31"/>
  <c r="N31"/>
  <c r="M31"/>
  <c r="L31"/>
  <c r="K31"/>
  <c r="J31"/>
  <c r="AK30"/>
  <c r="AJ30"/>
  <c r="AI30"/>
  <c r="AH30"/>
  <c r="AG30"/>
  <c r="AF30"/>
  <c r="AE30"/>
  <c r="AD30"/>
  <c r="AC30"/>
  <c r="AB30"/>
  <c r="AA30"/>
  <c r="Z30"/>
  <c r="U30"/>
  <c r="T30"/>
  <c r="S30"/>
  <c r="R30"/>
  <c r="Q30"/>
  <c r="P30"/>
  <c r="O30"/>
  <c r="N30"/>
  <c r="M30"/>
  <c r="L30"/>
  <c r="K30"/>
  <c r="J30"/>
  <c r="AK29"/>
  <c r="AJ29"/>
  <c r="AI29"/>
  <c r="AH29"/>
  <c r="AG29"/>
  <c r="AF29"/>
  <c r="AE29"/>
  <c r="AD29"/>
  <c r="AC29"/>
  <c r="AB29"/>
  <c r="AA29"/>
  <c r="Z29"/>
  <c r="U29"/>
  <c r="T29"/>
  <c r="S29"/>
  <c r="R29"/>
  <c r="Q29"/>
  <c r="P29"/>
  <c r="O29"/>
  <c r="N29"/>
  <c r="M29"/>
  <c r="L29"/>
  <c r="K29"/>
  <c r="J29"/>
  <c r="AW28"/>
  <c r="AW31" s="1"/>
  <c r="AZ26" s="1"/>
  <c r="AK28"/>
  <c r="AJ28"/>
  <c r="AI28"/>
  <c r="AH28"/>
  <c r="AG28"/>
  <c r="AF28"/>
  <c r="AE28"/>
  <c r="AD28"/>
  <c r="AC28"/>
  <c r="AB28"/>
  <c r="AA28"/>
  <c r="Z28"/>
  <c r="U28"/>
  <c r="T28"/>
  <c r="S28"/>
  <c r="R28"/>
  <c r="Q28"/>
  <c r="P28"/>
  <c r="O28"/>
  <c r="N28"/>
  <c r="M28"/>
  <c r="L28"/>
  <c r="K28"/>
  <c r="J28"/>
  <c r="AK27"/>
  <c r="AJ27"/>
  <c r="AI27"/>
  <c r="AH27"/>
  <c r="AG27"/>
  <c r="AF27"/>
  <c r="AE27"/>
  <c r="AD27"/>
  <c r="AC27"/>
  <c r="AB27"/>
  <c r="AA27"/>
  <c r="Z27"/>
  <c r="U27"/>
  <c r="T27"/>
  <c r="S27"/>
  <c r="R27"/>
  <c r="Q27"/>
  <c r="P27"/>
  <c r="O27"/>
  <c r="N27"/>
  <c r="M27"/>
  <c r="L27"/>
  <c r="K27"/>
  <c r="J27"/>
  <c r="AK26"/>
  <c r="AJ26"/>
  <c r="AI26"/>
  <c r="AH26"/>
  <c r="AG26"/>
  <c r="AF26"/>
  <c r="AE26"/>
  <c r="AD26"/>
  <c r="AC26"/>
  <c r="AB26"/>
  <c r="AA26"/>
  <c r="Z26"/>
  <c r="U26"/>
  <c r="T26"/>
  <c r="S26"/>
  <c r="R26"/>
  <c r="Q26"/>
  <c r="P26"/>
  <c r="O26"/>
  <c r="N26"/>
  <c r="M26"/>
  <c r="L26"/>
  <c r="K26"/>
  <c r="J26"/>
  <c r="AK25"/>
  <c r="AJ25"/>
  <c r="AI25"/>
  <c r="AH25"/>
  <c r="AG25"/>
  <c r="AF25"/>
  <c r="AE25"/>
  <c r="AD25"/>
  <c r="AC25"/>
  <c r="AB25"/>
  <c r="AA25"/>
  <c r="Z25"/>
  <c r="U25"/>
  <c r="T25"/>
  <c r="S25"/>
  <c r="R25"/>
  <c r="Q25"/>
  <c r="P25"/>
  <c r="O25"/>
  <c r="N25"/>
  <c r="M25"/>
  <c r="L25"/>
  <c r="K25"/>
  <c r="J25"/>
  <c r="AK24"/>
  <c r="AJ24"/>
  <c r="AI24"/>
  <c r="AH24"/>
  <c r="AG24"/>
  <c r="AF24"/>
  <c r="AE24"/>
  <c r="AD24"/>
  <c r="AC24"/>
  <c r="AB24"/>
  <c r="AA24"/>
  <c r="Z24"/>
  <c r="U24"/>
  <c r="T24"/>
  <c r="S24"/>
  <c r="R24"/>
  <c r="Q24"/>
  <c r="P24"/>
  <c r="O24"/>
  <c r="N24"/>
  <c r="M24"/>
  <c r="L24"/>
  <c r="K24"/>
  <c r="J24"/>
  <c r="AK23"/>
  <c r="AJ23"/>
  <c r="AI23"/>
  <c r="AH23"/>
  <c r="AG23"/>
  <c r="AF23"/>
  <c r="AE23"/>
  <c r="AC23"/>
  <c r="AB23"/>
  <c r="AA23"/>
  <c r="Z23"/>
  <c r="U23"/>
  <c r="T23"/>
  <c r="S23"/>
  <c r="R23"/>
  <c r="Q23"/>
  <c r="P23"/>
  <c r="O23"/>
  <c r="M23"/>
  <c r="L23"/>
  <c r="K23"/>
  <c r="J23"/>
  <c r="H23"/>
  <c r="N23" s="1"/>
  <c r="G23"/>
  <c r="AD23" s="1"/>
  <c r="AK22"/>
  <c r="AJ22"/>
  <c r="AI22"/>
  <c r="AH22"/>
  <c r="AG22"/>
  <c r="AF22"/>
  <c r="AE22"/>
  <c r="AD22"/>
  <c r="AB22"/>
  <c r="AA22"/>
  <c r="Z22"/>
  <c r="U22"/>
  <c r="T22"/>
  <c r="S22"/>
  <c r="R22"/>
  <c r="Q22"/>
  <c r="P22"/>
  <c r="O22"/>
  <c r="N22"/>
  <c r="L22"/>
  <c r="K22"/>
  <c r="J22"/>
  <c r="H22"/>
  <c r="M22" s="1"/>
  <c r="G22"/>
  <c r="AC22" s="1"/>
  <c r="AK21"/>
  <c r="AJ21"/>
  <c r="AI21"/>
  <c r="AH21"/>
  <c r="AG21"/>
  <c r="AF21"/>
  <c r="AD21"/>
  <c r="AC21"/>
  <c r="AB21"/>
  <c r="AA21"/>
  <c r="Z21"/>
  <c r="U21"/>
  <c r="T21"/>
  <c r="S21"/>
  <c r="R21"/>
  <c r="Q21"/>
  <c r="P21"/>
  <c r="N21"/>
  <c r="M21"/>
  <c r="L21"/>
  <c r="K21"/>
  <c r="J21"/>
  <c r="H21"/>
  <c r="O21" s="1"/>
  <c r="G21"/>
  <c r="AE21" s="1"/>
  <c r="AK20"/>
  <c r="AJ20"/>
  <c r="AI20"/>
  <c r="AG20"/>
  <c r="AF20"/>
  <c r="AE20"/>
  <c r="AD20"/>
  <c r="AC20"/>
  <c r="AB20"/>
  <c r="AA20"/>
  <c r="Z20"/>
  <c r="U20"/>
  <c r="T20"/>
  <c r="S20"/>
  <c r="Q20"/>
  <c r="P20"/>
  <c r="O20"/>
  <c r="N20"/>
  <c r="M20"/>
  <c r="L20"/>
  <c r="K20"/>
  <c r="J20"/>
  <c r="H20"/>
  <c r="R20" s="1"/>
  <c r="G20"/>
  <c r="AH20" s="1"/>
  <c r="AK19"/>
  <c r="AJ19"/>
  <c r="AI19"/>
  <c r="AG19"/>
  <c r="AF19"/>
  <c r="AE19"/>
  <c r="AD19"/>
  <c r="AC19"/>
  <c r="AB19"/>
  <c r="AA19"/>
  <c r="Z19"/>
  <c r="U19"/>
  <c r="T19"/>
  <c r="S19"/>
  <c r="Q19"/>
  <c r="P19"/>
  <c r="O19"/>
  <c r="N19"/>
  <c r="M19"/>
  <c r="L19"/>
  <c r="K19"/>
  <c r="J19"/>
  <c r="H19"/>
  <c r="R19" s="1"/>
  <c r="G19"/>
  <c r="AH19" s="1"/>
  <c r="AK18"/>
  <c r="AJ18"/>
  <c r="AI18"/>
  <c r="AH18"/>
  <c r="AG18"/>
  <c r="AF18"/>
  <c r="AE18"/>
  <c r="AD18"/>
  <c r="AC18"/>
  <c r="AB18"/>
  <c r="AA18"/>
  <c r="Z18"/>
  <c r="U18"/>
  <c r="T18"/>
  <c r="S18"/>
  <c r="R18"/>
  <c r="Q18"/>
  <c r="P18"/>
  <c r="O18"/>
  <c r="N18"/>
  <c r="M18"/>
  <c r="L18"/>
  <c r="K18"/>
  <c r="J18"/>
  <c r="AK17"/>
  <c r="AI17"/>
  <c r="AH17"/>
  <c r="AG17"/>
  <c r="AF17"/>
  <c r="AE17"/>
  <c r="AD17"/>
  <c r="AC17"/>
  <c r="AB17"/>
  <c r="AA17"/>
  <c r="Z17"/>
  <c r="U17"/>
  <c r="T17"/>
  <c r="S17"/>
  <c r="R17"/>
  <c r="Q17"/>
  <c r="P17"/>
  <c r="O17"/>
  <c r="N17"/>
  <c r="M17"/>
  <c r="L17"/>
  <c r="K17"/>
  <c r="J17"/>
  <c r="AJ17"/>
  <c r="AK16"/>
  <c r="AJ16"/>
  <c r="AI16"/>
  <c r="AH16"/>
  <c r="AG16"/>
  <c r="AF16"/>
  <c r="AE16"/>
  <c r="AD16"/>
  <c r="AC16"/>
  <c r="AB16"/>
  <c r="AA16"/>
  <c r="Z16"/>
  <c r="U16"/>
  <c r="T16"/>
  <c r="S16"/>
  <c r="R16"/>
  <c r="Q16"/>
  <c r="P16"/>
  <c r="O16"/>
  <c r="N16"/>
  <c r="M16"/>
  <c r="L16"/>
  <c r="K16"/>
  <c r="J16"/>
  <c r="AK15"/>
  <c r="AJ15"/>
  <c r="AI15"/>
  <c r="AH15"/>
  <c r="AG15"/>
  <c r="AF15"/>
  <c r="AE15"/>
  <c r="AC15"/>
  <c r="AB15"/>
  <c r="AA15"/>
  <c r="Z15"/>
  <c r="U15"/>
  <c r="T15"/>
  <c r="S15"/>
  <c r="R15"/>
  <c r="Q15"/>
  <c r="P15"/>
  <c r="O15"/>
  <c r="M15"/>
  <c r="L15"/>
  <c r="K15"/>
  <c r="J15"/>
  <c r="AK14"/>
  <c r="AJ14"/>
  <c r="AI14"/>
  <c r="AH14"/>
  <c r="AG14"/>
  <c r="AF14"/>
  <c r="AE14"/>
  <c r="AD14"/>
  <c r="AC14"/>
  <c r="AA14"/>
  <c r="Z14"/>
  <c r="U14"/>
  <c r="T14"/>
  <c r="S14"/>
  <c r="R14"/>
  <c r="Q14"/>
  <c r="P14"/>
  <c r="O14"/>
  <c r="N14"/>
  <c r="M14"/>
  <c r="K14"/>
  <c r="J14"/>
  <c r="L14"/>
  <c r="AK13"/>
  <c r="AJ13"/>
  <c r="AI13"/>
  <c r="AH13"/>
  <c r="AG13"/>
  <c r="AF13"/>
  <c r="AE13"/>
  <c r="AD13"/>
  <c r="AC13"/>
  <c r="AA13"/>
  <c r="Z13"/>
  <c r="U13"/>
  <c r="T13"/>
  <c r="S13"/>
  <c r="R13"/>
  <c r="Q13"/>
  <c r="P13"/>
  <c r="O13"/>
  <c r="N13"/>
  <c r="M13"/>
  <c r="L13"/>
  <c r="K13"/>
  <c r="J13"/>
  <c r="AK12"/>
  <c r="AJ12"/>
  <c r="AI12"/>
  <c r="AH12"/>
  <c r="AG12"/>
  <c r="AF12"/>
  <c r="AE12"/>
  <c r="AD12"/>
  <c r="AC12"/>
  <c r="AA12"/>
  <c r="Z12"/>
  <c r="U12"/>
  <c r="T12"/>
  <c r="S12"/>
  <c r="R12"/>
  <c r="Q12"/>
  <c r="P12"/>
  <c r="O12"/>
  <c r="N12"/>
  <c r="M12"/>
  <c r="L12"/>
  <c r="K12"/>
  <c r="J12"/>
  <c r="AK11"/>
  <c r="AJ11"/>
  <c r="AI11"/>
  <c r="AH11"/>
  <c r="AG11"/>
  <c r="AF11"/>
  <c r="AE11"/>
  <c r="AD11"/>
  <c r="AC11"/>
  <c r="AA11"/>
  <c r="Z11"/>
  <c r="U11"/>
  <c r="T11"/>
  <c r="S11"/>
  <c r="R11"/>
  <c r="Q11"/>
  <c r="P11"/>
  <c r="O11"/>
  <c r="N11"/>
  <c r="M11"/>
  <c r="K11"/>
  <c r="J11"/>
  <c r="H11"/>
  <c r="L11" s="1"/>
  <c r="G11"/>
  <c r="AB11" s="1"/>
  <c r="AK10"/>
  <c r="AJ10"/>
  <c r="AI10"/>
  <c r="AH10"/>
  <c r="AG10"/>
  <c r="AF10"/>
  <c r="AE10"/>
  <c r="AD10"/>
  <c r="AC10"/>
  <c r="AA10"/>
  <c r="Z10"/>
  <c r="U10"/>
  <c r="T10"/>
  <c r="S10"/>
  <c r="R10"/>
  <c r="Q10"/>
  <c r="P10"/>
  <c r="O10"/>
  <c r="N10"/>
  <c r="M10"/>
  <c r="L10"/>
  <c r="K10"/>
  <c r="J10"/>
  <c r="H10"/>
  <c r="G10"/>
  <c r="AB10" s="1"/>
  <c r="AK9"/>
  <c r="AJ9"/>
  <c r="AI9"/>
  <c r="AH9"/>
  <c r="AG9"/>
  <c r="AF9"/>
  <c r="AE9"/>
  <c r="AD9"/>
  <c r="AC9"/>
  <c r="AA9"/>
  <c r="Z9"/>
  <c r="U9"/>
  <c r="T9"/>
  <c r="S9"/>
  <c r="R9"/>
  <c r="Q9"/>
  <c r="P9"/>
  <c r="O9"/>
  <c r="N9"/>
  <c r="M9"/>
  <c r="K9"/>
  <c r="J9"/>
  <c r="H9"/>
  <c r="L9" s="1"/>
  <c r="G9"/>
  <c r="AB9" s="1"/>
  <c r="AK8"/>
  <c r="AJ8"/>
  <c r="AI8"/>
  <c r="AH8"/>
  <c r="AG8"/>
  <c r="AE8"/>
  <c r="AD8"/>
  <c r="AC8"/>
  <c r="AB8"/>
  <c r="AA8"/>
  <c r="Z8"/>
  <c r="U8"/>
  <c r="T8"/>
  <c r="S8"/>
  <c r="R8"/>
  <c r="Q8"/>
  <c r="O8"/>
  <c r="N8"/>
  <c r="M8"/>
  <c r="L8"/>
  <c r="K8"/>
  <c r="J8"/>
  <c r="H8"/>
  <c r="P8" s="1"/>
  <c r="G8"/>
  <c r="AF8" s="1"/>
  <c r="AK7"/>
  <c r="AJ7"/>
  <c r="AI7"/>
  <c r="AG7"/>
  <c r="AF7"/>
  <c r="AE7"/>
  <c r="AD7"/>
  <c r="AC7"/>
  <c r="AB7"/>
  <c r="AA7"/>
  <c r="Z7"/>
  <c r="U7"/>
  <c r="T7"/>
  <c r="S7"/>
  <c r="Q7"/>
  <c r="P7"/>
  <c r="O7"/>
  <c r="N7"/>
  <c r="M7"/>
  <c r="L7"/>
  <c r="K7"/>
  <c r="J7"/>
  <c r="H7"/>
  <c r="R7" s="1"/>
  <c r="G7"/>
  <c r="AH7" s="1"/>
  <c r="AK6"/>
  <c r="AJ6"/>
  <c r="AI6"/>
  <c r="AG6"/>
  <c r="AF6"/>
  <c r="AE6"/>
  <c r="AD6"/>
  <c r="AC6"/>
  <c r="AB6"/>
  <c r="AA6"/>
  <c r="Z6"/>
  <c r="U6"/>
  <c r="T6"/>
  <c r="S6"/>
  <c r="Q6"/>
  <c r="P6"/>
  <c r="O6"/>
  <c r="N6"/>
  <c r="M6"/>
  <c r="L6"/>
  <c r="K6"/>
  <c r="J6"/>
  <c r="H6"/>
  <c r="R6" s="1"/>
  <c r="G6"/>
  <c r="AH6" s="1"/>
  <c r="AK5"/>
  <c r="AJ5"/>
  <c r="AI5"/>
  <c r="AG5"/>
  <c r="AF5"/>
  <c r="AE5"/>
  <c r="AD5"/>
  <c r="AC5"/>
  <c r="AB5"/>
  <c r="AA5"/>
  <c r="Z5"/>
  <c r="U5"/>
  <c r="T5"/>
  <c r="S5"/>
  <c r="Q5"/>
  <c r="P5"/>
  <c r="O5"/>
  <c r="N5"/>
  <c r="M5"/>
  <c r="L5"/>
  <c r="K5"/>
  <c r="J5"/>
  <c r="H5"/>
  <c r="R5" s="1"/>
  <c r="G5"/>
  <c r="AH5" s="1"/>
  <c r="AK4"/>
  <c r="AJ4"/>
  <c r="AI4"/>
  <c r="AG4"/>
  <c r="AF4"/>
  <c r="AE4"/>
  <c r="AD4"/>
  <c r="AC4"/>
  <c r="AB4"/>
  <c r="AA4"/>
  <c r="Z4"/>
  <c r="U4"/>
  <c r="T4"/>
  <c r="S4"/>
  <c r="Q4"/>
  <c r="P4"/>
  <c r="O4"/>
  <c r="N4"/>
  <c r="M4"/>
  <c r="L4"/>
  <c r="K4"/>
  <c r="J4"/>
  <c r="H4"/>
  <c r="R4" s="1"/>
  <c r="G4"/>
  <c r="AH4" s="1"/>
  <c r="AK3"/>
  <c r="AJ3"/>
  <c r="AI3"/>
  <c r="AH3"/>
  <c r="AF3"/>
  <c r="AE3"/>
  <c r="AD3"/>
  <c r="AC3"/>
  <c r="AB3"/>
  <c r="AA3"/>
  <c r="Z3"/>
  <c r="U3"/>
  <c r="T3"/>
  <c r="S3"/>
  <c r="R3"/>
  <c r="P3"/>
  <c r="O3"/>
  <c r="N3"/>
  <c r="M3"/>
  <c r="L3"/>
  <c r="K3"/>
  <c r="J3"/>
  <c r="H3"/>
  <c r="G3"/>
  <c r="AN2"/>
  <c r="AN28" s="1"/>
  <c r="AM2"/>
  <c r="AM31" s="1"/>
  <c r="AL2"/>
  <c r="AL4" s="1"/>
  <c r="X2"/>
  <c r="X25" s="1"/>
  <c r="W2"/>
  <c r="W28" s="1"/>
  <c r="V2"/>
  <c r="V31" s="1"/>
  <c r="V56" i="6"/>
  <c r="V60"/>
  <c r="X2"/>
  <c r="W2"/>
  <c r="W15" s="1"/>
  <c r="V2"/>
  <c r="AL9"/>
  <c r="AL17"/>
  <c r="AL25"/>
  <c r="AL33"/>
  <c r="AL41"/>
  <c r="AL49"/>
  <c r="AL57"/>
  <c r="AN2"/>
  <c r="AM2"/>
  <c r="AL2"/>
  <c r="BE6" i="18"/>
  <c r="Y37" s="1"/>
  <c r="BE7"/>
  <c r="Y38" s="1"/>
  <c r="BE8"/>
  <c r="Y39" s="1"/>
  <c r="BE9"/>
  <c r="Y40" s="1"/>
  <c r="BE10"/>
  <c r="Y41" s="1"/>
  <c r="BE11"/>
  <c r="Y42" s="1"/>
  <c r="BE12"/>
  <c r="Y43" s="1"/>
  <c r="BE13"/>
  <c r="Y44" s="1"/>
  <c r="BE14"/>
  <c r="Y45" s="1"/>
  <c r="Z45" s="1"/>
  <c r="BE15"/>
  <c r="Y46" s="1"/>
  <c r="BE16"/>
  <c r="Y47" s="1"/>
  <c r="BE17"/>
  <c r="Y48" s="1"/>
  <c r="BE18"/>
  <c r="Y49" s="1"/>
  <c r="BE19"/>
  <c r="Y34" s="1"/>
  <c r="BE5"/>
  <c r="Y36" s="1"/>
  <c r="BE4"/>
  <c r="Y35" s="1"/>
  <c r="K19"/>
  <c r="R37" i="1"/>
  <c r="E25"/>
  <c r="AS27" i="4"/>
  <c r="AS26"/>
  <c r="AZ25"/>
  <c r="Q5" i="24" l="1"/>
  <c r="AQ26" i="25"/>
  <c r="AO26"/>
  <c r="AP26" s="1"/>
  <c r="AQ25"/>
  <c r="AO25"/>
  <c r="AP25" s="1"/>
  <c r="AQ24"/>
  <c r="AO24"/>
  <c r="AP24" s="1"/>
  <c r="AO23"/>
  <c r="AP23" s="1"/>
  <c r="AQ23"/>
  <c r="AQ22"/>
  <c r="AO22"/>
  <c r="AP22" s="1"/>
  <c r="AN27"/>
  <c r="AQ21"/>
  <c r="AO21"/>
  <c r="AP21" s="1"/>
  <c r="AQ20"/>
  <c r="AO20"/>
  <c r="AP20" s="1"/>
  <c r="AQ19"/>
  <c r="AO19"/>
  <c r="AP19" s="1"/>
  <c r="AQ18"/>
  <c r="AO18"/>
  <c r="AP18" s="1"/>
  <c r="AQ17"/>
  <c r="AO17"/>
  <c r="AP17" s="1"/>
  <c r="AG27"/>
  <c r="AQ16"/>
  <c r="AO16"/>
  <c r="AP16" s="1"/>
  <c r="AQ15"/>
  <c r="AO15"/>
  <c r="AP15" s="1"/>
  <c r="AQ14"/>
  <c r="AO14"/>
  <c r="AP14" s="1"/>
  <c r="AP11"/>
  <c r="AL8" i="6"/>
  <c r="AL12"/>
  <c r="AL16"/>
  <c r="AL20"/>
  <c r="AL24"/>
  <c r="AL28"/>
  <c r="AL32"/>
  <c r="AL36"/>
  <c r="AL40"/>
  <c r="AL44"/>
  <c r="AL48"/>
  <c r="AL52"/>
  <c r="AL56"/>
  <c r="AL61"/>
  <c r="AL3"/>
  <c r="AL6"/>
  <c r="AL10"/>
  <c r="AL14"/>
  <c r="AL18"/>
  <c r="AL22"/>
  <c r="AL26"/>
  <c r="AL30"/>
  <c r="AL34"/>
  <c r="AL38"/>
  <c r="AL42"/>
  <c r="AL46"/>
  <c r="AL50"/>
  <c r="AL54"/>
  <c r="AL59"/>
  <c r="AL4"/>
  <c r="AL62"/>
  <c r="AL53"/>
  <c r="AL45"/>
  <c r="AL37"/>
  <c r="AL29"/>
  <c r="AL21"/>
  <c r="AL13"/>
  <c r="V4"/>
  <c r="V10"/>
  <c r="V12"/>
  <c r="V16"/>
  <c r="V19"/>
  <c r="V21"/>
  <c r="V26"/>
  <c r="V28"/>
  <c r="V32"/>
  <c r="V35"/>
  <c r="V37"/>
  <c r="V43"/>
  <c r="V45"/>
  <c r="V51"/>
  <c r="V53"/>
  <c r="V59"/>
  <c r="V61"/>
  <c r="V5"/>
  <c r="V8"/>
  <c r="V15"/>
  <c r="V17"/>
  <c r="V24"/>
  <c r="V31"/>
  <c r="V33"/>
  <c r="V6"/>
  <c r="V11"/>
  <c r="V13"/>
  <c r="V22"/>
  <c r="V27"/>
  <c r="V29"/>
  <c r="V38"/>
  <c r="V42"/>
  <c r="V46"/>
  <c r="V50"/>
  <c r="V54"/>
  <c r="V58"/>
  <c r="V62"/>
  <c r="V3"/>
  <c r="V7"/>
  <c r="V9"/>
  <c r="V14"/>
  <c r="V18"/>
  <c r="V20"/>
  <c r="V23"/>
  <c r="V25"/>
  <c r="V30"/>
  <c r="V34"/>
  <c r="V36"/>
  <c r="V40"/>
  <c r="V44"/>
  <c r="V48"/>
  <c r="V52"/>
  <c r="V47"/>
  <c r="V39"/>
  <c r="AL60"/>
  <c r="AL51"/>
  <c r="AL43"/>
  <c r="AL35"/>
  <c r="AL27"/>
  <c r="AL19"/>
  <c r="AL11"/>
  <c r="V57"/>
  <c r="X14"/>
  <c r="X15"/>
  <c r="AL5"/>
  <c r="AL55"/>
  <c r="AL47"/>
  <c r="AL39"/>
  <c r="AL31"/>
  <c r="AL23"/>
  <c r="AL15"/>
  <c r="AL7"/>
  <c r="V55"/>
  <c r="V49"/>
  <c r="V41"/>
  <c r="AL4" i="8"/>
  <c r="K20"/>
  <c r="AL8"/>
  <c r="AL7"/>
  <c r="AM4"/>
  <c r="AR15" i="14"/>
  <c r="AR16"/>
  <c r="AS17"/>
  <c r="AZ24" s="1"/>
  <c r="AR14"/>
  <c r="AT17"/>
  <c r="AS17" i="9"/>
  <c r="AZ24" s="1"/>
  <c r="AR15" i="10"/>
  <c r="AR16"/>
  <c r="AS17"/>
  <c r="AR31" s="1"/>
  <c r="AR14"/>
  <c r="AT17"/>
  <c r="AR16" i="9"/>
  <c r="AT17"/>
  <c r="AR32" s="1"/>
  <c r="AR31"/>
  <c r="AR15"/>
  <c r="AR14"/>
  <c r="S11" i="24"/>
  <c r="Q15"/>
  <c r="AR12" i="7"/>
  <c r="AR5"/>
  <c r="AR7"/>
  <c r="W12" i="25"/>
  <c r="C3"/>
  <c r="V8" i="8"/>
  <c r="T12"/>
  <c r="AL3"/>
  <c r="V5"/>
  <c r="L8"/>
  <c r="Z34" i="18"/>
  <c r="Y50"/>
  <c r="AA34" s="1"/>
  <c r="AR9" i="7"/>
  <c r="AR13"/>
  <c r="AR11"/>
  <c r="AR4"/>
  <c r="AR3"/>
  <c r="AR8"/>
  <c r="AR2"/>
  <c r="AR6"/>
  <c r="AL63"/>
  <c r="AS14" s="1"/>
  <c r="AR10"/>
  <c r="X63"/>
  <c r="AT16" s="1"/>
  <c r="AM63"/>
  <c r="AS15" s="1"/>
  <c r="W63"/>
  <c r="AT15" s="1"/>
  <c r="V63"/>
  <c r="AT14" s="1"/>
  <c r="AN63"/>
  <c r="AS16" s="1"/>
  <c r="R22" i="8"/>
  <c r="AH22"/>
  <c r="N21"/>
  <c r="AD21"/>
  <c r="AD63" s="1"/>
  <c r="AS6" s="1"/>
  <c r="AA20"/>
  <c r="AA63" s="1"/>
  <c r="AS3" s="1"/>
  <c r="T15"/>
  <c r="J17"/>
  <c r="J63" s="1"/>
  <c r="AT2" s="1"/>
  <c r="M16"/>
  <c r="M63" s="1"/>
  <c r="AT5" s="1"/>
  <c r="AJ63"/>
  <c r="AS12" s="1"/>
  <c r="AN11" i="23"/>
  <c r="AL17"/>
  <c r="X31"/>
  <c r="AN32"/>
  <c r="AN33"/>
  <c r="AN34"/>
  <c r="AN3"/>
  <c r="AN7"/>
  <c r="AL9"/>
  <c r="AL11"/>
  <c r="AL13"/>
  <c r="X16"/>
  <c r="AL26"/>
  <c r="AN27"/>
  <c r="W32"/>
  <c r="W33"/>
  <c r="W34"/>
  <c r="W3"/>
  <c r="AL3"/>
  <c r="AL5"/>
  <c r="AL7"/>
  <c r="AL8"/>
  <c r="W11"/>
  <c r="X12"/>
  <c r="AL12"/>
  <c r="W15"/>
  <c r="AN15"/>
  <c r="W27"/>
  <c r="AL28"/>
  <c r="X29"/>
  <c r="X4"/>
  <c r="W7"/>
  <c r="X8"/>
  <c r="X30"/>
  <c r="AH14" i="8"/>
  <c r="K63"/>
  <c r="AT3" s="1"/>
  <c r="AC63"/>
  <c r="AS5" s="1"/>
  <c r="S63"/>
  <c r="AT11" s="1"/>
  <c r="AE63"/>
  <c r="AS7" s="1"/>
  <c r="AI63"/>
  <c r="AS11" s="1"/>
  <c r="AB8"/>
  <c r="U63"/>
  <c r="AT13" s="1"/>
  <c r="Z63"/>
  <c r="AS2" s="1"/>
  <c r="N6"/>
  <c r="N7"/>
  <c r="AK63"/>
  <c r="AS13" s="1"/>
  <c r="AH4"/>
  <c r="R3"/>
  <c r="AH3"/>
  <c r="AM8"/>
  <c r="O63"/>
  <c r="AT7" s="1"/>
  <c r="AM5"/>
  <c r="L63"/>
  <c r="AT4" s="1"/>
  <c r="P63"/>
  <c r="AT8" s="1"/>
  <c r="AB63"/>
  <c r="AS4" s="1"/>
  <c r="AF63"/>
  <c r="AS8" s="1"/>
  <c r="Q3"/>
  <c r="Q63" s="1"/>
  <c r="AT9" s="1"/>
  <c r="W5"/>
  <c r="AN5"/>
  <c r="X6"/>
  <c r="W9"/>
  <c r="AN9"/>
  <c r="X10"/>
  <c r="AL11"/>
  <c r="V12"/>
  <c r="AM12"/>
  <c r="W13"/>
  <c r="AN13"/>
  <c r="X14"/>
  <c r="AL15"/>
  <c r="V16"/>
  <c r="AM16"/>
  <c r="W17"/>
  <c r="AN17"/>
  <c r="X18"/>
  <c r="X19"/>
  <c r="X20"/>
  <c r="X21"/>
  <c r="X22"/>
  <c r="X23"/>
  <c r="X24"/>
  <c r="W25"/>
  <c r="AN25"/>
  <c r="V26"/>
  <c r="AM26"/>
  <c r="AL27"/>
  <c r="X28"/>
  <c r="V29"/>
  <c r="AM29"/>
  <c r="AL30"/>
  <c r="AL31"/>
  <c r="X32"/>
  <c r="X33"/>
  <c r="X34"/>
  <c r="X35"/>
  <c r="X36"/>
  <c r="X37"/>
  <c r="X38"/>
  <c r="X39"/>
  <c r="X40"/>
  <c r="X41"/>
  <c r="X42"/>
  <c r="X43"/>
  <c r="X44"/>
  <c r="X45"/>
  <c r="X46"/>
  <c r="X47"/>
  <c r="X48"/>
  <c r="X49"/>
  <c r="X50"/>
  <c r="X51"/>
  <c r="X52"/>
  <c r="X53"/>
  <c r="X54"/>
  <c r="X55"/>
  <c r="X56"/>
  <c r="X57"/>
  <c r="X58"/>
  <c r="X59"/>
  <c r="X60"/>
  <c r="X61"/>
  <c r="X62"/>
  <c r="X3"/>
  <c r="AG3"/>
  <c r="AG63" s="1"/>
  <c r="AS9" s="1"/>
  <c r="W6"/>
  <c r="AN6"/>
  <c r="X7"/>
  <c r="V9"/>
  <c r="AM9"/>
  <c r="W10"/>
  <c r="AN10"/>
  <c r="X11"/>
  <c r="AL12"/>
  <c r="V13"/>
  <c r="AM13"/>
  <c r="W14"/>
  <c r="AN14"/>
  <c r="X15"/>
  <c r="AL16"/>
  <c r="V17"/>
  <c r="AM17"/>
  <c r="W18"/>
  <c r="AN18"/>
  <c r="W19"/>
  <c r="AN19"/>
  <c r="W20"/>
  <c r="AN20"/>
  <c r="W21"/>
  <c r="AN21"/>
  <c r="W22"/>
  <c r="AN22"/>
  <c r="W23"/>
  <c r="AN23"/>
  <c r="W24"/>
  <c r="AN24"/>
  <c r="V25"/>
  <c r="AM25"/>
  <c r="AL26"/>
  <c r="X27"/>
  <c r="W28"/>
  <c r="AN28"/>
  <c r="AL29"/>
  <c r="X30"/>
  <c r="X31"/>
  <c r="W32"/>
  <c r="AN32"/>
  <c r="W33"/>
  <c r="AN33"/>
  <c r="W34"/>
  <c r="AN34"/>
  <c r="W35"/>
  <c r="AN35"/>
  <c r="W36"/>
  <c r="AN36"/>
  <c r="W37"/>
  <c r="AN37"/>
  <c r="W38"/>
  <c r="AN38"/>
  <c r="W39"/>
  <c r="AN39"/>
  <c r="W40"/>
  <c r="AN40"/>
  <c r="W41"/>
  <c r="AN41"/>
  <c r="W42"/>
  <c r="AN42"/>
  <c r="W43"/>
  <c r="AN43"/>
  <c r="W44"/>
  <c r="AN44"/>
  <c r="W45"/>
  <c r="AN45"/>
  <c r="W46"/>
  <c r="AN46"/>
  <c r="W47"/>
  <c r="AN47"/>
  <c r="W48"/>
  <c r="AN48"/>
  <c r="W49"/>
  <c r="AN49"/>
  <c r="W50"/>
  <c r="AN50"/>
  <c r="W51"/>
  <c r="AN51"/>
  <c r="W52"/>
  <c r="AN52"/>
  <c r="W53"/>
  <c r="AN53"/>
  <c r="W54"/>
  <c r="AN54"/>
  <c r="W55"/>
  <c r="AN55"/>
  <c r="W56"/>
  <c r="AN56"/>
  <c r="W57"/>
  <c r="AN57"/>
  <c r="W58"/>
  <c r="AN58"/>
  <c r="W59"/>
  <c r="AN59"/>
  <c r="W60"/>
  <c r="AN60"/>
  <c r="W61"/>
  <c r="AN61"/>
  <c r="W62"/>
  <c r="AN62"/>
  <c r="W3"/>
  <c r="AN3"/>
  <c r="X4"/>
  <c r="AL5"/>
  <c r="V6"/>
  <c r="AM6"/>
  <c r="W7"/>
  <c r="AN7"/>
  <c r="X8"/>
  <c r="AL9"/>
  <c r="V10"/>
  <c r="AM10"/>
  <c r="W11"/>
  <c r="AN11"/>
  <c r="X12"/>
  <c r="AL13"/>
  <c r="V14"/>
  <c r="AM14"/>
  <c r="W15"/>
  <c r="AN15"/>
  <c r="X16"/>
  <c r="AL17"/>
  <c r="V18"/>
  <c r="AM18"/>
  <c r="V19"/>
  <c r="AM19"/>
  <c r="V20"/>
  <c r="AM20"/>
  <c r="V21"/>
  <c r="AM21"/>
  <c r="V22"/>
  <c r="AM22"/>
  <c r="V23"/>
  <c r="AM23"/>
  <c r="V24"/>
  <c r="AM24"/>
  <c r="AL25"/>
  <c r="X26"/>
  <c r="W27"/>
  <c r="AN27"/>
  <c r="V28"/>
  <c r="AM28"/>
  <c r="X29"/>
  <c r="W30"/>
  <c r="AN30"/>
  <c r="W31"/>
  <c r="AN31"/>
  <c r="V32"/>
  <c r="AM32"/>
  <c r="V33"/>
  <c r="AM33"/>
  <c r="V34"/>
  <c r="AM34"/>
  <c r="V35"/>
  <c r="AM35"/>
  <c r="V36"/>
  <c r="AM36"/>
  <c r="V37"/>
  <c r="AM37"/>
  <c r="V38"/>
  <c r="AM38"/>
  <c r="V39"/>
  <c r="AM39"/>
  <c r="V40"/>
  <c r="AM40"/>
  <c r="V41"/>
  <c r="AM41"/>
  <c r="V42"/>
  <c r="AM42"/>
  <c r="V43"/>
  <c r="AM43"/>
  <c r="V44"/>
  <c r="AM44"/>
  <c r="V45"/>
  <c r="AM45"/>
  <c r="V46"/>
  <c r="AM46"/>
  <c r="V47"/>
  <c r="AM47"/>
  <c r="V48"/>
  <c r="AM48"/>
  <c r="V49"/>
  <c r="AM49"/>
  <c r="V50"/>
  <c r="AM50"/>
  <c r="V51"/>
  <c r="AM51"/>
  <c r="V52"/>
  <c r="AM52"/>
  <c r="V53"/>
  <c r="AM53"/>
  <c r="V54"/>
  <c r="AM54"/>
  <c r="V55"/>
  <c r="AM55"/>
  <c r="V56"/>
  <c r="AM56"/>
  <c r="V57"/>
  <c r="AM57"/>
  <c r="V58"/>
  <c r="AM58"/>
  <c r="V59"/>
  <c r="AM59"/>
  <c r="V60"/>
  <c r="AM60"/>
  <c r="V61"/>
  <c r="AM61"/>
  <c r="V62"/>
  <c r="AM62"/>
  <c r="V3"/>
  <c r="AM3"/>
  <c r="W4"/>
  <c r="AN4"/>
  <c r="X5"/>
  <c r="AL6"/>
  <c r="V7"/>
  <c r="AM7"/>
  <c r="W8"/>
  <c r="AN8"/>
  <c r="X9"/>
  <c r="AL10"/>
  <c r="V11"/>
  <c r="AM11"/>
  <c r="W12"/>
  <c r="AN12"/>
  <c r="X13"/>
  <c r="AL14"/>
  <c r="V15"/>
  <c r="AM15"/>
  <c r="W16"/>
  <c r="AN16"/>
  <c r="X17"/>
  <c r="AL18"/>
  <c r="AL19"/>
  <c r="AL20"/>
  <c r="AL21"/>
  <c r="AL22"/>
  <c r="AL23"/>
  <c r="AL24"/>
  <c r="W26"/>
  <c r="AN26"/>
  <c r="V27"/>
  <c r="AM27"/>
  <c r="AL28"/>
  <c r="V30"/>
  <c r="AM30"/>
  <c r="AL32"/>
  <c r="AL33"/>
  <c r="AL34"/>
  <c r="AL35"/>
  <c r="AL36"/>
  <c r="AL37"/>
  <c r="AL38"/>
  <c r="AL39"/>
  <c r="AL40"/>
  <c r="AL41"/>
  <c r="AL42"/>
  <c r="AL43"/>
  <c r="AL44"/>
  <c r="AL45"/>
  <c r="AL46"/>
  <c r="AL47"/>
  <c r="AL48"/>
  <c r="AL49"/>
  <c r="AL50"/>
  <c r="AL51"/>
  <c r="AL52"/>
  <c r="AL53"/>
  <c r="AL54"/>
  <c r="AL55"/>
  <c r="AL56"/>
  <c r="AL57"/>
  <c r="AL58"/>
  <c r="AL59"/>
  <c r="AL60"/>
  <c r="AL61"/>
  <c r="T11" i="24"/>
  <c r="U11" s="1"/>
  <c r="S12"/>
  <c r="T12" s="1"/>
  <c r="U12" s="1"/>
  <c r="L7"/>
  <c r="S7" s="1"/>
  <c r="T7" s="1"/>
  <c r="U7" s="1"/>
  <c r="L6"/>
  <c r="S6" s="1"/>
  <c r="S13"/>
  <c r="R13"/>
  <c r="S14"/>
  <c r="T14" s="1"/>
  <c r="U14" s="1"/>
  <c r="S10"/>
  <c r="S8"/>
  <c r="T8" s="1"/>
  <c r="U8" s="1"/>
  <c r="R9"/>
  <c r="S9"/>
  <c r="R6"/>
  <c r="R5"/>
  <c r="K35" i="23"/>
  <c r="AT3" s="1"/>
  <c r="O35"/>
  <c r="AT7" s="1"/>
  <c r="S35"/>
  <c r="AT11" s="1"/>
  <c r="Z35"/>
  <c r="AS2" s="1"/>
  <c r="AD35"/>
  <c r="AS6" s="1"/>
  <c r="AH35"/>
  <c r="AS10" s="1"/>
  <c r="AA35"/>
  <c r="AS3" s="1"/>
  <c r="AE35"/>
  <c r="AS7" s="1"/>
  <c r="AI35"/>
  <c r="AS11" s="1"/>
  <c r="Q3"/>
  <c r="Q35" s="1"/>
  <c r="AT9" s="1"/>
  <c r="AG3"/>
  <c r="M35"/>
  <c r="AT5" s="1"/>
  <c r="U35"/>
  <c r="AT13" s="1"/>
  <c r="AB35"/>
  <c r="AS4" s="1"/>
  <c r="AF35"/>
  <c r="AS8" s="1"/>
  <c r="AJ35"/>
  <c r="AS12" s="1"/>
  <c r="L35"/>
  <c r="AT4" s="1"/>
  <c r="P35"/>
  <c r="AT8" s="1"/>
  <c r="T35"/>
  <c r="AT12" s="1"/>
  <c r="AC35"/>
  <c r="AS5" s="1"/>
  <c r="AG35"/>
  <c r="AS9" s="1"/>
  <c r="AK35"/>
  <c r="AS13" s="1"/>
  <c r="J35"/>
  <c r="AT2" s="1"/>
  <c r="N35"/>
  <c r="AT6" s="1"/>
  <c r="R35"/>
  <c r="AT10" s="1"/>
  <c r="AR10" s="1"/>
  <c r="AM6"/>
  <c r="AM14"/>
  <c r="V18"/>
  <c r="V20"/>
  <c r="AM22"/>
  <c r="AM23"/>
  <c r="X3"/>
  <c r="V5"/>
  <c r="AM5"/>
  <c r="W6"/>
  <c r="AN6"/>
  <c r="X7"/>
  <c r="V9"/>
  <c r="AM9"/>
  <c r="W10"/>
  <c r="AN10"/>
  <c r="X11"/>
  <c r="V13"/>
  <c r="AM13"/>
  <c r="W14"/>
  <c r="AN14"/>
  <c r="X15"/>
  <c r="AL16"/>
  <c r="V17"/>
  <c r="AM17"/>
  <c r="W18"/>
  <c r="AN18"/>
  <c r="W19"/>
  <c r="AN19"/>
  <c r="W20"/>
  <c r="AN20"/>
  <c r="W21"/>
  <c r="AN21"/>
  <c r="W22"/>
  <c r="AN22"/>
  <c r="W23"/>
  <c r="AN23"/>
  <c r="W24"/>
  <c r="AN24"/>
  <c r="W25"/>
  <c r="AN25"/>
  <c r="V26"/>
  <c r="AM26"/>
  <c r="X27"/>
  <c r="V28"/>
  <c r="AM28"/>
  <c r="AL29"/>
  <c r="AL30"/>
  <c r="AL31"/>
  <c r="X32"/>
  <c r="X33"/>
  <c r="X34"/>
  <c r="AM18"/>
  <c r="AM20"/>
  <c r="V21"/>
  <c r="V23"/>
  <c r="AM24"/>
  <c r="AM25"/>
  <c r="V3"/>
  <c r="AM3"/>
  <c r="W4"/>
  <c r="AN4"/>
  <c r="X5"/>
  <c r="AL6"/>
  <c r="V7"/>
  <c r="AM7"/>
  <c r="W8"/>
  <c r="AN8"/>
  <c r="X9"/>
  <c r="AL10"/>
  <c r="V11"/>
  <c r="AM11"/>
  <c r="W12"/>
  <c r="AN12"/>
  <c r="X13"/>
  <c r="AL14"/>
  <c r="V15"/>
  <c r="AM15"/>
  <c r="W16"/>
  <c r="AN16"/>
  <c r="X17"/>
  <c r="AL18"/>
  <c r="AL19"/>
  <c r="AL20"/>
  <c r="AL21"/>
  <c r="AL22"/>
  <c r="AL23"/>
  <c r="AL24"/>
  <c r="AL25"/>
  <c r="X26"/>
  <c r="V27"/>
  <c r="AM27"/>
  <c r="X28"/>
  <c r="W29"/>
  <c r="AN29"/>
  <c r="W30"/>
  <c r="AN30"/>
  <c r="W31"/>
  <c r="AN31"/>
  <c r="V32"/>
  <c r="AM32"/>
  <c r="V33"/>
  <c r="AM33"/>
  <c r="V34"/>
  <c r="AM34"/>
  <c r="V6"/>
  <c r="V10"/>
  <c r="AM10"/>
  <c r="V14"/>
  <c r="V19"/>
  <c r="AM19"/>
  <c r="AM21"/>
  <c r="V22"/>
  <c r="V24"/>
  <c r="V25"/>
  <c r="V4"/>
  <c r="AM4"/>
  <c r="W5"/>
  <c r="AN5"/>
  <c r="X6"/>
  <c r="V8"/>
  <c r="AM8"/>
  <c r="W9"/>
  <c r="AN9"/>
  <c r="X10"/>
  <c r="V12"/>
  <c r="AM12"/>
  <c r="W13"/>
  <c r="AN13"/>
  <c r="X14"/>
  <c r="AL15"/>
  <c r="V16"/>
  <c r="AM16"/>
  <c r="W17"/>
  <c r="AN17"/>
  <c r="X18"/>
  <c r="X19"/>
  <c r="X20"/>
  <c r="X21"/>
  <c r="X22"/>
  <c r="X23"/>
  <c r="X24"/>
  <c r="W26"/>
  <c r="AN26"/>
  <c r="AL27"/>
  <c r="V29"/>
  <c r="AM29"/>
  <c r="V30"/>
  <c r="AM30"/>
  <c r="AL32"/>
  <c r="AL33"/>
  <c r="AL34"/>
  <c r="AN13" i="6"/>
  <c r="X16"/>
  <c r="X13"/>
  <c r="W13"/>
  <c r="W16"/>
  <c r="W14"/>
  <c r="AN15"/>
  <c r="AN16"/>
  <c r="AN14"/>
  <c r="AM13"/>
  <c r="AM16"/>
  <c r="AM14"/>
  <c r="AM15"/>
  <c r="BE20" i="18"/>
  <c r="BF20" s="1"/>
  <c r="D42" i="1"/>
  <c r="E8"/>
  <c r="U20"/>
  <c r="AZ26" i="4"/>
  <c r="D21" i="1"/>
  <c r="D20"/>
  <c r="D41"/>
  <c r="D29"/>
  <c r="D24"/>
  <c r="D8"/>
  <c r="D25"/>
  <c r="H19" i="4"/>
  <c r="G19"/>
  <c r="H18"/>
  <c r="G18"/>
  <c r="H17"/>
  <c r="G17"/>
  <c r="D17" i="1"/>
  <c r="AZ25" i="3"/>
  <c r="E24"/>
  <c r="B6" i="21"/>
  <c r="C6"/>
  <c r="I6"/>
  <c r="L6"/>
  <c r="O6"/>
  <c r="R6"/>
  <c r="U6"/>
  <c r="X6"/>
  <c r="AA6"/>
  <c r="AD6"/>
  <c r="AG6"/>
  <c r="AI6"/>
  <c r="AJ6"/>
  <c r="AM6"/>
  <c r="C7"/>
  <c r="F7"/>
  <c r="I7"/>
  <c r="L7"/>
  <c r="O7"/>
  <c r="R7"/>
  <c r="U7"/>
  <c r="X7"/>
  <c r="AA7"/>
  <c r="AD7"/>
  <c r="AG7"/>
  <c r="AI7"/>
  <c r="AJ7" s="1"/>
  <c r="AM7"/>
  <c r="C8"/>
  <c r="F8"/>
  <c r="I8"/>
  <c r="L8"/>
  <c r="O8"/>
  <c r="R8"/>
  <c r="U8"/>
  <c r="X8"/>
  <c r="AA8"/>
  <c r="AD8"/>
  <c r="AG8"/>
  <c r="AJ8"/>
  <c r="AM8"/>
  <c r="C9"/>
  <c r="F9"/>
  <c r="I9"/>
  <c r="L9"/>
  <c r="O9"/>
  <c r="R9"/>
  <c r="U9"/>
  <c r="X9"/>
  <c r="AA9"/>
  <c r="AD9"/>
  <c r="AG9"/>
  <c r="AJ9"/>
  <c r="AM9"/>
  <c r="B10"/>
  <c r="C10"/>
  <c r="F10"/>
  <c r="I10"/>
  <c r="L10"/>
  <c r="O10"/>
  <c r="R10"/>
  <c r="U10"/>
  <c r="X10"/>
  <c r="AA10"/>
  <c r="AD10"/>
  <c r="AG10"/>
  <c r="AJ10"/>
  <c r="AM10"/>
  <c r="C11"/>
  <c r="F11"/>
  <c r="I11"/>
  <c r="L11"/>
  <c r="O11"/>
  <c r="R11"/>
  <c r="U11"/>
  <c r="X11"/>
  <c r="AA11"/>
  <c r="AD11"/>
  <c r="AG11"/>
  <c r="AJ11"/>
  <c r="AM11"/>
  <c r="C12"/>
  <c r="F12"/>
  <c r="I12"/>
  <c r="L12"/>
  <c r="O12"/>
  <c r="R12"/>
  <c r="U12"/>
  <c r="X12"/>
  <c r="AA12"/>
  <c r="AD12"/>
  <c r="AG12"/>
  <c r="AJ12"/>
  <c r="AM12"/>
  <c r="C13"/>
  <c r="F13"/>
  <c r="I13"/>
  <c r="L13"/>
  <c r="O13"/>
  <c r="R13"/>
  <c r="U13"/>
  <c r="X13"/>
  <c r="AA13"/>
  <c r="AD13"/>
  <c r="AG13"/>
  <c r="AJ13"/>
  <c r="AM13"/>
  <c r="B14"/>
  <c r="C14"/>
  <c r="F14"/>
  <c r="I14"/>
  <c r="L14"/>
  <c r="O14"/>
  <c r="R14"/>
  <c r="U14"/>
  <c r="X14"/>
  <c r="AA14"/>
  <c r="AD14"/>
  <c r="AG14"/>
  <c r="AJ14"/>
  <c r="AM14"/>
  <c r="C15"/>
  <c r="F15"/>
  <c r="I15"/>
  <c r="L15"/>
  <c r="O15"/>
  <c r="R15"/>
  <c r="U15"/>
  <c r="X15"/>
  <c r="AA15"/>
  <c r="AD15"/>
  <c r="AG15"/>
  <c r="AJ15"/>
  <c r="AM15"/>
  <c r="C16"/>
  <c r="F16"/>
  <c r="I16"/>
  <c r="L16"/>
  <c r="O16"/>
  <c r="R16"/>
  <c r="U16"/>
  <c r="X16"/>
  <c r="AA16"/>
  <c r="AD16"/>
  <c r="AG16"/>
  <c r="AJ16"/>
  <c r="AM16"/>
  <c r="C17"/>
  <c r="F17"/>
  <c r="I17"/>
  <c r="L17"/>
  <c r="O17"/>
  <c r="R17"/>
  <c r="U17"/>
  <c r="X17"/>
  <c r="AA17"/>
  <c r="AD17"/>
  <c r="AG17"/>
  <c r="AJ17"/>
  <c r="AM17"/>
  <c r="B18"/>
  <c r="C18"/>
  <c r="F18"/>
  <c r="I18"/>
  <c r="L18"/>
  <c r="O18"/>
  <c r="R18"/>
  <c r="U18"/>
  <c r="X18"/>
  <c r="AA18"/>
  <c r="AD18"/>
  <c r="AG18"/>
  <c r="AJ18"/>
  <c r="AM18"/>
  <c r="C19"/>
  <c r="F19"/>
  <c r="I19"/>
  <c r="L19"/>
  <c r="O19"/>
  <c r="R19"/>
  <c r="U19"/>
  <c r="X19"/>
  <c r="AA19"/>
  <c r="AD19"/>
  <c r="AG19"/>
  <c r="AJ19"/>
  <c r="AM19"/>
  <c r="C20"/>
  <c r="F20"/>
  <c r="I20"/>
  <c r="L20"/>
  <c r="O20"/>
  <c r="R20"/>
  <c r="U20"/>
  <c r="X20"/>
  <c r="AA20"/>
  <c r="AD20"/>
  <c r="AG20"/>
  <c r="AJ20"/>
  <c r="AM20"/>
  <c r="C21"/>
  <c r="F21"/>
  <c r="I21"/>
  <c r="L21"/>
  <c r="O21"/>
  <c r="R21"/>
  <c r="U21"/>
  <c r="X21"/>
  <c r="AA21"/>
  <c r="AD21"/>
  <c r="AG21"/>
  <c r="AJ21"/>
  <c r="AM21"/>
  <c r="D22"/>
  <c r="G22"/>
  <c r="J22"/>
  <c r="M22"/>
  <c r="P22"/>
  <c r="S22"/>
  <c r="V22"/>
  <c r="Y22"/>
  <c r="AB22"/>
  <c r="AE22"/>
  <c r="AH22"/>
  <c r="AK22"/>
  <c r="AJ26"/>
  <c r="F5" i="20"/>
  <c r="K5"/>
  <c r="P5"/>
  <c r="U5"/>
  <c r="AB5"/>
  <c r="AG5"/>
  <c r="AL5"/>
  <c r="AQ5"/>
  <c r="F6"/>
  <c r="K6"/>
  <c r="P6"/>
  <c r="U6"/>
  <c r="AB6"/>
  <c r="AG6"/>
  <c r="AL6"/>
  <c r="AQ6"/>
  <c r="F7"/>
  <c r="K7"/>
  <c r="P7"/>
  <c r="U7"/>
  <c r="AB7"/>
  <c r="AG7"/>
  <c r="AL7"/>
  <c r="AQ7"/>
  <c r="F8"/>
  <c r="K8"/>
  <c r="P8"/>
  <c r="U8"/>
  <c r="AB8"/>
  <c r="AG8"/>
  <c r="AL8"/>
  <c r="AQ8"/>
  <c r="F9"/>
  <c r="K9"/>
  <c r="P9"/>
  <c r="U9"/>
  <c r="AB9"/>
  <c r="AG9"/>
  <c r="AL9"/>
  <c r="AQ9"/>
  <c r="F10"/>
  <c r="K10"/>
  <c r="P10"/>
  <c r="U10"/>
  <c r="AB10"/>
  <c r="AG10"/>
  <c r="AL10"/>
  <c r="AQ10"/>
  <c r="F11"/>
  <c r="K11"/>
  <c r="P11"/>
  <c r="U11"/>
  <c r="AB11"/>
  <c r="AG11"/>
  <c r="AL11"/>
  <c r="AQ11"/>
  <c r="F12"/>
  <c r="K12"/>
  <c r="P12"/>
  <c r="U12"/>
  <c r="AB12"/>
  <c r="AG12"/>
  <c r="AL12"/>
  <c r="AQ12"/>
  <c r="F13"/>
  <c r="K13"/>
  <c r="P13"/>
  <c r="U13"/>
  <c r="AB13"/>
  <c r="AG13"/>
  <c r="AL13"/>
  <c r="AQ13"/>
  <c r="F14"/>
  <c r="K14"/>
  <c r="P14"/>
  <c r="U14"/>
  <c r="AB14"/>
  <c r="AG14"/>
  <c r="AL14"/>
  <c r="AQ14"/>
  <c r="F15"/>
  <c r="K15"/>
  <c r="P15"/>
  <c r="U15"/>
  <c r="AB15"/>
  <c r="AG15"/>
  <c r="AL15"/>
  <c r="AQ15"/>
  <c r="F16"/>
  <c r="K16"/>
  <c r="P16"/>
  <c r="U16"/>
  <c r="AB16"/>
  <c r="AG16"/>
  <c r="AL16"/>
  <c r="AQ16"/>
  <c r="D17"/>
  <c r="I17"/>
  <c r="N17"/>
  <c r="S17"/>
  <c r="Z17"/>
  <c r="AE17"/>
  <c r="AJ17"/>
  <c r="AO17"/>
  <c r="F23"/>
  <c r="K23"/>
  <c r="P23"/>
  <c r="U23"/>
  <c r="AB23"/>
  <c r="AG23"/>
  <c r="AL23"/>
  <c r="AQ23"/>
  <c r="F24"/>
  <c r="K24"/>
  <c r="P24"/>
  <c r="U24"/>
  <c r="AB24"/>
  <c r="AG24"/>
  <c r="AL24"/>
  <c r="AQ24"/>
  <c r="F25"/>
  <c r="K25"/>
  <c r="P25"/>
  <c r="U25"/>
  <c r="AB25"/>
  <c r="AG25"/>
  <c r="AL25"/>
  <c r="AQ25"/>
  <c r="F26"/>
  <c r="K26"/>
  <c r="P26"/>
  <c r="U26"/>
  <c r="AB26"/>
  <c r="AG26"/>
  <c r="AL26"/>
  <c r="AQ26"/>
  <c r="F27"/>
  <c r="K27"/>
  <c r="P27"/>
  <c r="U27"/>
  <c r="AB27"/>
  <c r="AG27"/>
  <c r="AL27"/>
  <c r="AQ27"/>
  <c r="F28"/>
  <c r="K28"/>
  <c r="P28"/>
  <c r="U28"/>
  <c r="AB28"/>
  <c r="AG28"/>
  <c r="AL28"/>
  <c r="AQ28"/>
  <c r="F29"/>
  <c r="K29"/>
  <c r="P29"/>
  <c r="U29"/>
  <c r="AB29"/>
  <c r="AG29"/>
  <c r="AL29"/>
  <c r="AQ29"/>
  <c r="F30"/>
  <c r="K30"/>
  <c r="P30"/>
  <c r="U30"/>
  <c r="AB30"/>
  <c r="AG30"/>
  <c r="AL30"/>
  <c r="AQ30"/>
  <c r="F31"/>
  <c r="K31"/>
  <c r="P31"/>
  <c r="U31"/>
  <c r="AB31"/>
  <c r="AG31"/>
  <c r="AL31"/>
  <c r="AQ31"/>
  <c r="F32"/>
  <c r="K32"/>
  <c r="P32"/>
  <c r="U32"/>
  <c r="AB32"/>
  <c r="AG32"/>
  <c r="AL32"/>
  <c r="AQ32"/>
  <c r="F33"/>
  <c r="K33"/>
  <c r="P33"/>
  <c r="U33"/>
  <c r="AB33"/>
  <c r="AG33"/>
  <c r="AL33"/>
  <c r="AQ33"/>
  <c r="F34"/>
  <c r="K34"/>
  <c r="P34"/>
  <c r="U34"/>
  <c r="AB34"/>
  <c r="AG34"/>
  <c r="AL34"/>
  <c r="AQ34"/>
  <c r="D35"/>
  <c r="I35"/>
  <c r="N35"/>
  <c r="P35"/>
  <c r="S35"/>
  <c r="Z35"/>
  <c r="AE35"/>
  <c r="AJ35"/>
  <c r="AL35"/>
  <c r="AO35"/>
  <c r="H40"/>
  <c r="AR17" i="14" l="1"/>
  <c r="AR24" s="1"/>
  <c r="AR26" s="1"/>
  <c r="AR28" s="1"/>
  <c r="R15" i="24"/>
  <c r="R24" s="1"/>
  <c r="V63" i="6"/>
  <c r="AQ17" i="20"/>
  <c r="U17"/>
  <c r="AR6" i="23"/>
  <c r="AB35" i="20"/>
  <c r="AB17"/>
  <c r="F17"/>
  <c r="AN16" i="21"/>
  <c r="R63" i="8"/>
  <c r="AT10" s="1"/>
  <c r="AR31" i="14"/>
  <c r="AT34"/>
  <c r="AR32"/>
  <c r="AZ32"/>
  <c r="AZ28"/>
  <c r="AZ30"/>
  <c r="AR17" i="10"/>
  <c r="AR24" s="1"/>
  <c r="AR26" s="1"/>
  <c r="AR28" s="1"/>
  <c r="AZ24"/>
  <c r="AZ30" s="1"/>
  <c r="AR32"/>
  <c r="AR34" s="1"/>
  <c r="AZ32"/>
  <c r="AZ32" i="9"/>
  <c r="AR17"/>
  <c r="AR24" s="1"/>
  <c r="AR26" s="1"/>
  <c r="AR28" s="1"/>
  <c r="AZ28"/>
  <c r="AZ30"/>
  <c r="AR34"/>
  <c r="T10" i="24"/>
  <c r="U10" s="1"/>
  <c r="T63" i="8"/>
  <c r="AT12" s="1"/>
  <c r="AA35" i="18"/>
  <c r="AA39"/>
  <c r="AA44"/>
  <c r="AA47"/>
  <c r="AA37"/>
  <c r="AA43"/>
  <c r="AA38"/>
  <c r="AA42"/>
  <c r="AA46"/>
  <c r="AA36"/>
  <c r="AA40"/>
  <c r="AA45"/>
  <c r="AA48"/>
  <c r="AA41"/>
  <c r="AA49"/>
  <c r="AR14" i="7"/>
  <c r="AT17"/>
  <c r="AZ32" s="1"/>
  <c r="AS17"/>
  <c r="AR31" s="1"/>
  <c r="AR15"/>
  <c r="AR16"/>
  <c r="N63" i="8"/>
  <c r="AT6" s="1"/>
  <c r="AR6" s="1"/>
  <c r="AR3"/>
  <c r="AR12"/>
  <c r="AR7"/>
  <c r="AR2"/>
  <c r="AR11"/>
  <c r="AR2" i="23"/>
  <c r="AR13" i="8"/>
  <c r="AR5"/>
  <c r="AH63"/>
  <c r="AS10" s="1"/>
  <c r="AR10" s="1"/>
  <c r="AL63"/>
  <c r="AS14" s="1"/>
  <c r="AR8"/>
  <c r="V63"/>
  <c r="AT14" s="1"/>
  <c r="AN63"/>
  <c r="AS16" s="1"/>
  <c r="AR4"/>
  <c r="AM63"/>
  <c r="AS15" s="1"/>
  <c r="AR9"/>
  <c r="W63"/>
  <c r="AT15" s="1"/>
  <c r="X63"/>
  <c r="AT16" s="1"/>
  <c r="AR4" i="23"/>
  <c r="AR13"/>
  <c r="T13" i="24"/>
  <c r="U13" s="1"/>
  <c r="T9"/>
  <c r="T6"/>
  <c r="U6" s="1"/>
  <c r="S5"/>
  <c r="T5" s="1"/>
  <c r="U5" s="1"/>
  <c r="AR8" i="23"/>
  <c r="AR12"/>
  <c r="AR3"/>
  <c r="AR7"/>
  <c r="AR11"/>
  <c r="AL35"/>
  <c r="AS14" s="1"/>
  <c r="AR5"/>
  <c r="W35"/>
  <c r="AT15" s="1"/>
  <c r="AR9"/>
  <c r="AN35"/>
  <c r="AS16" s="1"/>
  <c r="V35"/>
  <c r="AT14" s="1"/>
  <c r="X35"/>
  <c r="AT16" s="1"/>
  <c r="AM35"/>
  <c r="AS15" s="1"/>
  <c r="AN20" i="21"/>
  <c r="AL17" i="20"/>
  <c r="P17"/>
  <c r="AN15" i="21"/>
  <c r="AN11"/>
  <c r="F35" i="20"/>
  <c r="AQ35"/>
  <c r="U35"/>
  <c r="AN9" i="21"/>
  <c r="K17" i="20"/>
  <c r="O22" i="21"/>
  <c r="I22"/>
  <c r="AN19"/>
  <c r="AN17"/>
  <c r="AN10"/>
  <c r="AN8"/>
  <c r="AG17" i="20"/>
  <c r="AG22" i="21"/>
  <c r="U22"/>
  <c r="AN21"/>
  <c r="AN14"/>
  <c r="AN12"/>
  <c r="F22"/>
  <c r="AN6"/>
  <c r="AD22"/>
  <c r="R22"/>
  <c r="AA22"/>
  <c r="AG35" i="20"/>
  <c r="K35"/>
  <c r="AN18" i="21"/>
  <c r="AN13"/>
  <c r="X22"/>
  <c r="L22"/>
  <c r="AJ22"/>
  <c r="AN7"/>
  <c r="AM22"/>
  <c r="E43" i="20" l="1"/>
  <c r="S15" i="24"/>
  <c r="AR34" i="14"/>
  <c r="AZ34"/>
  <c r="AT34" i="10"/>
  <c r="AZ28"/>
  <c r="AZ34"/>
  <c r="AZ34" i="9"/>
  <c r="AT34"/>
  <c r="AA50" i="18"/>
  <c r="AZ24" i="7"/>
  <c r="AZ30" s="1"/>
  <c r="AZ34" s="1"/>
  <c r="AR32"/>
  <c r="AR34" s="1"/>
  <c r="AR17"/>
  <c r="AR24" s="1"/>
  <c r="AR14" i="8"/>
  <c r="AR15"/>
  <c r="AR16"/>
  <c r="AS17"/>
  <c r="AT17"/>
  <c r="U9" i="24"/>
  <c r="U15" s="1"/>
  <c r="T15"/>
  <c r="R17" s="1"/>
  <c r="AR16" i="23"/>
  <c r="AR15"/>
  <c r="AS17"/>
  <c r="AR14"/>
  <c r="AT17"/>
  <c r="AC3" i="19"/>
  <c r="H17" i="18" s="1"/>
  <c r="U48" s="1"/>
  <c r="AH3" i="19"/>
  <c r="H18" i="18" s="1"/>
  <c r="U49" s="1"/>
  <c r="AM3" i="19"/>
  <c r="F5"/>
  <c r="F17" s="1"/>
  <c r="AC35" i="18" s="1"/>
  <c r="X35" s="1"/>
  <c r="Z35" s="1"/>
  <c r="K5" i="19"/>
  <c r="P5"/>
  <c r="U5"/>
  <c r="AB5"/>
  <c r="AG5"/>
  <c r="AL5"/>
  <c r="AQ5"/>
  <c r="F6"/>
  <c r="P6"/>
  <c r="U6"/>
  <c r="AB6"/>
  <c r="AG6"/>
  <c r="AL6"/>
  <c r="AQ6"/>
  <c r="F7"/>
  <c r="K7"/>
  <c r="P7"/>
  <c r="U7"/>
  <c r="AB7"/>
  <c r="AG7"/>
  <c r="AL7"/>
  <c r="AQ7"/>
  <c r="F8"/>
  <c r="K8"/>
  <c r="P8"/>
  <c r="U8"/>
  <c r="AB8"/>
  <c r="AG8"/>
  <c r="AL8"/>
  <c r="AQ8"/>
  <c r="F9"/>
  <c r="K9"/>
  <c r="P9"/>
  <c r="U9"/>
  <c r="AB9"/>
  <c r="AG9"/>
  <c r="AL9"/>
  <c r="AQ9"/>
  <c r="F10"/>
  <c r="K10"/>
  <c r="P10"/>
  <c r="U10"/>
  <c r="AB10"/>
  <c r="AG10"/>
  <c r="AL10"/>
  <c r="AQ10"/>
  <c r="F11"/>
  <c r="K11"/>
  <c r="P11"/>
  <c r="U11"/>
  <c r="AB11"/>
  <c r="AG11"/>
  <c r="AL11"/>
  <c r="AQ11"/>
  <c r="F12"/>
  <c r="K12"/>
  <c r="P12"/>
  <c r="U12"/>
  <c r="AB12"/>
  <c r="AG12"/>
  <c r="AL12"/>
  <c r="AQ12"/>
  <c r="F13"/>
  <c r="K13"/>
  <c r="P13"/>
  <c r="U13"/>
  <c r="AB13"/>
  <c r="AG13"/>
  <c r="AL13"/>
  <c r="AQ13"/>
  <c r="F14"/>
  <c r="K14"/>
  <c r="P14"/>
  <c r="U14"/>
  <c r="AB14"/>
  <c r="AG14"/>
  <c r="AL14"/>
  <c r="AQ14"/>
  <c r="F15"/>
  <c r="K15"/>
  <c r="P15"/>
  <c r="U15"/>
  <c r="AB15"/>
  <c r="AG15"/>
  <c r="AL15"/>
  <c r="AQ15"/>
  <c r="F16"/>
  <c r="K16"/>
  <c r="P16"/>
  <c r="U16"/>
  <c r="AB16"/>
  <c r="AG16"/>
  <c r="AL16"/>
  <c r="AQ16"/>
  <c r="D17"/>
  <c r="G4" i="18" s="1"/>
  <c r="W35" s="1"/>
  <c r="I17" i="19"/>
  <c r="G5" i="18" s="1"/>
  <c r="N17" i="19"/>
  <c r="G6" i="18" s="1"/>
  <c r="S17" i="19"/>
  <c r="G7" i="18" s="1"/>
  <c r="U17" i="19"/>
  <c r="AC38" i="18" s="1"/>
  <c r="X38" s="1"/>
  <c r="Z38" s="1"/>
  <c r="Z17" i="19"/>
  <c r="G14" i="18" s="1"/>
  <c r="AE17" i="19"/>
  <c r="G17" i="18" s="1"/>
  <c r="AJ17" i="19"/>
  <c r="G18" i="18" s="1"/>
  <c r="AO17" i="19"/>
  <c r="G19" i="18" s="1"/>
  <c r="AQ17" i="19"/>
  <c r="L21"/>
  <c r="H15" i="18" s="1"/>
  <c r="Q21" i="19"/>
  <c r="H16" i="18" s="1"/>
  <c r="U47" s="1"/>
  <c r="F23" i="19"/>
  <c r="K23"/>
  <c r="P23"/>
  <c r="U23"/>
  <c r="AB23"/>
  <c r="AG23"/>
  <c r="AL23"/>
  <c r="AQ23"/>
  <c r="F24"/>
  <c r="K24"/>
  <c r="P24"/>
  <c r="U24"/>
  <c r="AB24"/>
  <c r="AG24"/>
  <c r="AL24"/>
  <c r="AQ24"/>
  <c r="F25"/>
  <c r="K25"/>
  <c r="P25"/>
  <c r="U25"/>
  <c r="AB25"/>
  <c r="AG25"/>
  <c r="AL25"/>
  <c r="AQ25"/>
  <c r="F26"/>
  <c r="K26"/>
  <c r="P26"/>
  <c r="U26"/>
  <c r="AB26"/>
  <c r="AG26"/>
  <c r="AL26"/>
  <c r="AQ26"/>
  <c r="F27"/>
  <c r="K27"/>
  <c r="P27"/>
  <c r="U27"/>
  <c r="AB27"/>
  <c r="AG27"/>
  <c r="AL27"/>
  <c r="AQ27"/>
  <c r="F28"/>
  <c r="K28"/>
  <c r="P28"/>
  <c r="U28"/>
  <c r="AB28"/>
  <c r="AG28"/>
  <c r="AL28"/>
  <c r="AQ28"/>
  <c r="F29"/>
  <c r="K29"/>
  <c r="P29"/>
  <c r="U29"/>
  <c r="AB29"/>
  <c r="AG29"/>
  <c r="AL29"/>
  <c r="AQ29"/>
  <c r="F30"/>
  <c r="K30"/>
  <c r="P30"/>
  <c r="U30"/>
  <c r="AB30"/>
  <c r="AG30"/>
  <c r="AL30"/>
  <c r="AQ30"/>
  <c r="F31"/>
  <c r="K31"/>
  <c r="P31"/>
  <c r="U31"/>
  <c r="AB31"/>
  <c r="AG31"/>
  <c r="AL31"/>
  <c r="AQ31"/>
  <c r="F32"/>
  <c r="K32"/>
  <c r="P32"/>
  <c r="U32"/>
  <c r="AB32"/>
  <c r="AG32"/>
  <c r="AL32"/>
  <c r="AQ32"/>
  <c r="F33"/>
  <c r="K33"/>
  <c r="P33"/>
  <c r="U33"/>
  <c r="AB33"/>
  <c r="AG33"/>
  <c r="AL33"/>
  <c r="AQ33"/>
  <c r="F34"/>
  <c r="K34"/>
  <c r="P34"/>
  <c r="U34"/>
  <c r="AB34"/>
  <c r="AG34"/>
  <c r="AL34"/>
  <c r="AQ34"/>
  <c r="D35"/>
  <c r="G12" i="18" s="1"/>
  <c r="I35" i="19"/>
  <c r="N35"/>
  <c r="G15" i="18" s="1"/>
  <c r="S35" i="19"/>
  <c r="G16" i="18" s="1"/>
  <c r="Z35" i="19"/>
  <c r="AE35"/>
  <c r="G9" i="18" s="1"/>
  <c r="AJ35" i="19"/>
  <c r="G10" i="18" s="1"/>
  <c r="AO35" i="19"/>
  <c r="G11" i="18" s="1"/>
  <c r="H4"/>
  <c r="K4"/>
  <c r="O4"/>
  <c r="S4"/>
  <c r="W4"/>
  <c r="AA4"/>
  <c r="AF35" s="1"/>
  <c r="AH35" s="1"/>
  <c r="AJ35" s="1"/>
  <c r="S35" s="1"/>
  <c r="AE4"/>
  <c r="AI4"/>
  <c r="AM4"/>
  <c r="AQ4"/>
  <c r="AU4"/>
  <c r="AY4"/>
  <c r="BC4"/>
  <c r="H5"/>
  <c r="K5"/>
  <c r="O5"/>
  <c r="S5"/>
  <c r="W5"/>
  <c r="AA5"/>
  <c r="AF36" s="1"/>
  <c r="AH36" s="1"/>
  <c r="AJ36" s="1"/>
  <c r="S36" s="1"/>
  <c r="AE5"/>
  <c r="AI5"/>
  <c r="Q36" s="1"/>
  <c r="AM5"/>
  <c r="AQ5"/>
  <c r="AU5"/>
  <c r="AY5"/>
  <c r="BC5"/>
  <c r="H6"/>
  <c r="K6"/>
  <c r="O6"/>
  <c r="S6"/>
  <c r="W6"/>
  <c r="AA6"/>
  <c r="AF37" s="1"/>
  <c r="AH37" s="1"/>
  <c r="AJ37" s="1"/>
  <c r="S37" s="1"/>
  <c r="AE6"/>
  <c r="AI6"/>
  <c r="AM6"/>
  <c r="AQ6"/>
  <c r="AU6"/>
  <c r="AY6"/>
  <c r="BC6"/>
  <c r="H7"/>
  <c r="K7"/>
  <c r="O7"/>
  <c r="S7"/>
  <c r="W7"/>
  <c r="AA7"/>
  <c r="AF38" s="1"/>
  <c r="AH38" s="1"/>
  <c r="AJ38" s="1"/>
  <c r="S38" s="1"/>
  <c r="AE7"/>
  <c r="AI7"/>
  <c r="AM7"/>
  <c r="AQ7"/>
  <c r="AU7"/>
  <c r="AY7"/>
  <c r="BC7"/>
  <c r="G8"/>
  <c r="H8"/>
  <c r="K8"/>
  <c r="O8"/>
  <c r="S8"/>
  <c r="W8"/>
  <c r="AA8"/>
  <c r="AF39" s="1"/>
  <c r="AH39" s="1"/>
  <c r="AJ39" s="1"/>
  <c r="S39" s="1"/>
  <c r="AE8"/>
  <c r="AI8"/>
  <c r="AM8"/>
  <c r="AQ8"/>
  <c r="AU8"/>
  <c r="AY8"/>
  <c r="BC8"/>
  <c r="H9"/>
  <c r="K9"/>
  <c r="O9"/>
  <c r="S9"/>
  <c r="W9"/>
  <c r="AA9"/>
  <c r="AF40" s="1"/>
  <c r="AH40" s="1"/>
  <c r="AJ40" s="1"/>
  <c r="S40" s="1"/>
  <c r="AE9"/>
  <c r="AI9"/>
  <c r="AM9"/>
  <c r="AQ9"/>
  <c r="AU9"/>
  <c r="AY9"/>
  <c r="BC9"/>
  <c r="H10"/>
  <c r="K10"/>
  <c r="O10"/>
  <c r="S10"/>
  <c r="W10"/>
  <c r="AA10"/>
  <c r="AF41" s="1"/>
  <c r="AH41" s="1"/>
  <c r="AJ41" s="1"/>
  <c r="S41" s="1"/>
  <c r="AE10"/>
  <c r="AI10"/>
  <c r="Q41" s="1"/>
  <c r="AM10"/>
  <c r="AQ10"/>
  <c r="AU10"/>
  <c r="AY10"/>
  <c r="BC10"/>
  <c r="H11"/>
  <c r="K11"/>
  <c r="O11"/>
  <c r="S11"/>
  <c r="W11"/>
  <c r="AA11"/>
  <c r="AF42" s="1"/>
  <c r="AH42" s="1"/>
  <c r="AJ42" s="1"/>
  <c r="S42" s="1"/>
  <c r="AE11"/>
  <c r="AI11"/>
  <c r="AM11"/>
  <c r="AQ11"/>
  <c r="AU11"/>
  <c r="AY11"/>
  <c r="BC11"/>
  <c r="H12"/>
  <c r="O12"/>
  <c r="S12"/>
  <c r="W12"/>
  <c r="AA12"/>
  <c r="AF43" s="1"/>
  <c r="AH43" s="1"/>
  <c r="AJ43" s="1"/>
  <c r="S43" s="1"/>
  <c r="AE12"/>
  <c r="AI12"/>
  <c r="AM12"/>
  <c r="AQ12"/>
  <c r="AU12"/>
  <c r="AY12"/>
  <c r="BC12"/>
  <c r="G13"/>
  <c r="H13"/>
  <c r="K13"/>
  <c r="O13"/>
  <c r="S13"/>
  <c r="W13"/>
  <c r="AA13"/>
  <c r="AF44" s="1"/>
  <c r="AH44" s="1"/>
  <c r="AJ44" s="1"/>
  <c r="S44" s="1"/>
  <c r="AE13"/>
  <c r="AI13"/>
  <c r="Q44" s="1"/>
  <c r="AM13"/>
  <c r="AQ13"/>
  <c r="AU13"/>
  <c r="AY13"/>
  <c r="BC13"/>
  <c r="H14"/>
  <c r="K14"/>
  <c r="O14"/>
  <c r="S14"/>
  <c r="W14"/>
  <c r="O15"/>
  <c r="S15"/>
  <c r="W15"/>
  <c r="AA15"/>
  <c r="AF46" s="1"/>
  <c r="AH46" s="1"/>
  <c r="AJ46" s="1"/>
  <c r="S46" s="1"/>
  <c r="AE15"/>
  <c r="AI15"/>
  <c r="AM15"/>
  <c r="AQ15"/>
  <c r="AU15"/>
  <c r="AY15"/>
  <c r="BC15"/>
  <c r="O16"/>
  <c r="S16"/>
  <c r="W16"/>
  <c r="AA16"/>
  <c r="AF47" s="1"/>
  <c r="AH47" s="1"/>
  <c r="AJ47" s="1"/>
  <c r="S47" s="1"/>
  <c r="AE16"/>
  <c r="AI16"/>
  <c r="AM16"/>
  <c r="AQ16"/>
  <c r="AU16"/>
  <c r="AY16"/>
  <c r="BC16"/>
  <c r="O17"/>
  <c r="S17"/>
  <c r="W17"/>
  <c r="AA17"/>
  <c r="AF48" s="1"/>
  <c r="AH48" s="1"/>
  <c r="AJ48" s="1"/>
  <c r="S48" s="1"/>
  <c r="AE17"/>
  <c r="AI17"/>
  <c r="AM17"/>
  <c r="AQ17"/>
  <c r="AU17"/>
  <c r="AY17"/>
  <c r="BC17"/>
  <c r="O18"/>
  <c r="S18"/>
  <c r="W18"/>
  <c r="AA18"/>
  <c r="AF49" s="1"/>
  <c r="AH49" s="1"/>
  <c r="AJ49" s="1"/>
  <c r="S49" s="1"/>
  <c r="AE18"/>
  <c r="AI18"/>
  <c r="Q49" s="1"/>
  <c r="AM18"/>
  <c r="AQ18"/>
  <c r="AU18"/>
  <c r="AY18"/>
  <c r="BC18"/>
  <c r="BI18"/>
  <c r="BH27" s="1"/>
  <c r="H19"/>
  <c r="O19"/>
  <c r="S19"/>
  <c r="W19"/>
  <c r="AA19"/>
  <c r="AE19"/>
  <c r="AI19"/>
  <c r="AM19"/>
  <c r="AQ19"/>
  <c r="AU19"/>
  <c r="AY19"/>
  <c r="BC19"/>
  <c r="I21"/>
  <c r="M21"/>
  <c r="Q21"/>
  <c r="U21"/>
  <c r="Y21"/>
  <c r="AC21"/>
  <c r="AG21"/>
  <c r="AK21"/>
  <c r="AO21"/>
  <c r="AS21"/>
  <c r="AW21"/>
  <c r="BA21"/>
  <c r="J23"/>
  <c r="K23"/>
  <c r="BK20" s="1"/>
  <c r="BL20" s="1"/>
  <c r="N23"/>
  <c r="P23"/>
  <c r="O23" s="1"/>
  <c r="BK21" s="1"/>
  <c r="BL21" s="1"/>
  <c r="R23"/>
  <c r="T23"/>
  <c r="S23" s="1"/>
  <c r="BK22" s="1"/>
  <c r="V23"/>
  <c r="W23"/>
  <c r="BK23" s="1"/>
  <c r="Z23"/>
  <c r="AA23"/>
  <c r="BK24" s="1"/>
  <c r="AD23"/>
  <c r="AH23"/>
  <c r="AL23"/>
  <c r="AP23"/>
  <c r="AT23"/>
  <c r="AX23"/>
  <c r="BB23"/>
  <c r="BI26"/>
  <c r="BI25" s="1"/>
  <c r="M27"/>
  <c r="Q27"/>
  <c r="U27"/>
  <c r="Y27"/>
  <c r="L30"/>
  <c r="P30"/>
  <c r="T30"/>
  <c r="X30"/>
  <c r="AB30"/>
  <c r="AF30"/>
  <c r="AJ30"/>
  <c r="AN30"/>
  <c r="AR30"/>
  <c r="AV30"/>
  <c r="AZ30"/>
  <c r="BD30"/>
  <c r="L31"/>
  <c r="P31"/>
  <c r="T31"/>
  <c r="X31"/>
  <c r="AB31"/>
  <c r="AF31"/>
  <c r="AJ31"/>
  <c r="AN31"/>
  <c r="AR31"/>
  <c r="AV31"/>
  <c r="AZ31"/>
  <c r="BD31"/>
  <c r="BG50"/>
  <c r="BI50"/>
  <c r="BI51" s="1"/>
  <c r="BI52" s="1"/>
  <c r="BI53" s="1"/>
  <c r="BI54" s="1"/>
  <c r="BI55" s="1"/>
  <c r="BI56" s="1"/>
  <c r="BI57" s="1"/>
  <c r="BI58" s="1"/>
  <c r="BI59" s="1"/>
  <c r="BI60" s="1"/>
  <c r="BI61" s="1"/>
  <c r="BI62" s="1"/>
  <c r="BI63" s="1"/>
  <c r="BI64" s="1"/>
  <c r="BI65" s="1"/>
  <c r="BI66" s="1"/>
  <c r="BI67" s="1"/>
  <c r="BI68" s="1"/>
  <c r="BI69" s="1"/>
  <c r="BI70" s="1"/>
  <c r="BI71" s="1"/>
  <c r="BI72" s="1"/>
  <c r="BI73" s="1"/>
  <c r="BI74" s="1"/>
  <c r="BI75" s="1"/>
  <c r="BI76" s="1"/>
  <c r="BI77" s="1"/>
  <c r="BI78" s="1"/>
  <c r="BI79" s="1"/>
  <c r="BI80" s="1"/>
  <c r="BI81" s="1"/>
  <c r="BI82" s="1"/>
  <c r="BI83" s="1"/>
  <c r="BI84" s="1"/>
  <c r="BI85" s="1"/>
  <c r="BI86" s="1"/>
  <c r="BI87" s="1"/>
  <c r="BI88" s="1"/>
  <c r="BI89" s="1"/>
  <c r="BI90" s="1"/>
  <c r="BI91" s="1"/>
  <c r="BI92" s="1"/>
  <c r="BI93" s="1"/>
  <c r="BI94" s="1"/>
  <c r="BI95" s="1"/>
  <c r="BI96" s="1"/>
  <c r="BI97" s="1"/>
  <c r="BI98" s="1"/>
  <c r="BI99" s="1"/>
  <c r="BI100" s="1"/>
  <c r="BI101" s="1"/>
  <c r="BI102" s="1"/>
  <c r="BI103" s="1"/>
  <c r="BI104" s="1"/>
  <c r="BI105" s="1"/>
  <c r="BI106" s="1"/>
  <c r="BI107" s="1"/>
  <c r="BI108" s="1"/>
  <c r="BI109" s="1"/>
  <c r="BI110" s="1"/>
  <c r="BI111" s="1"/>
  <c r="BI112" s="1"/>
  <c r="BI113" s="1"/>
  <c r="BI114" s="1"/>
  <c r="BI115" s="1"/>
  <c r="BI116" s="1"/>
  <c r="BI117" s="1"/>
  <c r="BI118" s="1"/>
  <c r="BI119" s="1"/>
  <c r="BI120" s="1"/>
  <c r="BI121" s="1"/>
  <c r="BI122" s="1"/>
  <c r="BI123" s="1"/>
  <c r="BI124" s="1"/>
  <c r="BI125" s="1"/>
  <c r="BI126" s="1"/>
  <c r="BI127" s="1"/>
  <c r="BI128" s="1"/>
  <c r="BI129" s="1"/>
  <c r="BI130" s="1"/>
  <c r="BI131" s="1"/>
  <c r="BI132" s="1"/>
  <c r="BI133" s="1"/>
  <c r="BI134" s="1"/>
  <c r="BI135" s="1"/>
  <c r="BI136" s="1"/>
  <c r="BI137" s="1"/>
  <c r="BI138" s="1"/>
  <c r="BI139" s="1"/>
  <c r="BI140" s="1"/>
  <c r="BI141" s="1"/>
  <c r="BI142" s="1"/>
  <c r="BI143" s="1"/>
  <c r="BI144" s="1"/>
  <c r="BI145" s="1"/>
  <c r="BI146" s="1"/>
  <c r="BI147" s="1"/>
  <c r="BI148" s="1"/>
  <c r="BI149" s="1"/>
  <c r="BI150" s="1"/>
  <c r="BI151" s="1"/>
  <c r="BI152" s="1"/>
  <c r="BI153" s="1"/>
  <c r="BI154" s="1"/>
  <c r="BI155" s="1"/>
  <c r="BI156" s="1"/>
  <c r="BI157" s="1"/>
  <c r="BI158" s="1"/>
  <c r="BI159" s="1"/>
  <c r="BI160" s="1"/>
  <c r="BI161" s="1"/>
  <c r="BI162" s="1"/>
  <c r="BI163" s="1"/>
  <c r="BI164" s="1"/>
  <c r="BI165" s="1"/>
  <c r="BI166" s="1"/>
  <c r="BI167" s="1"/>
  <c r="BI168" s="1"/>
  <c r="BI169" s="1"/>
  <c r="BI170" s="1"/>
  <c r="BI171" s="1"/>
  <c r="BI172" s="1"/>
  <c r="BI173" s="1"/>
  <c r="BI174" s="1"/>
  <c r="BI175" s="1"/>
  <c r="BI176" s="1"/>
  <c r="BI177" s="1"/>
  <c r="BI178" s="1"/>
  <c r="BI179" s="1"/>
  <c r="BI180" s="1"/>
  <c r="BI181" s="1"/>
  <c r="BI182" s="1"/>
  <c r="BI183" s="1"/>
  <c r="BI184" s="1"/>
  <c r="BI185" s="1"/>
  <c r="BI186" s="1"/>
  <c r="BI187" s="1"/>
  <c r="BI188" s="1"/>
  <c r="BI189" s="1"/>
  <c r="BI190" s="1"/>
  <c r="BI191" s="1"/>
  <c r="BI192" s="1"/>
  <c r="BI193" s="1"/>
  <c r="BI194" s="1"/>
  <c r="BI195" s="1"/>
  <c r="BI196" s="1"/>
  <c r="BI197" s="1"/>
  <c r="BI198" s="1"/>
  <c r="BI199" s="1"/>
  <c r="BI200" s="1"/>
  <c r="BI201" s="1"/>
  <c r="BI202" s="1"/>
  <c r="BI203" s="1"/>
  <c r="BI204" s="1"/>
  <c r="BI205" s="1"/>
  <c r="BI206" s="1"/>
  <c r="BI207" s="1"/>
  <c r="BI208" s="1"/>
  <c r="BI209" s="1"/>
  <c r="BI210" s="1"/>
  <c r="BI211" s="1"/>
  <c r="BI212" s="1"/>
  <c r="BI213" s="1"/>
  <c r="BI214" s="1"/>
  <c r="BI215" s="1"/>
  <c r="BI216" s="1"/>
  <c r="BI217" s="1"/>
  <c r="BI218" s="1"/>
  <c r="BI219" s="1"/>
  <c r="BI220" s="1"/>
  <c r="BI221" s="1"/>
  <c r="BI222" s="1"/>
  <c r="BI223" s="1"/>
  <c r="BI224" s="1"/>
  <c r="BI225" s="1"/>
  <c r="BI226" s="1"/>
  <c r="BI227" s="1"/>
  <c r="BI228" s="1"/>
  <c r="BI229" s="1"/>
  <c r="BI230" s="1"/>
  <c r="BI231" s="1"/>
  <c r="BI232" s="1"/>
  <c r="BI233" s="1"/>
  <c r="BI234" s="1"/>
  <c r="BI235" s="1"/>
  <c r="BI236" s="1"/>
  <c r="BI237" s="1"/>
  <c r="BI238" s="1"/>
  <c r="BI239" s="1"/>
  <c r="BI240" s="1"/>
  <c r="BI241" s="1"/>
  <c r="BI242" s="1"/>
  <c r="BI243" s="1"/>
  <c r="BI244" s="1"/>
  <c r="BI245" s="1"/>
  <c r="BI246" s="1"/>
  <c r="BI247" s="1"/>
  <c r="BI248" s="1"/>
  <c r="BI249" s="1"/>
  <c r="BI250" s="1"/>
  <c r="BI251" s="1"/>
  <c r="BI252" s="1"/>
  <c r="BI253" s="1"/>
  <c r="BI254" s="1"/>
  <c r="BI255" s="1"/>
  <c r="BI256" s="1"/>
  <c r="BI257" s="1"/>
  <c r="BI258" s="1"/>
  <c r="BI259" s="1"/>
  <c r="BI260" s="1"/>
  <c r="BI261" s="1"/>
  <c r="BI262" s="1"/>
  <c r="BI263" s="1"/>
  <c r="BI264" s="1"/>
  <c r="BI265" s="1"/>
  <c r="BI266" s="1"/>
  <c r="BI267" s="1"/>
  <c r="BI268" s="1"/>
  <c r="BI269" s="1"/>
  <c r="BI270" s="1"/>
  <c r="BI271" s="1"/>
  <c r="BI272" s="1"/>
  <c r="BI273" s="1"/>
  <c r="BI274" s="1"/>
  <c r="BI275" s="1"/>
  <c r="BI276" s="1"/>
  <c r="BI277" s="1"/>
  <c r="BI278" s="1"/>
  <c r="BI279" s="1"/>
  <c r="BI280" s="1"/>
  <c r="BI281" s="1"/>
  <c r="BI282" s="1"/>
  <c r="BI283" s="1"/>
  <c r="BI284" s="1"/>
  <c r="BI285" s="1"/>
  <c r="BI286" s="1"/>
  <c r="BI287" s="1"/>
  <c r="BI288" s="1"/>
  <c r="BI289" s="1"/>
  <c r="BI290" s="1"/>
  <c r="BI291" s="1"/>
  <c r="BI292" s="1"/>
  <c r="BI293" s="1"/>
  <c r="BI294" s="1"/>
  <c r="BI295" s="1"/>
  <c r="BI296" s="1"/>
  <c r="BI297" s="1"/>
  <c r="BI298" s="1"/>
  <c r="BI299" s="1"/>
  <c r="BI300" s="1"/>
  <c r="BI301" s="1"/>
  <c r="BI302" s="1"/>
  <c r="BI303" s="1"/>
  <c r="BI304" s="1"/>
  <c r="BI305" s="1"/>
  <c r="BI306" s="1"/>
  <c r="BI307" s="1"/>
  <c r="BI308" s="1"/>
  <c r="BI309" s="1"/>
  <c r="BI310" s="1"/>
  <c r="BI311" s="1"/>
  <c r="BI312" s="1"/>
  <c r="BI313" s="1"/>
  <c r="BI314" s="1"/>
  <c r="BI315" s="1"/>
  <c r="BI316" s="1"/>
  <c r="BI317" s="1"/>
  <c r="BI318" s="1"/>
  <c r="BI319" s="1"/>
  <c r="BI320" s="1"/>
  <c r="BI321" s="1"/>
  <c r="BI322" s="1"/>
  <c r="BI323" s="1"/>
  <c r="BI324" s="1"/>
  <c r="BI325" s="1"/>
  <c r="BI326" s="1"/>
  <c r="BI327" s="1"/>
  <c r="BI328" s="1"/>
  <c r="BI329" s="1"/>
  <c r="BI330" s="1"/>
  <c r="BI331" s="1"/>
  <c r="BI332" s="1"/>
  <c r="BI333" s="1"/>
  <c r="BI334" s="1"/>
  <c r="BI335" s="1"/>
  <c r="BI336" s="1"/>
  <c r="BI337" s="1"/>
  <c r="BI338" s="1"/>
  <c r="BI339" s="1"/>
  <c r="BI340" s="1"/>
  <c r="BI341" s="1"/>
  <c r="BI342" s="1"/>
  <c r="BI343" s="1"/>
  <c r="BI344" s="1"/>
  <c r="BI345" s="1"/>
  <c r="BI346" s="1"/>
  <c r="BI347" s="1"/>
  <c r="BI348" s="1"/>
  <c r="BI349" s="1"/>
  <c r="BI350" s="1"/>
  <c r="BI351" s="1"/>
  <c r="BI352" s="1"/>
  <c r="BI353" s="1"/>
  <c r="BI354" s="1"/>
  <c r="BI355" s="1"/>
  <c r="BI356" s="1"/>
  <c r="BI357" s="1"/>
  <c r="BI358" s="1"/>
  <c r="BI359" s="1"/>
  <c r="BI360" s="1"/>
  <c r="BI361" s="1"/>
  <c r="BI362" s="1"/>
  <c r="BI363" s="1"/>
  <c r="BI364" s="1"/>
  <c r="BI365" s="1"/>
  <c r="BI366" s="1"/>
  <c r="BI367" s="1"/>
  <c r="BI368" s="1"/>
  <c r="BI369" s="1"/>
  <c r="BI370" s="1"/>
  <c r="BI371" s="1"/>
  <c r="BI372" s="1"/>
  <c r="BI373" s="1"/>
  <c r="BI374" s="1"/>
  <c r="BI375" s="1"/>
  <c r="BI376" s="1"/>
  <c r="BI377" s="1"/>
  <c r="BI378" s="1"/>
  <c r="BI379" s="1"/>
  <c r="BI380" s="1"/>
  <c r="BI381" s="1"/>
  <c r="BI382" s="1"/>
  <c r="BI383" s="1"/>
  <c r="BI384" s="1"/>
  <c r="BI385" s="1"/>
  <c r="BI386" s="1"/>
  <c r="BI387" s="1"/>
  <c r="BI388" s="1"/>
  <c r="BI389" s="1"/>
  <c r="BI390" s="1"/>
  <c r="BI391" s="1"/>
  <c r="BI392" s="1"/>
  <c r="BI393" s="1"/>
  <c r="BI394" s="1"/>
  <c r="BI395" s="1"/>
  <c r="BI396" s="1"/>
  <c r="BI397" s="1"/>
  <c r="BI398" s="1"/>
  <c r="BI399" s="1"/>
  <c r="BI400" s="1"/>
  <c r="BI401" s="1"/>
  <c r="BI402" s="1"/>
  <c r="BI403" s="1"/>
  <c r="BI404" s="1"/>
  <c r="BI405" s="1"/>
  <c r="BI406" s="1"/>
  <c r="BI407" s="1"/>
  <c r="BI408" s="1"/>
  <c r="BI409" s="1"/>
  <c r="BI410" s="1"/>
  <c r="BI411" s="1"/>
  <c r="BI412" s="1"/>
  <c r="BI413" s="1"/>
  <c r="BI414" s="1"/>
  <c r="BI415" s="1"/>
  <c r="BI416" s="1"/>
  <c r="BI417" s="1"/>
  <c r="BI418" s="1"/>
  <c r="BI419" s="1"/>
  <c r="BI420" s="1"/>
  <c r="BI421" s="1"/>
  <c r="BI422" s="1"/>
  <c r="BI423" s="1"/>
  <c r="BI424" s="1"/>
  <c r="BI425" s="1"/>
  <c r="BI426" s="1"/>
  <c r="BI427" s="1"/>
  <c r="BI428" s="1"/>
  <c r="BI429" s="1"/>
  <c r="BI430" s="1"/>
  <c r="BI431" s="1"/>
  <c r="BI432" s="1"/>
  <c r="BI433" s="1"/>
  <c r="BI434" s="1"/>
  <c r="BI435" s="1"/>
  <c r="BI436" s="1"/>
  <c r="BI437" s="1"/>
  <c r="BI438" s="1"/>
  <c r="BI439" s="1"/>
  <c r="BI440" s="1"/>
  <c r="BI441" s="1"/>
  <c r="BI442" s="1"/>
  <c r="BI443" s="1"/>
  <c r="BI444" s="1"/>
  <c r="BI445" s="1"/>
  <c r="BI446" s="1"/>
  <c r="BI447" s="1"/>
  <c r="BI448" s="1"/>
  <c r="BI449" s="1"/>
  <c r="BI450" s="1"/>
  <c r="BI451" s="1"/>
  <c r="BI452" s="1"/>
  <c r="BI453" s="1"/>
  <c r="BI454" s="1"/>
  <c r="BI455" s="1"/>
  <c r="BI456" s="1"/>
  <c r="BI457" s="1"/>
  <c r="BI458" s="1"/>
  <c r="BI459" s="1"/>
  <c r="BI460" s="1"/>
  <c r="BI461" s="1"/>
  <c r="BI462" s="1"/>
  <c r="BI463" s="1"/>
  <c r="BI464" s="1"/>
  <c r="BI465" s="1"/>
  <c r="BI466" s="1"/>
  <c r="BI467" s="1"/>
  <c r="BI468" s="1"/>
  <c r="BI469" s="1"/>
  <c r="BI470" s="1"/>
  <c r="BI471" s="1"/>
  <c r="BI472" s="1"/>
  <c r="BI473" s="1"/>
  <c r="BI474" s="1"/>
  <c r="BI475" s="1"/>
  <c r="BI476" s="1"/>
  <c r="BI477" s="1"/>
  <c r="BI478" s="1"/>
  <c r="BI479" s="1"/>
  <c r="BI480" s="1"/>
  <c r="BI481" s="1"/>
  <c r="BI482" s="1"/>
  <c r="BI483" s="1"/>
  <c r="BI484" s="1"/>
  <c r="BI485" s="1"/>
  <c r="BI486" s="1"/>
  <c r="BI487" s="1"/>
  <c r="BI488" s="1"/>
  <c r="BI489" s="1"/>
  <c r="BI490" s="1"/>
  <c r="BI491" s="1"/>
  <c r="BI492" s="1"/>
  <c r="BI493" s="1"/>
  <c r="BI494" s="1"/>
  <c r="BI495" s="1"/>
  <c r="BI496" s="1"/>
  <c r="BI497" s="1"/>
  <c r="BI498" s="1"/>
  <c r="BI499" s="1"/>
  <c r="BI500" s="1"/>
  <c r="BI501" s="1"/>
  <c r="BI502" s="1"/>
  <c r="BI503" s="1"/>
  <c r="BI504" s="1"/>
  <c r="BI505" s="1"/>
  <c r="BI506" s="1"/>
  <c r="BI507" s="1"/>
  <c r="BI508" s="1"/>
  <c r="BI509" s="1"/>
  <c r="BI510" s="1"/>
  <c r="BI511" s="1"/>
  <c r="BI512" s="1"/>
  <c r="BI513" s="1"/>
  <c r="BI514" s="1"/>
  <c r="BI515" s="1"/>
  <c r="BI516" s="1"/>
  <c r="BI517" s="1"/>
  <c r="BI518" s="1"/>
  <c r="BI519" s="1"/>
  <c r="BI520" s="1"/>
  <c r="BI521" s="1"/>
  <c r="BI522" s="1"/>
  <c r="BI523" s="1"/>
  <c r="BI524" s="1"/>
  <c r="BI525" s="1"/>
  <c r="BI526" s="1"/>
  <c r="BI527" s="1"/>
  <c r="BI528" s="1"/>
  <c r="BI529" s="1"/>
  <c r="BI530" s="1"/>
  <c r="BI531" s="1"/>
  <c r="BI532" s="1"/>
  <c r="BI533" s="1"/>
  <c r="BI534" s="1"/>
  <c r="BI535" s="1"/>
  <c r="BI536" s="1"/>
  <c r="BI537" s="1"/>
  <c r="BI538" s="1"/>
  <c r="BI539" s="1"/>
  <c r="BI540" s="1"/>
  <c r="BI541" s="1"/>
  <c r="BI542" s="1"/>
  <c r="BI543" s="1"/>
  <c r="BI544" s="1"/>
  <c r="BI545" s="1"/>
  <c r="BI546" s="1"/>
  <c r="BI547" s="1"/>
  <c r="BI548" s="1"/>
  <c r="BI549" s="1"/>
  <c r="BI550" s="1"/>
  <c r="BI551" s="1"/>
  <c r="BI552" s="1"/>
  <c r="BI553" s="1"/>
  <c r="BI554" s="1"/>
  <c r="BI555" s="1"/>
  <c r="BI556" s="1"/>
  <c r="BI557" s="1"/>
  <c r="BI558" s="1"/>
  <c r="BI559" s="1"/>
  <c r="BI560" s="1"/>
  <c r="BI561" s="1"/>
  <c r="BI562" s="1"/>
  <c r="BI563" s="1"/>
  <c r="BI564" s="1"/>
  <c r="BI565" s="1"/>
  <c r="BI566" s="1"/>
  <c r="BI567" s="1"/>
  <c r="BI568" s="1"/>
  <c r="BI569" s="1"/>
  <c r="BI570" s="1"/>
  <c r="BI571" s="1"/>
  <c r="BI572" s="1"/>
  <c r="BI573" s="1"/>
  <c r="BI574" s="1"/>
  <c r="BI575" s="1"/>
  <c r="BI576" s="1"/>
  <c r="BI577" s="1"/>
  <c r="BI578" s="1"/>
  <c r="BI579" s="1"/>
  <c r="BI580" s="1"/>
  <c r="BI581" s="1"/>
  <c r="BI582" s="1"/>
  <c r="BI583" s="1"/>
  <c r="BI584" s="1"/>
  <c r="BI585" s="1"/>
  <c r="BI586" s="1"/>
  <c r="BI587" s="1"/>
  <c r="BI588" s="1"/>
  <c r="BI589" s="1"/>
  <c r="BI590" s="1"/>
  <c r="BI591" s="1"/>
  <c r="BI592" s="1"/>
  <c r="BI593" s="1"/>
  <c r="BI594" s="1"/>
  <c r="BI595" s="1"/>
  <c r="BI596" s="1"/>
  <c r="BI597" s="1"/>
  <c r="BI598" s="1"/>
  <c r="BI599" s="1"/>
  <c r="BI600" s="1"/>
  <c r="BI601" s="1"/>
  <c r="BI602" s="1"/>
  <c r="BI603" s="1"/>
  <c r="BI604" s="1"/>
  <c r="BI605" s="1"/>
  <c r="BI606" s="1"/>
  <c r="BI607" s="1"/>
  <c r="BI608" s="1"/>
  <c r="BI609" s="1"/>
  <c r="BI610" s="1"/>
  <c r="BI611" s="1"/>
  <c r="BI612" s="1"/>
  <c r="BI613" s="1"/>
  <c r="BI614" s="1"/>
  <c r="BI615" s="1"/>
  <c r="BI616" s="1"/>
  <c r="BI617" s="1"/>
  <c r="BI618" s="1"/>
  <c r="BI619" s="1"/>
  <c r="BI620" s="1"/>
  <c r="BI621" s="1"/>
  <c r="BI622" s="1"/>
  <c r="BI623" s="1"/>
  <c r="BI624" s="1"/>
  <c r="BI625" s="1"/>
  <c r="BI626" s="1"/>
  <c r="BI627" s="1"/>
  <c r="BI628" s="1"/>
  <c r="BI629" s="1"/>
  <c r="BI630" s="1"/>
  <c r="BI631" s="1"/>
  <c r="BI632" s="1"/>
  <c r="BI633" s="1"/>
  <c r="BI634" s="1"/>
  <c r="BI635" s="1"/>
  <c r="BI636" s="1"/>
  <c r="BI637" s="1"/>
  <c r="BI638" s="1"/>
  <c r="BI639" s="1"/>
  <c r="BI640" s="1"/>
  <c r="BI641" s="1"/>
  <c r="BI642" s="1"/>
  <c r="BI643" s="1"/>
  <c r="BI644" s="1"/>
  <c r="BI645" s="1"/>
  <c r="BI646" s="1"/>
  <c r="BI647" s="1"/>
  <c r="BI648" s="1"/>
  <c r="BI649" s="1"/>
  <c r="BI650" s="1"/>
  <c r="BI651" s="1"/>
  <c r="BI652" s="1"/>
  <c r="BI653" s="1"/>
  <c r="BI654" s="1"/>
  <c r="BI655" s="1"/>
  <c r="BI656" s="1"/>
  <c r="BI657" s="1"/>
  <c r="BI658" s="1"/>
  <c r="BI659" s="1"/>
  <c r="BI660" s="1"/>
  <c r="BI661" s="1"/>
  <c r="BI662" s="1"/>
  <c r="BI663" s="1"/>
  <c r="BI664" s="1"/>
  <c r="BI665" s="1"/>
  <c r="BI666" s="1"/>
  <c r="BI667" s="1"/>
  <c r="BI668" s="1"/>
  <c r="BI669" s="1"/>
  <c r="BI670" s="1"/>
  <c r="BI671" s="1"/>
  <c r="BI672" s="1"/>
  <c r="BI673" s="1"/>
  <c r="BI674" s="1"/>
  <c r="BI675" s="1"/>
  <c r="BI676" s="1"/>
  <c r="BI677" s="1"/>
  <c r="BI678" s="1"/>
  <c r="BI679" s="1"/>
  <c r="BI680" s="1"/>
  <c r="BI681" s="1"/>
  <c r="BI682" s="1"/>
  <c r="BI683" s="1"/>
  <c r="BI684" s="1"/>
  <c r="BI685" s="1"/>
  <c r="BI686" s="1"/>
  <c r="BI687" s="1"/>
  <c r="BI688" s="1"/>
  <c r="BI689" s="1"/>
  <c r="BI690" s="1"/>
  <c r="BI691" s="1"/>
  <c r="BI692" s="1"/>
  <c r="BI693" s="1"/>
  <c r="BI694" s="1"/>
  <c r="BI695" s="1"/>
  <c r="BI696" s="1"/>
  <c r="BI697" s="1"/>
  <c r="BI698" s="1"/>
  <c r="BI699" s="1"/>
  <c r="BI700" s="1"/>
  <c r="BI701" s="1"/>
  <c r="BI702" s="1"/>
  <c r="BI703" s="1"/>
  <c r="BI704" s="1"/>
  <c r="BI705" s="1"/>
  <c r="BI706" s="1"/>
  <c r="BI707" s="1"/>
  <c r="BI708" s="1"/>
  <c r="BI709" s="1"/>
  <c r="BI710" s="1"/>
  <c r="BI711" s="1"/>
  <c r="BI712" s="1"/>
  <c r="BI713" s="1"/>
  <c r="BI714" s="1"/>
  <c r="BI715" s="1"/>
  <c r="BI716" s="1"/>
  <c r="BI717" s="1"/>
  <c r="BI718" s="1"/>
  <c r="BI719" s="1"/>
  <c r="BI720" s="1"/>
  <c r="BI721" s="1"/>
  <c r="BI722" s="1"/>
  <c r="BI723" s="1"/>
  <c r="BI724" s="1"/>
  <c r="BI725" s="1"/>
  <c r="BI726" s="1"/>
  <c r="BI727" s="1"/>
  <c r="BI728" s="1"/>
  <c r="BI729" s="1"/>
  <c r="BI730" s="1"/>
  <c r="BI731" s="1"/>
  <c r="BI732" s="1"/>
  <c r="BI733" s="1"/>
  <c r="BI734" s="1"/>
  <c r="BI735" s="1"/>
  <c r="BI736" s="1"/>
  <c r="BI737" s="1"/>
  <c r="BI738" s="1"/>
  <c r="BI739" s="1"/>
  <c r="BI740" s="1"/>
  <c r="BI741" s="1"/>
  <c r="BI742" s="1"/>
  <c r="BI743" s="1"/>
  <c r="BI744" s="1"/>
  <c r="BI745" s="1"/>
  <c r="BI746" s="1"/>
  <c r="BI747" s="1"/>
  <c r="BI748" s="1"/>
  <c r="BI749" s="1"/>
  <c r="BI750" s="1"/>
  <c r="BI751" s="1"/>
  <c r="BI752" s="1"/>
  <c r="BI753" s="1"/>
  <c r="BI754" s="1"/>
  <c r="BI755" s="1"/>
  <c r="BI756" s="1"/>
  <c r="BI757" s="1"/>
  <c r="BI758" s="1"/>
  <c r="BI759" s="1"/>
  <c r="BI760" s="1"/>
  <c r="BI761" s="1"/>
  <c r="BI762" s="1"/>
  <c r="BI763" s="1"/>
  <c r="BI764" s="1"/>
  <c r="BI765" s="1"/>
  <c r="BI766" s="1"/>
  <c r="BI767" s="1"/>
  <c r="BI768" s="1"/>
  <c r="BI769" s="1"/>
  <c r="BI770" s="1"/>
  <c r="BI771" s="1"/>
  <c r="BI772" s="1"/>
  <c r="BI773" s="1"/>
  <c r="BI774" s="1"/>
  <c r="BI775" s="1"/>
  <c r="BI776" s="1"/>
  <c r="BI777" s="1"/>
  <c r="BI778" s="1"/>
  <c r="BI779" s="1"/>
  <c r="BI780" s="1"/>
  <c r="BI781" s="1"/>
  <c r="BI782" s="1"/>
  <c r="BI783" s="1"/>
  <c r="BI784" s="1"/>
  <c r="BI785" s="1"/>
  <c r="BI786" s="1"/>
  <c r="BI787" s="1"/>
  <c r="BI788" s="1"/>
  <c r="BI789" s="1"/>
  <c r="BI790" s="1"/>
  <c r="BI791" s="1"/>
  <c r="BI792" s="1"/>
  <c r="BI793" s="1"/>
  <c r="BI794" s="1"/>
  <c r="BI795" s="1"/>
  <c r="BI796" s="1"/>
  <c r="BI797" s="1"/>
  <c r="BI798" s="1"/>
  <c r="BI799" s="1"/>
  <c r="BI800" s="1"/>
  <c r="BI801" s="1"/>
  <c r="BI802" s="1"/>
  <c r="BI803" s="1"/>
  <c r="BI804" s="1"/>
  <c r="BI805" s="1"/>
  <c r="BI806" s="1"/>
  <c r="BI807" s="1"/>
  <c r="BI808" s="1"/>
  <c r="BI809" s="1"/>
  <c r="BI810" s="1"/>
  <c r="BI811" s="1"/>
  <c r="BI812" s="1"/>
  <c r="BI813" s="1"/>
  <c r="BI814" s="1"/>
  <c r="BI815" s="1"/>
  <c r="BI816" s="1"/>
  <c r="BI817" s="1"/>
  <c r="BI818" s="1"/>
  <c r="BI819" s="1"/>
  <c r="BI820" s="1"/>
  <c r="BI821" s="1"/>
  <c r="BI822" s="1"/>
  <c r="BI823" s="1"/>
  <c r="BI824" s="1"/>
  <c r="BI825" s="1"/>
  <c r="BI826" s="1"/>
  <c r="BI827" s="1"/>
  <c r="BI828" s="1"/>
  <c r="BI829" s="1"/>
  <c r="BI830" s="1"/>
  <c r="BI831" s="1"/>
  <c r="BI832" s="1"/>
  <c r="BI833" s="1"/>
  <c r="BI834" s="1"/>
  <c r="BI835" s="1"/>
  <c r="BI836" s="1"/>
  <c r="BI837" s="1"/>
  <c r="BI838" s="1"/>
  <c r="BI839" s="1"/>
  <c r="BI840" s="1"/>
  <c r="BI841" s="1"/>
  <c r="BI842" s="1"/>
  <c r="BI843" s="1"/>
  <c r="BI844" s="1"/>
  <c r="BI845" s="1"/>
  <c r="BI846" s="1"/>
  <c r="BI847" s="1"/>
  <c r="BI848" s="1"/>
  <c r="BI849" s="1"/>
  <c r="BI850" s="1"/>
  <c r="BI851" s="1"/>
  <c r="BI852" s="1"/>
  <c r="BI853" s="1"/>
  <c r="BI854" s="1"/>
  <c r="BI855" s="1"/>
  <c r="BI856" s="1"/>
  <c r="BI857" s="1"/>
  <c r="BI858" s="1"/>
  <c r="BI859" s="1"/>
  <c r="BI860" s="1"/>
  <c r="BI861" s="1"/>
  <c r="BI862" s="1"/>
  <c r="BI863" s="1"/>
  <c r="BI864" s="1"/>
  <c r="BI865" s="1"/>
  <c r="BI866" s="1"/>
  <c r="BI867" s="1"/>
  <c r="BI868" s="1"/>
  <c r="BI869" s="1"/>
  <c r="BI870" s="1"/>
  <c r="BI871" s="1"/>
  <c r="BI872" s="1"/>
  <c r="BI873" s="1"/>
  <c r="BI874" s="1"/>
  <c r="BI875" s="1"/>
  <c r="BI876" s="1"/>
  <c r="BI877" s="1"/>
  <c r="BI878" s="1"/>
  <c r="BI879" s="1"/>
  <c r="BI880" s="1"/>
  <c r="BI881" s="1"/>
  <c r="BI882" s="1"/>
  <c r="BI883" s="1"/>
  <c r="BI884" s="1"/>
  <c r="BI885" s="1"/>
  <c r="BI886" s="1"/>
  <c r="BI887" s="1"/>
  <c r="BI888" s="1"/>
  <c r="BI889" s="1"/>
  <c r="BI890" s="1"/>
  <c r="BI891" s="1"/>
  <c r="BI892" s="1"/>
  <c r="BI893" s="1"/>
  <c r="BI894" s="1"/>
  <c r="BI895" s="1"/>
  <c r="BI896" s="1"/>
  <c r="BI897" s="1"/>
  <c r="BI898" s="1"/>
  <c r="BI899" s="1"/>
  <c r="BI900" s="1"/>
  <c r="BI901" s="1"/>
  <c r="BI902" s="1"/>
  <c r="BI903" s="1"/>
  <c r="BI904" s="1"/>
  <c r="BI905" s="1"/>
  <c r="BI906" s="1"/>
  <c r="BI907" s="1"/>
  <c r="BI908" s="1"/>
  <c r="BI909" s="1"/>
  <c r="BI910" s="1"/>
  <c r="BI911" s="1"/>
  <c r="BI912" s="1"/>
  <c r="BI913" s="1"/>
  <c r="BI914" s="1"/>
  <c r="BI915" s="1"/>
  <c r="BI916" s="1"/>
  <c r="BI917" s="1"/>
  <c r="BI918" s="1"/>
  <c r="BI919" s="1"/>
  <c r="BI920" s="1"/>
  <c r="BI921" s="1"/>
  <c r="BI922" s="1"/>
  <c r="BI923" s="1"/>
  <c r="BI924" s="1"/>
  <c r="BI925" s="1"/>
  <c r="BI926" s="1"/>
  <c r="BI927" s="1"/>
  <c r="BI928" s="1"/>
  <c r="BI929" s="1"/>
  <c r="BI930" s="1"/>
  <c r="BI931" s="1"/>
  <c r="BI932" s="1"/>
  <c r="BI933" s="1"/>
  <c r="BI934" s="1"/>
  <c r="BI935" s="1"/>
  <c r="BI936" s="1"/>
  <c r="BI937" s="1"/>
  <c r="BI938" s="1"/>
  <c r="BI939" s="1"/>
  <c r="BI940" s="1"/>
  <c r="BI941" s="1"/>
  <c r="BI942" s="1"/>
  <c r="BI943" s="1"/>
  <c r="BI944" s="1"/>
  <c r="BI945" s="1"/>
  <c r="BI946" s="1"/>
  <c r="BI947" s="1"/>
  <c r="BI948" s="1"/>
  <c r="BI949" s="1"/>
  <c r="BI950" s="1"/>
  <c r="BI951" s="1"/>
  <c r="BI952" s="1"/>
  <c r="BI953" s="1"/>
  <c r="BI954" s="1"/>
  <c r="BI955" s="1"/>
  <c r="BI956" s="1"/>
  <c r="BI957" s="1"/>
  <c r="BI958" s="1"/>
  <c r="BI959" s="1"/>
  <c r="BI960" s="1"/>
  <c r="BI961" s="1"/>
  <c r="BI962" s="1"/>
  <c r="BI963" s="1"/>
  <c r="BI964" s="1"/>
  <c r="BI965" s="1"/>
  <c r="BI966" s="1"/>
  <c r="BI967" s="1"/>
  <c r="BI968" s="1"/>
  <c r="BI969" s="1"/>
  <c r="BI970" s="1"/>
  <c r="BI971" s="1"/>
  <c r="BI972" s="1"/>
  <c r="BI973" s="1"/>
  <c r="BI974" s="1"/>
  <c r="BI975" s="1"/>
  <c r="BI976" s="1"/>
  <c r="BI977" s="1"/>
  <c r="BI978" s="1"/>
  <c r="BI979" s="1"/>
  <c r="BI980" s="1"/>
  <c r="BI981" s="1"/>
  <c r="BI982" s="1"/>
  <c r="BI983" s="1"/>
  <c r="BI984" s="1"/>
  <c r="BI985" s="1"/>
  <c r="BI986" s="1"/>
  <c r="BI987" s="1"/>
  <c r="BI988" s="1"/>
  <c r="BI989" s="1"/>
  <c r="BI990" s="1"/>
  <c r="BI991" s="1"/>
  <c r="BI992" s="1"/>
  <c r="BI993" s="1"/>
  <c r="BI994" s="1"/>
  <c r="BI995" s="1"/>
  <c r="BI996" s="1"/>
  <c r="BI997" s="1"/>
  <c r="BI998" s="1"/>
  <c r="BI999" s="1"/>
  <c r="BI1000" s="1"/>
  <c r="BI1001" s="1"/>
  <c r="BI1002" s="1"/>
  <c r="BI1003" s="1"/>
  <c r="BI1004" s="1"/>
  <c r="BI1005" s="1"/>
  <c r="BI1006" s="1"/>
  <c r="BI1007" s="1"/>
  <c r="BI1008" s="1"/>
  <c r="BI1009" s="1"/>
  <c r="BI1010" s="1"/>
  <c r="BI1011" s="1"/>
  <c r="BI1012" s="1"/>
  <c r="BI1013" s="1"/>
  <c r="BI1014" s="1"/>
  <c r="BI1015" s="1"/>
  <c r="BI1016" s="1"/>
  <c r="BI1017" s="1"/>
  <c r="BI1018" s="1"/>
  <c r="BI1019" s="1"/>
  <c r="BI1020" s="1"/>
  <c r="BI1021" s="1"/>
  <c r="BI1022" s="1"/>
  <c r="BI1023" s="1"/>
  <c r="BI1024" s="1"/>
  <c r="BI1025" s="1"/>
  <c r="BI1026" s="1"/>
  <c r="BI1027" s="1"/>
  <c r="BI1028" s="1"/>
  <c r="BI1029" s="1"/>
  <c r="BI1030" s="1"/>
  <c r="BI1031" s="1"/>
  <c r="BI1032" s="1"/>
  <c r="BI1033" s="1"/>
  <c r="BI1034" s="1"/>
  <c r="BI1035" s="1"/>
  <c r="BI1036" s="1"/>
  <c r="BI1037" s="1"/>
  <c r="BI1038" s="1"/>
  <c r="BI1039" s="1"/>
  <c r="BI1040" s="1"/>
  <c r="BI1041" s="1"/>
  <c r="BI1042" s="1"/>
  <c r="BI1043" s="1"/>
  <c r="BI1044" s="1"/>
  <c r="BI1045" s="1"/>
  <c r="BI1046" s="1"/>
  <c r="BI1047" s="1"/>
  <c r="BI1048" s="1"/>
  <c r="BI1049" s="1"/>
  <c r="BI1050" s="1"/>
  <c r="BI1051" s="1"/>
  <c r="BI1052" s="1"/>
  <c r="BI1053" s="1"/>
  <c r="BI1054" s="1"/>
  <c r="BI1055" s="1"/>
  <c r="BI1056" s="1"/>
  <c r="BI1057" s="1"/>
  <c r="BI1058" s="1"/>
  <c r="BI1059" s="1"/>
  <c r="BI1060" s="1"/>
  <c r="BI1061" s="1"/>
  <c r="BI1062" s="1"/>
  <c r="BI1063" s="1"/>
  <c r="BI1064" s="1"/>
  <c r="BI1065" s="1"/>
  <c r="BI1066" s="1"/>
  <c r="BI1067" s="1"/>
  <c r="BI1068" s="1"/>
  <c r="BI1069" s="1"/>
  <c r="BI1070" s="1"/>
  <c r="BI1071" s="1"/>
  <c r="BI1072" s="1"/>
  <c r="BI1073" s="1"/>
  <c r="BI1074" s="1"/>
  <c r="BI1075" s="1"/>
  <c r="BI1076" s="1"/>
  <c r="BI1077" s="1"/>
  <c r="BI1078" s="1"/>
  <c r="BI1079" s="1"/>
  <c r="BI1080" s="1"/>
  <c r="BI1081" s="1"/>
  <c r="BI1082" s="1"/>
  <c r="BI1083" s="1"/>
  <c r="BI1084" s="1"/>
  <c r="BI1085" s="1"/>
  <c r="BI1086" s="1"/>
  <c r="BI1087" s="1"/>
  <c r="BI1088" s="1"/>
  <c r="BI1089" s="1"/>
  <c r="BI1090" s="1"/>
  <c r="BI1091" s="1"/>
  <c r="BI1092" s="1"/>
  <c r="BI1093" s="1"/>
  <c r="BI1094" s="1"/>
  <c r="BI1095" s="1"/>
  <c r="BI1096" s="1"/>
  <c r="BI1097" s="1"/>
  <c r="BI1098" s="1"/>
  <c r="BI1099" s="1"/>
  <c r="BI1100" s="1"/>
  <c r="BI1101" s="1"/>
  <c r="BI1102" s="1"/>
  <c r="BI1103" s="1"/>
  <c r="BI1104" s="1"/>
  <c r="BI1105" s="1"/>
  <c r="BI1106" s="1"/>
  <c r="BI1107" s="1"/>
  <c r="BI1108" s="1"/>
  <c r="BI1109" s="1"/>
  <c r="BI1110" s="1"/>
  <c r="BI1111" s="1"/>
  <c r="BI1112" s="1"/>
  <c r="BI1113" s="1"/>
  <c r="BI1114" s="1"/>
  <c r="BI1115" s="1"/>
  <c r="BI1116" s="1"/>
  <c r="BI1117" s="1"/>
  <c r="BI1118" s="1"/>
  <c r="BI1119" s="1"/>
  <c r="BI1120" s="1"/>
  <c r="BI1121" s="1"/>
  <c r="BI1122" s="1"/>
  <c r="BI1123" s="1"/>
  <c r="BI1124" s="1"/>
  <c r="BI1125" s="1"/>
  <c r="BI1126" s="1"/>
  <c r="BI1127" s="1"/>
  <c r="BI1128" s="1"/>
  <c r="BI1129" s="1"/>
  <c r="BI1130" s="1"/>
  <c r="BI1131" s="1"/>
  <c r="BI1132" s="1"/>
  <c r="BI1133" s="1"/>
  <c r="BI1134" s="1"/>
  <c r="BI1135" s="1"/>
  <c r="BI1136" s="1"/>
  <c r="BI1137" s="1"/>
  <c r="BI1138" s="1"/>
  <c r="BI1139" s="1"/>
  <c r="BI1140" s="1"/>
  <c r="BI1141" s="1"/>
  <c r="BI1142" s="1"/>
  <c r="BI1143" s="1"/>
  <c r="BI1144" s="1"/>
  <c r="BI1145" s="1"/>
  <c r="BI1146" s="1"/>
  <c r="BI1147" s="1"/>
  <c r="BI1148" s="1"/>
  <c r="BI1149" s="1"/>
  <c r="BI1150" s="1"/>
  <c r="BI1151" s="1"/>
  <c r="BI1152" s="1"/>
  <c r="BI1153" s="1"/>
  <c r="BI1154" s="1"/>
  <c r="BI1155" s="1"/>
  <c r="BI1156" s="1"/>
  <c r="BI1157" s="1"/>
  <c r="BI1158" s="1"/>
  <c r="BI1159" s="1"/>
  <c r="BI1160" s="1"/>
  <c r="BI1161" s="1"/>
  <c r="BI1162" s="1"/>
  <c r="BI1163" s="1"/>
  <c r="BI1164" s="1"/>
  <c r="BI1165" s="1"/>
  <c r="BI1166" s="1"/>
  <c r="BI1167" s="1"/>
  <c r="BI1168" s="1"/>
  <c r="BI1169" s="1"/>
  <c r="BI1170" s="1"/>
  <c r="BI1171" s="1"/>
  <c r="BI1172" s="1"/>
  <c r="BI1173" s="1"/>
  <c r="BI1174" s="1"/>
  <c r="BI1175" s="1"/>
  <c r="BI1176" s="1"/>
  <c r="BI1177" s="1"/>
  <c r="BI1178" s="1"/>
  <c r="BI1179" s="1"/>
  <c r="BI1180" s="1"/>
  <c r="BI1181" s="1"/>
  <c r="BI1182" s="1"/>
  <c r="BI1183" s="1"/>
  <c r="BI1184" s="1"/>
  <c r="BI1185" s="1"/>
  <c r="BI1186" s="1"/>
  <c r="BI1187" s="1"/>
  <c r="BI1188" s="1"/>
  <c r="BI1189" s="1"/>
  <c r="BI1190" s="1"/>
  <c r="BI1191" s="1"/>
  <c r="BI1192" s="1"/>
  <c r="BI1193" s="1"/>
  <c r="BI1194" s="1"/>
  <c r="BI1195" s="1"/>
  <c r="BI1196" s="1"/>
  <c r="BI1197" s="1"/>
  <c r="BI1198" s="1"/>
  <c r="BI1199" s="1"/>
  <c r="BI1200" s="1"/>
  <c r="BI1201" s="1"/>
  <c r="BI1202" s="1"/>
  <c r="BI1203" s="1"/>
  <c r="BI1204" s="1"/>
  <c r="BI1205" s="1"/>
  <c r="BI1206" s="1"/>
  <c r="BI1207" s="1"/>
  <c r="BI1208" s="1"/>
  <c r="BI1209" s="1"/>
  <c r="BI1210" s="1"/>
  <c r="BI1211" s="1"/>
  <c r="BI1212" s="1"/>
  <c r="BI1213" s="1"/>
  <c r="BI1214" s="1"/>
  <c r="BI1215" s="1"/>
  <c r="BI1216" s="1"/>
  <c r="BI1217" s="1"/>
  <c r="BI1218" s="1"/>
  <c r="BI1219" s="1"/>
  <c r="BI1220" s="1"/>
  <c r="BI1221" s="1"/>
  <c r="BI1222" s="1"/>
  <c r="BI1223" s="1"/>
  <c r="BI1224" s="1"/>
  <c r="BI1225" s="1"/>
  <c r="BI1226" s="1"/>
  <c r="BI1227" s="1"/>
  <c r="BI1228" s="1"/>
  <c r="BI1229" s="1"/>
  <c r="BI1230" s="1"/>
  <c r="BI1231" s="1"/>
  <c r="BI1232" s="1"/>
  <c r="BI1233" s="1"/>
  <c r="BI1234" s="1"/>
  <c r="BI1235" s="1"/>
  <c r="BI1236" s="1"/>
  <c r="BI1237" s="1"/>
  <c r="BI1238" s="1"/>
  <c r="BI1239" s="1"/>
  <c r="BI1240" s="1"/>
  <c r="BI1241" s="1"/>
  <c r="BI1242" s="1"/>
  <c r="BI1243" s="1"/>
  <c r="BI1244" s="1"/>
  <c r="BI1245" s="1"/>
  <c r="BI1246" s="1"/>
  <c r="BI1247" s="1"/>
  <c r="BI1248" s="1"/>
  <c r="BI1249" s="1"/>
  <c r="BK50"/>
  <c r="BK51" s="1"/>
  <c r="BK52" s="1"/>
  <c r="BK53" s="1"/>
  <c r="BK54" s="1"/>
  <c r="BK55" s="1"/>
  <c r="BK56" s="1"/>
  <c r="BK57" s="1"/>
  <c r="BK58" s="1"/>
  <c r="BK59" s="1"/>
  <c r="BK60" s="1"/>
  <c r="BK61" s="1"/>
  <c r="BK62" s="1"/>
  <c r="BK63" s="1"/>
  <c r="BK64" s="1"/>
  <c r="BK65" s="1"/>
  <c r="BK66" s="1"/>
  <c r="BK67" s="1"/>
  <c r="BK68" s="1"/>
  <c r="BK69" s="1"/>
  <c r="BK70" s="1"/>
  <c r="BK71" s="1"/>
  <c r="BK72" s="1"/>
  <c r="BK73" s="1"/>
  <c r="BK74" s="1"/>
  <c r="BK75" s="1"/>
  <c r="BK76" s="1"/>
  <c r="BK77" s="1"/>
  <c r="BK78" s="1"/>
  <c r="BK79" s="1"/>
  <c r="BK80" s="1"/>
  <c r="BK81" s="1"/>
  <c r="BK82" s="1"/>
  <c r="BK83" s="1"/>
  <c r="BK84" s="1"/>
  <c r="BK85" s="1"/>
  <c r="BK86" s="1"/>
  <c r="BK87" s="1"/>
  <c r="BK88" s="1"/>
  <c r="BK89" s="1"/>
  <c r="BK90" s="1"/>
  <c r="BK91" s="1"/>
  <c r="BK92" s="1"/>
  <c r="BK93" s="1"/>
  <c r="BK94" s="1"/>
  <c r="BK95" s="1"/>
  <c r="BK96" s="1"/>
  <c r="BK97" s="1"/>
  <c r="BK98" s="1"/>
  <c r="BK99" s="1"/>
  <c r="BK100" s="1"/>
  <c r="BK101" s="1"/>
  <c r="BK102" s="1"/>
  <c r="BK103" s="1"/>
  <c r="BK104" s="1"/>
  <c r="BK105" s="1"/>
  <c r="BK106" s="1"/>
  <c r="BK107" s="1"/>
  <c r="BK108" s="1"/>
  <c r="BK109" s="1"/>
  <c r="BK110" s="1"/>
  <c r="BK111" s="1"/>
  <c r="BK112" s="1"/>
  <c r="BK113" s="1"/>
  <c r="BK114" s="1"/>
  <c r="BK115" s="1"/>
  <c r="BK116" s="1"/>
  <c r="BK117" s="1"/>
  <c r="BK118" s="1"/>
  <c r="BK119" s="1"/>
  <c r="BK120" s="1"/>
  <c r="BK121" s="1"/>
  <c r="BK122" s="1"/>
  <c r="BK123" s="1"/>
  <c r="BK124" s="1"/>
  <c r="BK125" s="1"/>
  <c r="BK126" s="1"/>
  <c r="BK127" s="1"/>
  <c r="BK128" s="1"/>
  <c r="BK129" s="1"/>
  <c r="BK130" s="1"/>
  <c r="BK131" s="1"/>
  <c r="BK132" s="1"/>
  <c r="BK133" s="1"/>
  <c r="BK134" s="1"/>
  <c r="BK135" s="1"/>
  <c r="BK136" s="1"/>
  <c r="BK137" s="1"/>
  <c r="BK138" s="1"/>
  <c r="BK139" s="1"/>
  <c r="BK140" s="1"/>
  <c r="BK141" s="1"/>
  <c r="BK142" s="1"/>
  <c r="BK143" s="1"/>
  <c r="BK144" s="1"/>
  <c r="BK145" s="1"/>
  <c r="BK146" s="1"/>
  <c r="BK147" s="1"/>
  <c r="BK148" s="1"/>
  <c r="BK149" s="1"/>
  <c r="BK150" s="1"/>
  <c r="BK151" s="1"/>
  <c r="BK152" s="1"/>
  <c r="BK153" s="1"/>
  <c r="BK154" s="1"/>
  <c r="BK155" s="1"/>
  <c r="BK156" s="1"/>
  <c r="BK157" s="1"/>
  <c r="BK158" s="1"/>
  <c r="BK159" s="1"/>
  <c r="BK160" s="1"/>
  <c r="BK161" s="1"/>
  <c r="BK162" s="1"/>
  <c r="BK163" s="1"/>
  <c r="BK164" s="1"/>
  <c r="BK165" s="1"/>
  <c r="BK166" s="1"/>
  <c r="BK167" s="1"/>
  <c r="BK168" s="1"/>
  <c r="BK169" s="1"/>
  <c r="BK170" s="1"/>
  <c r="BK171" s="1"/>
  <c r="BK172" s="1"/>
  <c r="BK173" s="1"/>
  <c r="BK174" s="1"/>
  <c r="BK175" s="1"/>
  <c r="BK176" s="1"/>
  <c r="BK177" s="1"/>
  <c r="BK178" s="1"/>
  <c r="BK179" s="1"/>
  <c r="BK180" s="1"/>
  <c r="BK181" s="1"/>
  <c r="BK182" s="1"/>
  <c r="BK183" s="1"/>
  <c r="BK184" s="1"/>
  <c r="BK185" s="1"/>
  <c r="BK186" s="1"/>
  <c r="BK187" s="1"/>
  <c r="BK188" s="1"/>
  <c r="BK189" s="1"/>
  <c r="BK190" s="1"/>
  <c r="BK191" s="1"/>
  <c r="BK192" s="1"/>
  <c r="BK193" s="1"/>
  <c r="BK194" s="1"/>
  <c r="BK195" s="1"/>
  <c r="BK196" s="1"/>
  <c r="BK197" s="1"/>
  <c r="BK198" s="1"/>
  <c r="BK199" s="1"/>
  <c r="BK200" s="1"/>
  <c r="BK201" s="1"/>
  <c r="BK202" s="1"/>
  <c r="BK203" s="1"/>
  <c r="BK204" s="1"/>
  <c r="BK205" s="1"/>
  <c r="BK206" s="1"/>
  <c r="BK207" s="1"/>
  <c r="BK208" s="1"/>
  <c r="BK209" s="1"/>
  <c r="BK210" s="1"/>
  <c r="BK211" s="1"/>
  <c r="BK212" s="1"/>
  <c r="BK213" s="1"/>
  <c r="BK214" s="1"/>
  <c r="BK215" s="1"/>
  <c r="BK216" s="1"/>
  <c r="BK217" s="1"/>
  <c r="BK218" s="1"/>
  <c r="BK219" s="1"/>
  <c r="BK220" s="1"/>
  <c r="BK221" s="1"/>
  <c r="BK222" s="1"/>
  <c r="BK223" s="1"/>
  <c r="BK224" s="1"/>
  <c r="BK225" s="1"/>
  <c r="BK226" s="1"/>
  <c r="BK227" s="1"/>
  <c r="BK228" s="1"/>
  <c r="BK229" s="1"/>
  <c r="BK230" s="1"/>
  <c r="BK231" s="1"/>
  <c r="BK232" s="1"/>
  <c r="BK233" s="1"/>
  <c r="BK234" s="1"/>
  <c r="BK235" s="1"/>
  <c r="BK236" s="1"/>
  <c r="BK237" s="1"/>
  <c r="BK238" s="1"/>
  <c r="BK239" s="1"/>
  <c r="BK240" s="1"/>
  <c r="BK241" s="1"/>
  <c r="BK242" s="1"/>
  <c r="BK243" s="1"/>
  <c r="BK244" s="1"/>
  <c r="BK245" s="1"/>
  <c r="BK246" s="1"/>
  <c r="BK247" s="1"/>
  <c r="BK248" s="1"/>
  <c r="BK249" s="1"/>
  <c r="BK250" s="1"/>
  <c r="BK251" s="1"/>
  <c r="BK252" s="1"/>
  <c r="BK253" s="1"/>
  <c r="BK254" s="1"/>
  <c r="BK255" s="1"/>
  <c r="BK256" s="1"/>
  <c r="BK257" s="1"/>
  <c r="BK258" s="1"/>
  <c r="BK259" s="1"/>
  <c r="BK260" s="1"/>
  <c r="BK261" s="1"/>
  <c r="BK262" s="1"/>
  <c r="BK263" s="1"/>
  <c r="BK264" s="1"/>
  <c r="BK265" s="1"/>
  <c r="BK266" s="1"/>
  <c r="BK267" s="1"/>
  <c r="BK268" s="1"/>
  <c r="BK269" s="1"/>
  <c r="BK270" s="1"/>
  <c r="BK271" s="1"/>
  <c r="BK272" s="1"/>
  <c r="BK273" s="1"/>
  <c r="BK274" s="1"/>
  <c r="BK275" s="1"/>
  <c r="BK276" s="1"/>
  <c r="BK277" s="1"/>
  <c r="BK278" s="1"/>
  <c r="BK279" s="1"/>
  <c r="BK280" s="1"/>
  <c r="BK281" s="1"/>
  <c r="BK282" s="1"/>
  <c r="BK283" s="1"/>
  <c r="BK284" s="1"/>
  <c r="BK285" s="1"/>
  <c r="BK286" s="1"/>
  <c r="BK287" s="1"/>
  <c r="BK288" s="1"/>
  <c r="BK289" s="1"/>
  <c r="BK290" s="1"/>
  <c r="BK291" s="1"/>
  <c r="BK292" s="1"/>
  <c r="BK293" s="1"/>
  <c r="BK294" s="1"/>
  <c r="BK295" s="1"/>
  <c r="BK296" s="1"/>
  <c r="BK297" s="1"/>
  <c r="BK298" s="1"/>
  <c r="BK299" s="1"/>
  <c r="BK300" s="1"/>
  <c r="BK301" s="1"/>
  <c r="BK302" s="1"/>
  <c r="BK303" s="1"/>
  <c r="BK304" s="1"/>
  <c r="BK305" s="1"/>
  <c r="BK306" s="1"/>
  <c r="BK307" s="1"/>
  <c r="BK308" s="1"/>
  <c r="BK309" s="1"/>
  <c r="BK310" s="1"/>
  <c r="BK311" s="1"/>
  <c r="BK312" s="1"/>
  <c r="BK313" s="1"/>
  <c r="BK314" s="1"/>
  <c r="BK315" s="1"/>
  <c r="BK316" s="1"/>
  <c r="BK317" s="1"/>
  <c r="BK318" s="1"/>
  <c r="BK319" s="1"/>
  <c r="BK320" s="1"/>
  <c r="BK321" s="1"/>
  <c r="BK322" s="1"/>
  <c r="BK323" s="1"/>
  <c r="BK324" s="1"/>
  <c r="BK325" s="1"/>
  <c r="BK326" s="1"/>
  <c r="BK327" s="1"/>
  <c r="BK328" s="1"/>
  <c r="BK329" s="1"/>
  <c r="BK330" s="1"/>
  <c r="BK331" s="1"/>
  <c r="BK332" s="1"/>
  <c r="BK333" s="1"/>
  <c r="BK334" s="1"/>
  <c r="BK335" s="1"/>
  <c r="BK336" s="1"/>
  <c r="BK337" s="1"/>
  <c r="BK338" s="1"/>
  <c r="BK339" s="1"/>
  <c r="BK340" s="1"/>
  <c r="BK341" s="1"/>
  <c r="BK342" s="1"/>
  <c r="BK343" s="1"/>
  <c r="BK344" s="1"/>
  <c r="BK345" s="1"/>
  <c r="BK346" s="1"/>
  <c r="BK347" s="1"/>
  <c r="BK348" s="1"/>
  <c r="BK349" s="1"/>
  <c r="BK350" s="1"/>
  <c r="BK351" s="1"/>
  <c r="BK352" s="1"/>
  <c r="BK353" s="1"/>
  <c r="BK354" s="1"/>
  <c r="BK355" s="1"/>
  <c r="BK356" s="1"/>
  <c r="BK357" s="1"/>
  <c r="BK358" s="1"/>
  <c r="BK359" s="1"/>
  <c r="BK360" s="1"/>
  <c r="BK361" s="1"/>
  <c r="BK362" s="1"/>
  <c r="BK363" s="1"/>
  <c r="BK364" s="1"/>
  <c r="BK365" s="1"/>
  <c r="BK366" s="1"/>
  <c r="BK367" s="1"/>
  <c r="BK368" s="1"/>
  <c r="BK369" s="1"/>
  <c r="BK370" s="1"/>
  <c r="BK371" s="1"/>
  <c r="BK372" s="1"/>
  <c r="BK373" s="1"/>
  <c r="BK374" s="1"/>
  <c r="BK375" s="1"/>
  <c r="BK376" s="1"/>
  <c r="BK377" s="1"/>
  <c r="BK378" s="1"/>
  <c r="BK379" s="1"/>
  <c r="BK380" s="1"/>
  <c r="BK381" s="1"/>
  <c r="BK382" s="1"/>
  <c r="BK383" s="1"/>
  <c r="BK384" s="1"/>
  <c r="BK385" s="1"/>
  <c r="BK386" s="1"/>
  <c r="BK387" s="1"/>
  <c r="BK388" s="1"/>
  <c r="BK389" s="1"/>
  <c r="BK390" s="1"/>
  <c r="BK391" s="1"/>
  <c r="BK392" s="1"/>
  <c r="BK393" s="1"/>
  <c r="BK394" s="1"/>
  <c r="BK395" s="1"/>
  <c r="BK396" s="1"/>
  <c r="BK397" s="1"/>
  <c r="BK398" s="1"/>
  <c r="BK399" s="1"/>
  <c r="BK400" s="1"/>
  <c r="BK401" s="1"/>
  <c r="BK402" s="1"/>
  <c r="BK403" s="1"/>
  <c r="BK404" s="1"/>
  <c r="BK405" s="1"/>
  <c r="BK406" s="1"/>
  <c r="BK407" s="1"/>
  <c r="BK408" s="1"/>
  <c r="BK409" s="1"/>
  <c r="BK410" s="1"/>
  <c r="BK411" s="1"/>
  <c r="BK412" s="1"/>
  <c r="BK413" s="1"/>
  <c r="BK414" s="1"/>
  <c r="BK415" s="1"/>
  <c r="BK416" s="1"/>
  <c r="BK417" s="1"/>
  <c r="BK418" s="1"/>
  <c r="BK419" s="1"/>
  <c r="BK420" s="1"/>
  <c r="BK421" s="1"/>
  <c r="BK422" s="1"/>
  <c r="BK423" s="1"/>
  <c r="BK424" s="1"/>
  <c r="BK425" s="1"/>
  <c r="BK426" s="1"/>
  <c r="BK427" s="1"/>
  <c r="BK428" s="1"/>
  <c r="BK429" s="1"/>
  <c r="BK430" s="1"/>
  <c r="BK431" s="1"/>
  <c r="BK432" s="1"/>
  <c r="BK433" s="1"/>
  <c r="BK434" s="1"/>
  <c r="BK435" s="1"/>
  <c r="BK436" s="1"/>
  <c r="BK437" s="1"/>
  <c r="BK438" s="1"/>
  <c r="BK439" s="1"/>
  <c r="BK440" s="1"/>
  <c r="BK441" s="1"/>
  <c r="BK442" s="1"/>
  <c r="BK443" s="1"/>
  <c r="BK444" s="1"/>
  <c r="BK445" s="1"/>
  <c r="BK446" s="1"/>
  <c r="BK447" s="1"/>
  <c r="BK448" s="1"/>
  <c r="BK449" s="1"/>
  <c r="BK450" s="1"/>
  <c r="BK451" s="1"/>
  <c r="BK452" s="1"/>
  <c r="BK453" s="1"/>
  <c r="BK454" s="1"/>
  <c r="BK455" s="1"/>
  <c r="BK456" s="1"/>
  <c r="BK457" s="1"/>
  <c r="BK458" s="1"/>
  <c r="BK459" s="1"/>
  <c r="BK460" s="1"/>
  <c r="BK461" s="1"/>
  <c r="BK462" s="1"/>
  <c r="BK463" s="1"/>
  <c r="BK464" s="1"/>
  <c r="BK465" s="1"/>
  <c r="BK466" s="1"/>
  <c r="BK467" s="1"/>
  <c r="BK468" s="1"/>
  <c r="BK469" s="1"/>
  <c r="BK470" s="1"/>
  <c r="BK471" s="1"/>
  <c r="BK472" s="1"/>
  <c r="BK473" s="1"/>
  <c r="BK474" s="1"/>
  <c r="BK475" s="1"/>
  <c r="BK476" s="1"/>
  <c r="BK477" s="1"/>
  <c r="BK478" s="1"/>
  <c r="BK479" s="1"/>
  <c r="BK480" s="1"/>
  <c r="BK481" s="1"/>
  <c r="BK482" s="1"/>
  <c r="BK483" s="1"/>
  <c r="BK484" s="1"/>
  <c r="BK485" s="1"/>
  <c r="BK486" s="1"/>
  <c r="BK487" s="1"/>
  <c r="BK488" s="1"/>
  <c r="BK489" s="1"/>
  <c r="BK490" s="1"/>
  <c r="BK491" s="1"/>
  <c r="BK492" s="1"/>
  <c r="BK493" s="1"/>
  <c r="BK494" s="1"/>
  <c r="BK495" s="1"/>
  <c r="BK496" s="1"/>
  <c r="BK497" s="1"/>
  <c r="BK498" s="1"/>
  <c r="BK499" s="1"/>
  <c r="BK500" s="1"/>
  <c r="BK501" s="1"/>
  <c r="BK502" s="1"/>
  <c r="BK503" s="1"/>
  <c r="BK504" s="1"/>
  <c r="BK505" s="1"/>
  <c r="BK506" s="1"/>
  <c r="BK507" s="1"/>
  <c r="BK508" s="1"/>
  <c r="BK509" s="1"/>
  <c r="BK510" s="1"/>
  <c r="BK511" s="1"/>
  <c r="BK512" s="1"/>
  <c r="BK513" s="1"/>
  <c r="BK514" s="1"/>
  <c r="BK515" s="1"/>
  <c r="BK516" s="1"/>
  <c r="BK517" s="1"/>
  <c r="BK518" s="1"/>
  <c r="BK519" s="1"/>
  <c r="BK520" s="1"/>
  <c r="BK521" s="1"/>
  <c r="BK522" s="1"/>
  <c r="BK523" s="1"/>
  <c r="BK524" s="1"/>
  <c r="BK525" s="1"/>
  <c r="BK526" s="1"/>
  <c r="BK527" s="1"/>
  <c r="BK528" s="1"/>
  <c r="BK529" s="1"/>
  <c r="BK530" s="1"/>
  <c r="BK531" s="1"/>
  <c r="BK532" s="1"/>
  <c r="BK533" s="1"/>
  <c r="BK534" s="1"/>
  <c r="BK535" s="1"/>
  <c r="BK536" s="1"/>
  <c r="BK537" s="1"/>
  <c r="BK538" s="1"/>
  <c r="BK539" s="1"/>
  <c r="BK540" s="1"/>
  <c r="BK541" s="1"/>
  <c r="BK542" s="1"/>
  <c r="BK543" s="1"/>
  <c r="BK544" s="1"/>
  <c r="BK545" s="1"/>
  <c r="BK546" s="1"/>
  <c r="BK547" s="1"/>
  <c r="BK548" s="1"/>
  <c r="BK549" s="1"/>
  <c r="BK550" s="1"/>
  <c r="BK551" s="1"/>
  <c r="BK552" s="1"/>
  <c r="BK553" s="1"/>
  <c r="BK554" s="1"/>
  <c r="BK555" s="1"/>
  <c r="BK556" s="1"/>
  <c r="BK557" s="1"/>
  <c r="BK558" s="1"/>
  <c r="BK559" s="1"/>
  <c r="BK560" s="1"/>
  <c r="BK561" s="1"/>
  <c r="BK562" s="1"/>
  <c r="BK563" s="1"/>
  <c r="BK564" s="1"/>
  <c r="BK565" s="1"/>
  <c r="BK566" s="1"/>
  <c r="BK567" s="1"/>
  <c r="BK568" s="1"/>
  <c r="BK569" s="1"/>
  <c r="BK570" s="1"/>
  <c r="BK571" s="1"/>
  <c r="BK572" s="1"/>
  <c r="BK573" s="1"/>
  <c r="BK574" s="1"/>
  <c r="BK575" s="1"/>
  <c r="BK576" s="1"/>
  <c r="BK577" s="1"/>
  <c r="BK578" s="1"/>
  <c r="BK579" s="1"/>
  <c r="BK580" s="1"/>
  <c r="BK581" s="1"/>
  <c r="BK582" s="1"/>
  <c r="BK583" s="1"/>
  <c r="BK584" s="1"/>
  <c r="BK585" s="1"/>
  <c r="BK586" s="1"/>
  <c r="BK587" s="1"/>
  <c r="BK588" s="1"/>
  <c r="BK589" s="1"/>
  <c r="BK590" s="1"/>
  <c r="BK591" s="1"/>
  <c r="BK592" s="1"/>
  <c r="BK593" s="1"/>
  <c r="BK594" s="1"/>
  <c r="BK595" s="1"/>
  <c r="BK596" s="1"/>
  <c r="BK597" s="1"/>
  <c r="BK598" s="1"/>
  <c r="BK599" s="1"/>
  <c r="BK600" s="1"/>
  <c r="BK601" s="1"/>
  <c r="BK602" s="1"/>
  <c r="BK603" s="1"/>
  <c r="BK604" s="1"/>
  <c r="BK605" s="1"/>
  <c r="BK606" s="1"/>
  <c r="BK607" s="1"/>
  <c r="BK608" s="1"/>
  <c r="BK609" s="1"/>
  <c r="BK610" s="1"/>
  <c r="BK611" s="1"/>
  <c r="BK612" s="1"/>
  <c r="BK613" s="1"/>
  <c r="BK614" s="1"/>
  <c r="BK615" s="1"/>
  <c r="BK616" s="1"/>
  <c r="BK617" s="1"/>
  <c r="BK618" s="1"/>
  <c r="BK619" s="1"/>
  <c r="BK620" s="1"/>
  <c r="BK621" s="1"/>
  <c r="BK622" s="1"/>
  <c r="BK623" s="1"/>
  <c r="BK624" s="1"/>
  <c r="BK625" s="1"/>
  <c r="BK626" s="1"/>
  <c r="BK627" s="1"/>
  <c r="BK628" s="1"/>
  <c r="BK629" s="1"/>
  <c r="BK630" s="1"/>
  <c r="BK631" s="1"/>
  <c r="BK632" s="1"/>
  <c r="BK633" s="1"/>
  <c r="BK634" s="1"/>
  <c r="BK635" s="1"/>
  <c r="BK636" s="1"/>
  <c r="BK637" s="1"/>
  <c r="BK638" s="1"/>
  <c r="BK639" s="1"/>
  <c r="BK640" s="1"/>
  <c r="BK641" s="1"/>
  <c r="BK642" s="1"/>
  <c r="BK643" s="1"/>
  <c r="BK644" s="1"/>
  <c r="BK645" s="1"/>
  <c r="BK646" s="1"/>
  <c r="BK647" s="1"/>
  <c r="BK648" s="1"/>
  <c r="BK649" s="1"/>
  <c r="BK650" s="1"/>
  <c r="BK651" s="1"/>
  <c r="BK652" s="1"/>
  <c r="BK653" s="1"/>
  <c r="BK654" s="1"/>
  <c r="BK655" s="1"/>
  <c r="BK656" s="1"/>
  <c r="BK657" s="1"/>
  <c r="BK658" s="1"/>
  <c r="BK659" s="1"/>
  <c r="BK660" s="1"/>
  <c r="BK661" s="1"/>
  <c r="BK662" s="1"/>
  <c r="BK663" s="1"/>
  <c r="BK664" s="1"/>
  <c r="BK665" s="1"/>
  <c r="BK666" s="1"/>
  <c r="BK667" s="1"/>
  <c r="BK668" s="1"/>
  <c r="BK669" s="1"/>
  <c r="BK670" s="1"/>
  <c r="BK671" s="1"/>
  <c r="BK672" s="1"/>
  <c r="BK673" s="1"/>
  <c r="BK674" s="1"/>
  <c r="BK675" s="1"/>
  <c r="BK676" s="1"/>
  <c r="BK677" s="1"/>
  <c r="BK678" s="1"/>
  <c r="BK679" s="1"/>
  <c r="BK680" s="1"/>
  <c r="BK681" s="1"/>
  <c r="BK682" s="1"/>
  <c r="BK683" s="1"/>
  <c r="BK684" s="1"/>
  <c r="BK685" s="1"/>
  <c r="BK686" s="1"/>
  <c r="BK687" s="1"/>
  <c r="BK688" s="1"/>
  <c r="BK689" s="1"/>
  <c r="BK690" s="1"/>
  <c r="BK691" s="1"/>
  <c r="BK692" s="1"/>
  <c r="BK693" s="1"/>
  <c r="BK694" s="1"/>
  <c r="BK695" s="1"/>
  <c r="BK696" s="1"/>
  <c r="BK697" s="1"/>
  <c r="BK698" s="1"/>
  <c r="BK699" s="1"/>
  <c r="BK700" s="1"/>
  <c r="BK701" s="1"/>
  <c r="BK702" s="1"/>
  <c r="BK703" s="1"/>
  <c r="BK704" s="1"/>
  <c r="BK705" s="1"/>
  <c r="BK706" s="1"/>
  <c r="BK707" s="1"/>
  <c r="BK708" s="1"/>
  <c r="BK709" s="1"/>
  <c r="BK710" s="1"/>
  <c r="BK711" s="1"/>
  <c r="BK712" s="1"/>
  <c r="BK713" s="1"/>
  <c r="BK714" s="1"/>
  <c r="BK715" s="1"/>
  <c r="BK716" s="1"/>
  <c r="BK717" s="1"/>
  <c r="BK718" s="1"/>
  <c r="BK719" s="1"/>
  <c r="BK720" s="1"/>
  <c r="BK721" s="1"/>
  <c r="BK722" s="1"/>
  <c r="BK723" s="1"/>
  <c r="BK724" s="1"/>
  <c r="BK725" s="1"/>
  <c r="BK726" s="1"/>
  <c r="BK727" s="1"/>
  <c r="BK728" s="1"/>
  <c r="BK729" s="1"/>
  <c r="BK730" s="1"/>
  <c r="BK731" s="1"/>
  <c r="BK732" s="1"/>
  <c r="BK733" s="1"/>
  <c r="BK734" s="1"/>
  <c r="BK735" s="1"/>
  <c r="BK736" s="1"/>
  <c r="BK737" s="1"/>
  <c r="BK738" s="1"/>
  <c r="BK739" s="1"/>
  <c r="BK740" s="1"/>
  <c r="BK741" s="1"/>
  <c r="BK742" s="1"/>
  <c r="BK743" s="1"/>
  <c r="BK744" s="1"/>
  <c r="BK745" s="1"/>
  <c r="BK746" s="1"/>
  <c r="BK747" s="1"/>
  <c r="BK748" s="1"/>
  <c r="BK749" s="1"/>
  <c r="BK750" s="1"/>
  <c r="BK751" s="1"/>
  <c r="BK752" s="1"/>
  <c r="BK753" s="1"/>
  <c r="BK754" s="1"/>
  <c r="BK755" s="1"/>
  <c r="BK756" s="1"/>
  <c r="BK757" s="1"/>
  <c r="BK758" s="1"/>
  <c r="BK759" s="1"/>
  <c r="BK760" s="1"/>
  <c r="BK761" s="1"/>
  <c r="BK762" s="1"/>
  <c r="BK763" s="1"/>
  <c r="BK764" s="1"/>
  <c r="BK765" s="1"/>
  <c r="BK766" s="1"/>
  <c r="BK767" s="1"/>
  <c r="BK768" s="1"/>
  <c r="BK769" s="1"/>
  <c r="BK770" s="1"/>
  <c r="BK771" s="1"/>
  <c r="BK772" s="1"/>
  <c r="BK773" s="1"/>
  <c r="BK774" s="1"/>
  <c r="BK775" s="1"/>
  <c r="BK776" s="1"/>
  <c r="BK777" s="1"/>
  <c r="BK778" s="1"/>
  <c r="BK779" s="1"/>
  <c r="BK780" s="1"/>
  <c r="BK781" s="1"/>
  <c r="BK782" s="1"/>
  <c r="BK783" s="1"/>
  <c r="BK784" s="1"/>
  <c r="BK785" s="1"/>
  <c r="BK786" s="1"/>
  <c r="BK787" s="1"/>
  <c r="BK788" s="1"/>
  <c r="BK789" s="1"/>
  <c r="BK790" s="1"/>
  <c r="BK791" s="1"/>
  <c r="BK792" s="1"/>
  <c r="BK793" s="1"/>
  <c r="BK794" s="1"/>
  <c r="BK795" s="1"/>
  <c r="BK796" s="1"/>
  <c r="BK797" s="1"/>
  <c r="BK798" s="1"/>
  <c r="BK799" s="1"/>
  <c r="BK800" s="1"/>
  <c r="BK801" s="1"/>
  <c r="BK802" s="1"/>
  <c r="BK803" s="1"/>
  <c r="BK804" s="1"/>
  <c r="BK805" s="1"/>
  <c r="BK806" s="1"/>
  <c r="BK807" s="1"/>
  <c r="BK808" s="1"/>
  <c r="BK809" s="1"/>
  <c r="BK810" s="1"/>
  <c r="BK811" s="1"/>
  <c r="BK812" s="1"/>
  <c r="BK813" s="1"/>
  <c r="BK814" s="1"/>
  <c r="BK815" s="1"/>
  <c r="BK816" s="1"/>
  <c r="BK817" s="1"/>
  <c r="BK818" s="1"/>
  <c r="BK819" s="1"/>
  <c r="BK820" s="1"/>
  <c r="BK821" s="1"/>
  <c r="BK822" s="1"/>
  <c r="BK823" s="1"/>
  <c r="BK824" s="1"/>
  <c r="BK825" s="1"/>
  <c r="BK826" s="1"/>
  <c r="BK827" s="1"/>
  <c r="BK828" s="1"/>
  <c r="BK829" s="1"/>
  <c r="BK830" s="1"/>
  <c r="BK831" s="1"/>
  <c r="BK832" s="1"/>
  <c r="BK833" s="1"/>
  <c r="BK834" s="1"/>
  <c r="BK835" s="1"/>
  <c r="BK836" s="1"/>
  <c r="BK837" s="1"/>
  <c r="BK838" s="1"/>
  <c r="BK839" s="1"/>
  <c r="BK840" s="1"/>
  <c r="BK841" s="1"/>
  <c r="BK842" s="1"/>
  <c r="BK843" s="1"/>
  <c r="BK844" s="1"/>
  <c r="BK845" s="1"/>
  <c r="BK846" s="1"/>
  <c r="BK847" s="1"/>
  <c r="BK848" s="1"/>
  <c r="BK849" s="1"/>
  <c r="BK850" s="1"/>
  <c r="BK851" s="1"/>
  <c r="BK852" s="1"/>
  <c r="BK853" s="1"/>
  <c r="BK854" s="1"/>
  <c r="BK855" s="1"/>
  <c r="BK856" s="1"/>
  <c r="BK857" s="1"/>
  <c r="BK858" s="1"/>
  <c r="BK859" s="1"/>
  <c r="BK860" s="1"/>
  <c r="BK861" s="1"/>
  <c r="BK862" s="1"/>
  <c r="BK863" s="1"/>
  <c r="BK864" s="1"/>
  <c r="BK865" s="1"/>
  <c r="BK866" s="1"/>
  <c r="BK867" s="1"/>
  <c r="BK868" s="1"/>
  <c r="BK869" s="1"/>
  <c r="BK870" s="1"/>
  <c r="BK871" s="1"/>
  <c r="BK872" s="1"/>
  <c r="BK873" s="1"/>
  <c r="BK874" s="1"/>
  <c r="BK875" s="1"/>
  <c r="BK876" s="1"/>
  <c r="BK877" s="1"/>
  <c r="BK878" s="1"/>
  <c r="BK879" s="1"/>
  <c r="BK880" s="1"/>
  <c r="BK881" s="1"/>
  <c r="BK882" s="1"/>
  <c r="BK883" s="1"/>
  <c r="BK884" s="1"/>
  <c r="BK885" s="1"/>
  <c r="BK886" s="1"/>
  <c r="BK887" s="1"/>
  <c r="BK888" s="1"/>
  <c r="BK889" s="1"/>
  <c r="BK890" s="1"/>
  <c r="BK891" s="1"/>
  <c r="BK892" s="1"/>
  <c r="BK893" s="1"/>
  <c r="BK894" s="1"/>
  <c r="BK895" s="1"/>
  <c r="BK896" s="1"/>
  <c r="BK897" s="1"/>
  <c r="BK898" s="1"/>
  <c r="BK899" s="1"/>
  <c r="BK900" s="1"/>
  <c r="BK901" s="1"/>
  <c r="BK902" s="1"/>
  <c r="BK903" s="1"/>
  <c r="BK904" s="1"/>
  <c r="BK905" s="1"/>
  <c r="BK906" s="1"/>
  <c r="BK907" s="1"/>
  <c r="BK908" s="1"/>
  <c r="BK909" s="1"/>
  <c r="BK910" s="1"/>
  <c r="BK911" s="1"/>
  <c r="BK912" s="1"/>
  <c r="BK913" s="1"/>
  <c r="BK914" s="1"/>
  <c r="BK915" s="1"/>
  <c r="BK916" s="1"/>
  <c r="BK917" s="1"/>
  <c r="BK918" s="1"/>
  <c r="BK919" s="1"/>
  <c r="BK920" s="1"/>
  <c r="BK921" s="1"/>
  <c r="BK922" s="1"/>
  <c r="BK923" s="1"/>
  <c r="BK924" s="1"/>
  <c r="BK925" s="1"/>
  <c r="BK926" s="1"/>
  <c r="BK927" s="1"/>
  <c r="BK928" s="1"/>
  <c r="BK929" s="1"/>
  <c r="BK930" s="1"/>
  <c r="BK931" s="1"/>
  <c r="BK932" s="1"/>
  <c r="BK933" s="1"/>
  <c r="BK934" s="1"/>
  <c r="BK935" s="1"/>
  <c r="BK936" s="1"/>
  <c r="BK937" s="1"/>
  <c r="BK938" s="1"/>
  <c r="BK939" s="1"/>
  <c r="BK940" s="1"/>
  <c r="BK941" s="1"/>
  <c r="BK942" s="1"/>
  <c r="BK943" s="1"/>
  <c r="BK944" s="1"/>
  <c r="BK945" s="1"/>
  <c r="BK946" s="1"/>
  <c r="BK947" s="1"/>
  <c r="BK948" s="1"/>
  <c r="BK949" s="1"/>
  <c r="BK950" s="1"/>
  <c r="BK951" s="1"/>
  <c r="BK952" s="1"/>
  <c r="BK953" s="1"/>
  <c r="BK954" s="1"/>
  <c r="BK955" s="1"/>
  <c r="BK956" s="1"/>
  <c r="BK957" s="1"/>
  <c r="BK958" s="1"/>
  <c r="BK959" s="1"/>
  <c r="BK960" s="1"/>
  <c r="BK961" s="1"/>
  <c r="BK962" s="1"/>
  <c r="BK963" s="1"/>
  <c r="BK964" s="1"/>
  <c r="BK965" s="1"/>
  <c r="BK966" s="1"/>
  <c r="BK967" s="1"/>
  <c r="BK968" s="1"/>
  <c r="BK969" s="1"/>
  <c r="BK970" s="1"/>
  <c r="BK971" s="1"/>
  <c r="BK972" s="1"/>
  <c r="BK973" s="1"/>
  <c r="BK974" s="1"/>
  <c r="BK975" s="1"/>
  <c r="BK976" s="1"/>
  <c r="BK977" s="1"/>
  <c r="BK978" s="1"/>
  <c r="BK979" s="1"/>
  <c r="BK980" s="1"/>
  <c r="BK981" s="1"/>
  <c r="BK982" s="1"/>
  <c r="BK983" s="1"/>
  <c r="BK984" s="1"/>
  <c r="BK985" s="1"/>
  <c r="BK986" s="1"/>
  <c r="BK987" s="1"/>
  <c r="BK988" s="1"/>
  <c r="BK989" s="1"/>
  <c r="BK990" s="1"/>
  <c r="BK991" s="1"/>
  <c r="BK992" s="1"/>
  <c r="BK993" s="1"/>
  <c r="BK994" s="1"/>
  <c r="BK995" s="1"/>
  <c r="BK996" s="1"/>
  <c r="BK997" s="1"/>
  <c r="BK998" s="1"/>
  <c r="BK999" s="1"/>
  <c r="BK1000" s="1"/>
  <c r="BK1001" s="1"/>
  <c r="BK1002" s="1"/>
  <c r="BK1003" s="1"/>
  <c r="BK1004" s="1"/>
  <c r="BK1005" s="1"/>
  <c r="BK1006" s="1"/>
  <c r="BK1007" s="1"/>
  <c r="BK1008" s="1"/>
  <c r="BK1009" s="1"/>
  <c r="BK1010" s="1"/>
  <c r="BK1011" s="1"/>
  <c r="BK1012" s="1"/>
  <c r="BK1013" s="1"/>
  <c r="BK1014" s="1"/>
  <c r="BK1015" s="1"/>
  <c r="BK1016" s="1"/>
  <c r="BK1017" s="1"/>
  <c r="BK1018" s="1"/>
  <c r="BK1019" s="1"/>
  <c r="BK1020" s="1"/>
  <c r="BK1021" s="1"/>
  <c r="BK1022" s="1"/>
  <c r="BK1023" s="1"/>
  <c r="BK1024" s="1"/>
  <c r="BK1025" s="1"/>
  <c r="BK1026" s="1"/>
  <c r="BK1027" s="1"/>
  <c r="BK1028" s="1"/>
  <c r="BK1029" s="1"/>
  <c r="BK1030" s="1"/>
  <c r="BK1031" s="1"/>
  <c r="BK1032" s="1"/>
  <c r="BK1033" s="1"/>
  <c r="BK1034" s="1"/>
  <c r="BK1035" s="1"/>
  <c r="BK1036" s="1"/>
  <c r="BK1037" s="1"/>
  <c r="BK1038" s="1"/>
  <c r="BK1039" s="1"/>
  <c r="BK1040" s="1"/>
  <c r="BK1041" s="1"/>
  <c r="BK1042" s="1"/>
  <c r="BK1043" s="1"/>
  <c r="BK1044" s="1"/>
  <c r="BK1045" s="1"/>
  <c r="BK1046" s="1"/>
  <c r="BK1047" s="1"/>
  <c r="BK1048" s="1"/>
  <c r="BK1049" s="1"/>
  <c r="BK1050" s="1"/>
  <c r="BK1051" s="1"/>
  <c r="BK1052" s="1"/>
  <c r="BK1053" s="1"/>
  <c r="BK1054" s="1"/>
  <c r="BK1055" s="1"/>
  <c r="BK1056" s="1"/>
  <c r="BK1057" s="1"/>
  <c r="BK1058" s="1"/>
  <c r="BK1059" s="1"/>
  <c r="BK1060" s="1"/>
  <c r="BK1061" s="1"/>
  <c r="BK1062" s="1"/>
  <c r="BK1063" s="1"/>
  <c r="BK1064" s="1"/>
  <c r="BK1065" s="1"/>
  <c r="BK1066" s="1"/>
  <c r="BK1067" s="1"/>
  <c r="BK1068" s="1"/>
  <c r="BK1069" s="1"/>
  <c r="BK1070" s="1"/>
  <c r="BK1071" s="1"/>
  <c r="BK1072" s="1"/>
  <c r="BK1073" s="1"/>
  <c r="BK1074" s="1"/>
  <c r="BK1075" s="1"/>
  <c r="BK1076" s="1"/>
  <c r="BK1077" s="1"/>
  <c r="BK1078" s="1"/>
  <c r="BK1079" s="1"/>
  <c r="BK1080" s="1"/>
  <c r="BK1081" s="1"/>
  <c r="BK1082" s="1"/>
  <c r="BK1083" s="1"/>
  <c r="BK1084" s="1"/>
  <c r="BK1085" s="1"/>
  <c r="BK1086" s="1"/>
  <c r="BK1087" s="1"/>
  <c r="BK1088" s="1"/>
  <c r="BK1089" s="1"/>
  <c r="BK1090" s="1"/>
  <c r="BK1091" s="1"/>
  <c r="BK1092" s="1"/>
  <c r="BK1093" s="1"/>
  <c r="BK1094" s="1"/>
  <c r="BK1095" s="1"/>
  <c r="BK1096" s="1"/>
  <c r="BK1097" s="1"/>
  <c r="BK1098" s="1"/>
  <c r="BK1099" s="1"/>
  <c r="BK1100" s="1"/>
  <c r="BK1101" s="1"/>
  <c r="BK1102" s="1"/>
  <c r="BK1103" s="1"/>
  <c r="BK1104" s="1"/>
  <c r="BK1105" s="1"/>
  <c r="BK1106" s="1"/>
  <c r="BK1107" s="1"/>
  <c r="BK1108" s="1"/>
  <c r="BK1109" s="1"/>
  <c r="BK1110" s="1"/>
  <c r="BK1111" s="1"/>
  <c r="BK1112" s="1"/>
  <c r="BK1113" s="1"/>
  <c r="BK1114" s="1"/>
  <c r="BK1115" s="1"/>
  <c r="BK1116" s="1"/>
  <c r="BK1117" s="1"/>
  <c r="BK1118" s="1"/>
  <c r="BK1119" s="1"/>
  <c r="BK1120" s="1"/>
  <c r="BK1121" s="1"/>
  <c r="BK1122" s="1"/>
  <c r="BK1123" s="1"/>
  <c r="BK1124" s="1"/>
  <c r="BK1125" s="1"/>
  <c r="BK1126" s="1"/>
  <c r="BK1127" s="1"/>
  <c r="BK1128" s="1"/>
  <c r="BK1129" s="1"/>
  <c r="BK1130" s="1"/>
  <c r="BK1131" s="1"/>
  <c r="BK1132" s="1"/>
  <c r="BK1133" s="1"/>
  <c r="BK1134" s="1"/>
  <c r="BK1135" s="1"/>
  <c r="BK1136" s="1"/>
  <c r="BK1137" s="1"/>
  <c r="BK1138" s="1"/>
  <c r="BK1139" s="1"/>
  <c r="BK1140" s="1"/>
  <c r="BK1141" s="1"/>
  <c r="BK1142" s="1"/>
  <c r="BK1143" s="1"/>
  <c r="BK1144" s="1"/>
  <c r="BK1145" s="1"/>
  <c r="BK1146" s="1"/>
  <c r="BK1147" s="1"/>
  <c r="BK1148" s="1"/>
  <c r="BK1149" s="1"/>
  <c r="BK1150" s="1"/>
  <c r="BK1151" s="1"/>
  <c r="BK1152" s="1"/>
  <c r="BK1153" s="1"/>
  <c r="BK1154" s="1"/>
  <c r="BK1155" s="1"/>
  <c r="BK1156" s="1"/>
  <c r="BK1157" s="1"/>
  <c r="BK1158" s="1"/>
  <c r="BK1159" s="1"/>
  <c r="BK1160" s="1"/>
  <c r="BK1161" s="1"/>
  <c r="BK1162" s="1"/>
  <c r="BK1163" s="1"/>
  <c r="BK1164" s="1"/>
  <c r="BK1165" s="1"/>
  <c r="BK1166" s="1"/>
  <c r="BK1167" s="1"/>
  <c r="BK1168" s="1"/>
  <c r="BK1169" s="1"/>
  <c r="BK1170" s="1"/>
  <c r="BK1171" s="1"/>
  <c r="BK1172" s="1"/>
  <c r="BK1173" s="1"/>
  <c r="BK1174" s="1"/>
  <c r="BK1175" s="1"/>
  <c r="BK1176" s="1"/>
  <c r="BK1177" s="1"/>
  <c r="BK1178" s="1"/>
  <c r="BK1179" s="1"/>
  <c r="BK1180" s="1"/>
  <c r="BK1181" s="1"/>
  <c r="BK1182" s="1"/>
  <c r="BK1183" s="1"/>
  <c r="BK1184" s="1"/>
  <c r="BK1185" s="1"/>
  <c r="BK1186" s="1"/>
  <c r="BK1187" s="1"/>
  <c r="BK1188" s="1"/>
  <c r="BK1189" s="1"/>
  <c r="BK1190" s="1"/>
  <c r="BK1191" s="1"/>
  <c r="BK1192" s="1"/>
  <c r="BK1193" s="1"/>
  <c r="BK1194" s="1"/>
  <c r="BK1195" s="1"/>
  <c r="BK1196" s="1"/>
  <c r="BK1197" s="1"/>
  <c r="BK1198" s="1"/>
  <c r="BK1199" s="1"/>
  <c r="BK1200" s="1"/>
  <c r="BK1201" s="1"/>
  <c r="BK1202" s="1"/>
  <c r="BK1203" s="1"/>
  <c r="BK1204" s="1"/>
  <c r="BK1205" s="1"/>
  <c r="BK1206" s="1"/>
  <c r="BK1207" s="1"/>
  <c r="BK1208" s="1"/>
  <c r="BK1209" s="1"/>
  <c r="BK1210" s="1"/>
  <c r="BK1211" s="1"/>
  <c r="BK1212" s="1"/>
  <c r="BK1213" s="1"/>
  <c r="BK1214" s="1"/>
  <c r="BK1215" s="1"/>
  <c r="BK1216" s="1"/>
  <c r="BK1217" s="1"/>
  <c r="BK1218" s="1"/>
  <c r="BK1219" s="1"/>
  <c r="BK1220" s="1"/>
  <c r="BK1221" s="1"/>
  <c r="BK1222" s="1"/>
  <c r="BK1223" s="1"/>
  <c r="BK1224" s="1"/>
  <c r="BK1225" s="1"/>
  <c r="BK1226" s="1"/>
  <c r="BK1227" s="1"/>
  <c r="BK1228" s="1"/>
  <c r="BK1229" s="1"/>
  <c r="BK1230" s="1"/>
  <c r="BK1231" s="1"/>
  <c r="BK1232" s="1"/>
  <c r="BK1233" s="1"/>
  <c r="BK1234" s="1"/>
  <c r="BK1235" s="1"/>
  <c r="BK1236" s="1"/>
  <c r="BK1237" s="1"/>
  <c r="BK1238" s="1"/>
  <c r="BK1239" s="1"/>
  <c r="BK1240" s="1"/>
  <c r="BK1241" s="1"/>
  <c r="BK1242" s="1"/>
  <c r="BK1243" s="1"/>
  <c r="BK1244" s="1"/>
  <c r="BK1245" s="1"/>
  <c r="BK1246" s="1"/>
  <c r="BK1247" s="1"/>
  <c r="BK1248" s="1"/>
  <c r="BK1249" s="1"/>
  <c r="K35" i="19" l="1"/>
  <c r="AC44" i="18" s="1"/>
  <c r="X44" s="1"/>
  <c r="Z44" s="1"/>
  <c r="AG35" i="19"/>
  <c r="AC40" i="18" s="1"/>
  <c r="X40" s="1"/>
  <c r="Z40" s="1"/>
  <c r="U35" i="19"/>
  <c r="AC47" i="18" s="1"/>
  <c r="X47" s="1"/>
  <c r="Z47" s="1"/>
  <c r="AQ35" i="19"/>
  <c r="AC42" i="18" s="1"/>
  <c r="X42" s="1"/>
  <c r="W16" i="1"/>
  <c r="W13"/>
  <c r="W11"/>
  <c r="W15"/>
  <c r="W19"/>
  <c r="W10"/>
  <c r="W14"/>
  <c r="W18"/>
  <c r="W9"/>
  <c r="W17"/>
  <c r="W8"/>
  <c r="W7"/>
  <c r="W44" i="18"/>
  <c r="D37"/>
  <c r="E37" s="1"/>
  <c r="D35"/>
  <c r="E35" s="1"/>
  <c r="W41"/>
  <c r="AE41" s="1"/>
  <c r="AI41" s="1"/>
  <c r="W48"/>
  <c r="AE48" s="1"/>
  <c r="AI48" s="1"/>
  <c r="W39"/>
  <c r="D33"/>
  <c r="E33" s="1"/>
  <c r="W37"/>
  <c r="AE37" s="1"/>
  <c r="AI37" s="1"/>
  <c r="D31"/>
  <c r="E31" s="1"/>
  <c r="W43"/>
  <c r="AE43" s="1"/>
  <c r="AI43" s="1"/>
  <c r="W34"/>
  <c r="D28"/>
  <c r="E28" s="1"/>
  <c r="W42"/>
  <c r="AE42" s="1"/>
  <c r="AI42" s="1"/>
  <c r="D36"/>
  <c r="E36" s="1"/>
  <c r="AE35"/>
  <c r="AI35" s="1"/>
  <c r="D29"/>
  <c r="E29" s="1"/>
  <c r="D34"/>
  <c r="E34" s="1"/>
  <c r="W40"/>
  <c r="AE40" s="1"/>
  <c r="AI40" s="1"/>
  <c r="D30"/>
  <c r="E30" s="1"/>
  <c r="W36"/>
  <c r="AE36" s="1"/>
  <c r="AI36" s="1"/>
  <c r="W38"/>
  <c r="AE38" s="1"/>
  <c r="AI38" s="1"/>
  <c r="D32"/>
  <c r="E32" s="1"/>
  <c r="W46"/>
  <c r="AE46" s="1"/>
  <c r="AI46" s="1"/>
  <c r="W47"/>
  <c r="AE47" s="1"/>
  <c r="AI47" s="1"/>
  <c r="AZ28" i="7"/>
  <c r="AT34"/>
  <c r="AR26"/>
  <c r="AR28" s="1"/>
  <c r="AR32" i="8"/>
  <c r="AZ32"/>
  <c r="AZ24"/>
  <c r="W45" i="18"/>
  <c r="AE45" s="1"/>
  <c r="AI45" s="1"/>
  <c r="D38"/>
  <c r="E38" s="1"/>
  <c r="AR31" i="23"/>
  <c r="AZ24"/>
  <c r="AR32"/>
  <c r="AZ32"/>
  <c r="AR17" i="8"/>
  <c r="AR24" s="1"/>
  <c r="AR17" i="23"/>
  <c r="AR24" s="1"/>
  <c r="AL17" i="19"/>
  <c r="AC49" i="18" s="1"/>
  <c r="X49" s="1"/>
  <c r="Z49" s="1"/>
  <c r="P17" i="19"/>
  <c r="AC37" i="18" s="1"/>
  <c r="X37" s="1"/>
  <c r="Z37" s="1"/>
  <c r="AL35" i="19"/>
  <c r="P35"/>
  <c r="AC46" i="18" s="1"/>
  <c r="X46" s="1"/>
  <c r="Z46" s="1"/>
  <c r="K30"/>
  <c r="E4" s="1"/>
  <c r="AG17" i="19"/>
  <c r="AC48" i="18" s="1"/>
  <c r="X48" s="1"/>
  <c r="Z48" s="1"/>
  <c r="K17" i="19"/>
  <c r="AC36" i="18" s="1"/>
  <c r="X36" s="1"/>
  <c r="Z36" s="1"/>
  <c r="AB35" i="19"/>
  <c r="AC39" i="18" s="1"/>
  <c r="X39" s="1"/>
  <c r="Z39" s="1"/>
  <c r="F35" i="19"/>
  <c r="AC43" i="18" s="1"/>
  <c r="X43" s="1"/>
  <c r="C4"/>
  <c r="G20"/>
  <c r="D21"/>
  <c r="BH4"/>
  <c r="BJ50"/>
  <c r="K31"/>
  <c r="G21"/>
  <c r="C12"/>
  <c r="V39" l="1"/>
  <c r="Q39" s="1"/>
  <c r="AE39"/>
  <c r="AI39" s="1"/>
  <c r="AE44"/>
  <c r="AI44" s="1"/>
  <c r="AE49"/>
  <c r="AI49" s="1"/>
  <c r="AK39"/>
  <c r="V37"/>
  <c r="Q37" s="1"/>
  <c r="Q48"/>
  <c r="V38"/>
  <c r="Q38" s="1"/>
  <c r="V34"/>
  <c r="V47"/>
  <c r="V46"/>
  <c r="Q46" s="1"/>
  <c r="V35"/>
  <c r="Q35" s="1"/>
  <c r="V40"/>
  <c r="Q40" s="1"/>
  <c r="V43"/>
  <c r="Q43" s="1"/>
  <c r="Z43"/>
  <c r="V42"/>
  <c r="Q42" s="1"/>
  <c r="Z42"/>
  <c r="W20" i="1"/>
  <c r="AC41" i="18"/>
  <c r="E40" i="19"/>
  <c r="E42" s="1"/>
  <c r="E39" i="18"/>
  <c r="AR26" i="8"/>
  <c r="AR34" i="23"/>
  <c r="AR26"/>
  <c r="AR28" s="1"/>
  <c r="AT34"/>
  <c r="AZ28"/>
  <c r="AZ30"/>
  <c r="AZ34" s="1"/>
  <c r="K32" i="18"/>
  <c r="F4" s="1"/>
  <c r="BI4"/>
  <c r="BG51"/>
  <c r="E12"/>
  <c r="D22"/>
  <c r="D4" s="1"/>
  <c r="AI50" l="1"/>
  <c r="Q47"/>
  <c r="Q51" s="1"/>
  <c r="AI25"/>
  <c r="AK44"/>
  <c r="AK49"/>
  <c r="AK47"/>
  <c r="AK43"/>
  <c r="AK36"/>
  <c r="AK38"/>
  <c r="AK42"/>
  <c r="AK35"/>
  <c r="AK40"/>
  <c r="AK37"/>
  <c r="AK46"/>
  <c r="AK48"/>
  <c r="AH50"/>
  <c r="X41"/>
  <c r="AC50"/>
  <c r="F12"/>
  <c r="D12"/>
  <c r="BH5"/>
  <c r="BJ51"/>
  <c r="BI5" s="1"/>
  <c r="Z41" l="1"/>
  <c r="X50"/>
  <c r="BG52"/>
  <c r="AK41" l="1"/>
  <c r="AU25"/>
  <c r="BC25"/>
  <c r="AM25"/>
  <c r="AY25"/>
  <c r="AQ25"/>
  <c r="AE25"/>
  <c r="X51"/>
  <c r="C23"/>
  <c r="BH6"/>
  <c r="BJ52"/>
  <c r="BI6" s="1"/>
  <c r="AE23" l="1"/>
  <c r="BK25" s="1"/>
  <c r="AC27"/>
  <c r="AM23"/>
  <c r="BK27" s="1"/>
  <c r="AK27"/>
  <c r="AU23"/>
  <c r="BK29" s="1"/>
  <c r="AS27"/>
  <c r="AY23"/>
  <c r="BK30" s="1"/>
  <c r="AW27"/>
  <c r="AI23"/>
  <c r="BK26" s="1"/>
  <c r="AG27"/>
  <c r="AQ23"/>
  <c r="BK28" s="1"/>
  <c r="AO27"/>
  <c r="BC23"/>
  <c r="BA27"/>
  <c r="C26"/>
  <c r="C25"/>
  <c r="BG53"/>
  <c r="BK31" l="1"/>
  <c r="BF23"/>
  <c r="BH7"/>
  <c r="BJ53"/>
  <c r="BI7" s="1"/>
  <c r="BG54" l="1"/>
  <c r="BH8" l="1"/>
  <c r="BJ54"/>
  <c r="BI8" s="1"/>
  <c r="BG55" l="1"/>
  <c r="BH9" l="1"/>
  <c r="BJ55"/>
  <c r="BI9" s="1"/>
  <c r="BG56" l="1"/>
  <c r="BH10" l="1"/>
  <c r="BJ56"/>
  <c r="BI10" s="1"/>
  <c r="BG57" l="1"/>
  <c r="BJ57" l="1"/>
  <c r="BI11" s="1"/>
  <c r="BH11"/>
  <c r="BG58" l="1"/>
  <c r="BJ58" l="1"/>
  <c r="BI12" s="1"/>
  <c r="BH12"/>
  <c r="BG59" l="1"/>
  <c r="BJ59" l="1"/>
  <c r="BI13" s="1"/>
  <c r="BH13"/>
  <c r="BG60" l="1"/>
  <c r="BJ60" l="1"/>
  <c r="BI14" s="1"/>
  <c r="BH14"/>
  <c r="BG61" l="1"/>
  <c r="BJ61" l="1"/>
  <c r="BI15" s="1"/>
  <c r="BH15"/>
  <c r="BG62" l="1"/>
  <c r="BJ62" s="1"/>
  <c r="BG63" s="1"/>
  <c r="BJ63" l="1"/>
  <c r="BG64" s="1"/>
  <c r="BJ64" l="1"/>
  <c r="BG65" s="1"/>
  <c r="BJ65" l="1"/>
  <c r="BG66" s="1"/>
  <c r="BJ66" l="1"/>
  <c r="BG67" s="1"/>
  <c r="BJ67" l="1"/>
  <c r="BG68" s="1"/>
  <c r="BJ68" l="1"/>
  <c r="BG69" s="1"/>
  <c r="BJ69" l="1"/>
  <c r="BG70" s="1"/>
  <c r="BJ70" l="1"/>
  <c r="BG71" s="1"/>
  <c r="BJ71" l="1"/>
  <c r="BG72" s="1"/>
  <c r="BJ72" l="1"/>
  <c r="BG73" s="1"/>
  <c r="BK4" l="1"/>
  <c r="BJ73"/>
  <c r="BL4" s="1"/>
  <c r="BG74" l="1"/>
  <c r="BJ74" s="1"/>
  <c r="BG75" s="1"/>
  <c r="BJ75" l="1"/>
  <c r="BG76" s="1"/>
  <c r="BJ76" l="1"/>
  <c r="BG77" s="1"/>
  <c r="BJ77" l="1"/>
  <c r="BG78" s="1"/>
  <c r="BJ78" l="1"/>
  <c r="BG79" s="1"/>
  <c r="BJ79" l="1"/>
  <c r="BG80" s="1"/>
  <c r="BJ80" l="1"/>
  <c r="BG81" s="1"/>
  <c r="BJ81" l="1"/>
  <c r="BG82" s="1"/>
  <c r="BJ82" l="1"/>
  <c r="BG83" s="1"/>
  <c r="BJ83" l="1"/>
  <c r="BG84" s="1"/>
  <c r="BJ84" l="1"/>
  <c r="BG85" s="1"/>
  <c r="BK5" l="1"/>
  <c r="BJ85"/>
  <c r="BL5" s="1"/>
  <c r="BG86" l="1"/>
  <c r="BJ86" s="1"/>
  <c r="BG87" s="1"/>
  <c r="BJ87" l="1"/>
  <c r="BG88" s="1"/>
  <c r="BJ88" l="1"/>
  <c r="BG89" s="1"/>
  <c r="BJ89" l="1"/>
  <c r="BG90" s="1"/>
  <c r="BJ90" l="1"/>
  <c r="BG91" s="1"/>
  <c r="BJ91" l="1"/>
  <c r="BG92" s="1"/>
  <c r="BJ92" l="1"/>
  <c r="BG93" s="1"/>
  <c r="BJ93" l="1"/>
  <c r="BG94" s="1"/>
  <c r="BJ94" l="1"/>
  <c r="BG95" s="1"/>
  <c r="BJ95" l="1"/>
  <c r="BG96" s="1"/>
  <c r="BJ96" l="1"/>
  <c r="BG97" s="1"/>
  <c r="BK6" l="1"/>
  <c r="BJ97"/>
  <c r="BL6" s="1"/>
  <c r="BG98" l="1"/>
  <c r="BJ98" s="1"/>
  <c r="BG99" s="1"/>
  <c r="BJ99" l="1"/>
  <c r="BG100" s="1"/>
  <c r="BJ100" l="1"/>
  <c r="BG101" s="1"/>
  <c r="BJ101" l="1"/>
  <c r="BG102" s="1"/>
  <c r="BJ102" l="1"/>
  <c r="BG103" s="1"/>
  <c r="BJ103" l="1"/>
  <c r="BG104" s="1"/>
  <c r="BJ104" l="1"/>
  <c r="BG105" s="1"/>
  <c r="BJ105" l="1"/>
  <c r="BG106" s="1"/>
  <c r="BJ106" l="1"/>
  <c r="BG107" s="1"/>
  <c r="BJ107" l="1"/>
  <c r="BG108" s="1"/>
  <c r="BJ108" l="1"/>
  <c r="BG109" s="1"/>
  <c r="BK7" l="1"/>
  <c r="BJ109"/>
  <c r="BL7" s="1"/>
  <c r="BG110" l="1"/>
  <c r="BJ110" s="1"/>
  <c r="BG111" s="1"/>
  <c r="BJ111" l="1"/>
  <c r="BG112" s="1"/>
  <c r="BJ112" l="1"/>
  <c r="BG113" s="1"/>
  <c r="BJ113" l="1"/>
  <c r="BG114" s="1"/>
  <c r="BJ114" l="1"/>
  <c r="BG115" s="1"/>
  <c r="BJ115" l="1"/>
  <c r="BG116" s="1"/>
  <c r="BJ116" l="1"/>
  <c r="BG117" s="1"/>
  <c r="BJ117" l="1"/>
  <c r="BG118" s="1"/>
  <c r="BJ118" l="1"/>
  <c r="BG119" s="1"/>
  <c r="BJ119" l="1"/>
  <c r="BG120" s="1"/>
  <c r="BJ120" l="1"/>
  <c r="BG121" s="1"/>
  <c r="BK8" l="1"/>
  <c r="BJ121"/>
  <c r="BL8" s="1"/>
  <c r="BG122" l="1"/>
  <c r="BJ122" s="1"/>
  <c r="BG123" s="1"/>
  <c r="BJ123" l="1"/>
  <c r="BG124" s="1"/>
  <c r="BJ124" l="1"/>
  <c r="BG125" s="1"/>
  <c r="BJ125" l="1"/>
  <c r="BG126" s="1"/>
  <c r="BJ126" l="1"/>
  <c r="BG127" s="1"/>
  <c r="BJ127" l="1"/>
  <c r="BG128" s="1"/>
  <c r="BJ128" l="1"/>
  <c r="BG129" s="1"/>
  <c r="BJ129" l="1"/>
  <c r="BG130" s="1"/>
  <c r="BJ130" l="1"/>
  <c r="BG131" s="1"/>
  <c r="BJ131" l="1"/>
  <c r="BG132" s="1"/>
  <c r="BJ132" l="1"/>
  <c r="BG133" s="1"/>
  <c r="BK9" l="1"/>
  <c r="BJ133"/>
  <c r="BL9" s="1"/>
  <c r="BG134" l="1"/>
  <c r="BJ134" s="1"/>
  <c r="BG135" s="1"/>
  <c r="BJ135" l="1"/>
  <c r="BG136" s="1"/>
  <c r="BJ136" l="1"/>
  <c r="BG137" s="1"/>
  <c r="BJ137" l="1"/>
  <c r="BG138" s="1"/>
  <c r="BJ138" l="1"/>
  <c r="BG139" s="1"/>
  <c r="BJ139" l="1"/>
  <c r="BG140" s="1"/>
  <c r="BJ140" l="1"/>
  <c r="BG141" s="1"/>
  <c r="BJ141" l="1"/>
  <c r="BG142" s="1"/>
  <c r="BJ142" l="1"/>
  <c r="BG143" s="1"/>
  <c r="BJ143" l="1"/>
  <c r="BG144" s="1"/>
  <c r="BJ144" l="1"/>
  <c r="BG145" s="1"/>
  <c r="BK10" l="1"/>
  <c r="BJ145"/>
  <c r="BL10" s="1"/>
  <c r="BG146" l="1"/>
  <c r="BJ146" s="1"/>
  <c r="BG147" s="1"/>
  <c r="BJ147" l="1"/>
  <c r="BG148" s="1"/>
  <c r="BJ148" l="1"/>
  <c r="BG149" s="1"/>
  <c r="BJ149" l="1"/>
  <c r="BG150" s="1"/>
  <c r="BJ150" l="1"/>
  <c r="BG151" s="1"/>
  <c r="BJ151" l="1"/>
  <c r="BG152" s="1"/>
  <c r="BJ152" l="1"/>
  <c r="BG153" s="1"/>
  <c r="BJ153" l="1"/>
  <c r="BG154" s="1"/>
  <c r="BJ154" l="1"/>
  <c r="BG155" s="1"/>
  <c r="BJ155" l="1"/>
  <c r="BG156" s="1"/>
  <c r="BJ156" l="1"/>
  <c r="BG157" s="1"/>
  <c r="BK11" l="1"/>
  <c r="BJ157"/>
  <c r="BL11" s="1"/>
  <c r="BG158" l="1"/>
  <c r="BJ158" s="1"/>
  <c r="BG159" s="1"/>
  <c r="BJ159" l="1"/>
  <c r="BG160" s="1"/>
  <c r="BJ160" l="1"/>
  <c r="BG161" s="1"/>
  <c r="BJ161" l="1"/>
  <c r="BG162" s="1"/>
  <c r="BJ162" l="1"/>
  <c r="BG163" s="1"/>
  <c r="BJ163" l="1"/>
  <c r="BG164" s="1"/>
  <c r="BJ164" l="1"/>
  <c r="BG165" s="1"/>
  <c r="BJ165" l="1"/>
  <c r="BG166" s="1"/>
  <c r="BJ166" l="1"/>
  <c r="BG167" s="1"/>
  <c r="BJ167" l="1"/>
  <c r="BG168" s="1"/>
  <c r="BJ168" l="1"/>
  <c r="BG169" s="1"/>
  <c r="BK12" l="1"/>
  <c r="BJ169"/>
  <c r="BL12" s="1"/>
  <c r="BG170" l="1"/>
  <c r="BJ170" s="1"/>
  <c r="BG171" s="1"/>
  <c r="BJ171" l="1"/>
  <c r="BG172" s="1"/>
  <c r="BJ172" l="1"/>
  <c r="BG173" s="1"/>
  <c r="BJ173" l="1"/>
  <c r="BG174" s="1"/>
  <c r="BJ174" l="1"/>
  <c r="BG175" s="1"/>
  <c r="BJ175" l="1"/>
  <c r="BG176" s="1"/>
  <c r="BJ176" l="1"/>
  <c r="BG177" s="1"/>
  <c r="BJ177" l="1"/>
  <c r="BG178" s="1"/>
  <c r="BJ178" l="1"/>
  <c r="BG179" s="1"/>
  <c r="BJ179" l="1"/>
  <c r="BG180" s="1"/>
  <c r="BJ180" l="1"/>
  <c r="BG181" s="1"/>
  <c r="BK13" l="1"/>
  <c r="BJ181"/>
  <c r="BL13" s="1"/>
  <c r="BG182" l="1"/>
  <c r="BJ182" s="1"/>
  <c r="BG183" s="1"/>
  <c r="BJ183" l="1"/>
  <c r="BG184" s="1"/>
  <c r="BJ184" l="1"/>
  <c r="BG185" s="1"/>
  <c r="BJ185" l="1"/>
  <c r="BG186" s="1"/>
  <c r="BJ186" l="1"/>
  <c r="BG187" s="1"/>
  <c r="BJ187" l="1"/>
  <c r="BG188" s="1"/>
  <c r="BJ188" l="1"/>
  <c r="BG189" s="1"/>
  <c r="BJ189" l="1"/>
  <c r="BG190" s="1"/>
  <c r="BJ190" l="1"/>
  <c r="BG191" s="1"/>
  <c r="BJ191" l="1"/>
  <c r="BG192" s="1"/>
  <c r="BJ192" l="1"/>
  <c r="BG193" s="1"/>
  <c r="BK14" l="1"/>
  <c r="BJ193"/>
  <c r="BL14" s="1"/>
  <c r="BG194" l="1"/>
  <c r="BJ194" s="1"/>
  <c r="BG195" s="1"/>
  <c r="BJ195" l="1"/>
  <c r="BG196" s="1"/>
  <c r="BJ196" l="1"/>
  <c r="BG197" s="1"/>
  <c r="BJ197" l="1"/>
  <c r="BG198" s="1"/>
  <c r="BJ198" l="1"/>
  <c r="BG199" s="1"/>
  <c r="BJ199" l="1"/>
  <c r="BG200" s="1"/>
  <c r="BJ200" l="1"/>
  <c r="BG201" s="1"/>
  <c r="BJ201" l="1"/>
  <c r="BG202" s="1"/>
  <c r="BJ202" l="1"/>
  <c r="BG203" s="1"/>
  <c r="BJ203" l="1"/>
  <c r="BG204" s="1"/>
  <c r="BJ204" l="1"/>
  <c r="BG205" s="1"/>
  <c r="BK15" l="1"/>
  <c r="BJ205"/>
  <c r="BL15" s="1"/>
  <c r="BG206" l="1"/>
  <c r="BJ206" s="1"/>
  <c r="BG207" s="1"/>
  <c r="BJ207" l="1"/>
  <c r="BG208" s="1"/>
  <c r="BJ208" l="1"/>
  <c r="BG209" s="1"/>
  <c r="BJ209" l="1"/>
  <c r="BG210" s="1"/>
  <c r="BJ210" l="1"/>
  <c r="BG211" s="1"/>
  <c r="BJ211" l="1"/>
  <c r="BG212" s="1"/>
  <c r="BJ212" l="1"/>
  <c r="BG213" s="1"/>
  <c r="BJ213" l="1"/>
  <c r="BG214" s="1"/>
  <c r="BJ214" l="1"/>
  <c r="BG215" s="1"/>
  <c r="BJ215" l="1"/>
  <c r="BG216" s="1"/>
  <c r="BJ216" l="1"/>
  <c r="BG217" s="1"/>
  <c r="BJ217" l="1"/>
  <c r="BG218" s="1"/>
  <c r="BJ218" l="1"/>
  <c r="BG219" s="1"/>
  <c r="BJ219" l="1"/>
  <c r="BG220" s="1"/>
  <c r="BJ220" l="1"/>
  <c r="BG221" s="1"/>
  <c r="BJ221" l="1"/>
  <c r="BG222" s="1"/>
  <c r="BJ222" l="1"/>
  <c r="BG223" s="1"/>
  <c r="BJ223" l="1"/>
  <c r="BG224" s="1"/>
  <c r="BJ224" l="1"/>
  <c r="BG225" s="1"/>
  <c r="BJ225" l="1"/>
  <c r="BG226" s="1"/>
  <c r="BJ226" l="1"/>
  <c r="BG227" s="1"/>
  <c r="BJ227" l="1"/>
  <c r="BG228" s="1"/>
  <c r="BJ228" l="1"/>
  <c r="BG229" s="1"/>
  <c r="BN4" l="1"/>
  <c r="BJ229"/>
  <c r="BO4" s="1"/>
  <c r="BG230" l="1"/>
  <c r="BJ230" l="1"/>
  <c r="BG231" s="1"/>
  <c r="BJ231" l="1"/>
  <c r="BG232" s="1"/>
  <c r="BJ232" l="1"/>
  <c r="BG233" s="1"/>
  <c r="BJ233" l="1"/>
  <c r="BG234" s="1"/>
  <c r="BJ234" l="1"/>
  <c r="BG235" s="1"/>
  <c r="BJ235" l="1"/>
  <c r="BG236" s="1"/>
  <c r="BJ236" l="1"/>
  <c r="BG237" s="1"/>
  <c r="BJ237" l="1"/>
  <c r="BG238" s="1"/>
  <c r="BJ238" l="1"/>
  <c r="BG239" s="1"/>
  <c r="BJ239" l="1"/>
  <c r="BG240" s="1"/>
  <c r="BJ240" l="1"/>
  <c r="BG241" s="1"/>
  <c r="BN5" l="1"/>
  <c r="BJ241"/>
  <c r="BO5" s="1"/>
  <c r="BG242" l="1"/>
  <c r="BJ242" l="1"/>
  <c r="BG243" s="1"/>
  <c r="BJ243" l="1"/>
  <c r="BG244" s="1"/>
  <c r="BJ244" l="1"/>
  <c r="BG245" s="1"/>
  <c r="BJ245" l="1"/>
  <c r="BG246" s="1"/>
  <c r="BJ246" l="1"/>
  <c r="BG247" s="1"/>
  <c r="BJ247" l="1"/>
  <c r="BG248" s="1"/>
  <c r="BJ248" l="1"/>
  <c r="BG249" s="1"/>
  <c r="BJ249" l="1"/>
  <c r="BG250" s="1"/>
  <c r="BJ250" l="1"/>
  <c r="BG251" s="1"/>
  <c r="BJ251" l="1"/>
  <c r="BG252" s="1"/>
  <c r="BJ252" l="1"/>
  <c r="BG253" s="1"/>
  <c r="BN6" l="1"/>
  <c r="BJ253"/>
  <c r="BO6" s="1"/>
  <c r="BG254" l="1"/>
  <c r="BJ254" l="1"/>
  <c r="BG255" s="1"/>
  <c r="BJ255" l="1"/>
  <c r="BG256" s="1"/>
  <c r="BJ256" l="1"/>
  <c r="BG257" s="1"/>
  <c r="BJ257" l="1"/>
  <c r="BG258" s="1"/>
  <c r="BJ258" l="1"/>
  <c r="BG259" s="1"/>
  <c r="BJ259" l="1"/>
  <c r="BG260" s="1"/>
  <c r="BJ260" l="1"/>
  <c r="BG261" s="1"/>
  <c r="BJ261" l="1"/>
  <c r="BG262" s="1"/>
  <c r="BJ262" l="1"/>
  <c r="BG263" s="1"/>
  <c r="BJ263" l="1"/>
  <c r="BG264" s="1"/>
  <c r="BJ264" l="1"/>
  <c r="BG265" s="1"/>
  <c r="BN7" l="1"/>
  <c r="BJ265"/>
  <c r="BO7" s="1"/>
  <c r="BG266" l="1"/>
  <c r="BJ266" l="1"/>
  <c r="BG267" s="1"/>
  <c r="BJ267" l="1"/>
  <c r="BG268" s="1"/>
  <c r="BJ268" l="1"/>
  <c r="BG269" s="1"/>
  <c r="BJ269" l="1"/>
  <c r="BG270" s="1"/>
  <c r="BJ270" l="1"/>
  <c r="BG271" s="1"/>
  <c r="BJ271" l="1"/>
  <c r="BG272" s="1"/>
  <c r="BJ272" l="1"/>
  <c r="BG273" s="1"/>
  <c r="BJ273" l="1"/>
  <c r="BG274" s="1"/>
  <c r="BJ274" l="1"/>
  <c r="BG275" s="1"/>
  <c r="BJ275" l="1"/>
  <c r="BG276" s="1"/>
  <c r="BJ276" l="1"/>
  <c r="BG277" s="1"/>
  <c r="BN8" l="1"/>
  <c r="BJ277"/>
  <c r="BO8" s="1"/>
  <c r="BG278" l="1"/>
  <c r="BJ278" l="1"/>
  <c r="BG279" s="1"/>
  <c r="BJ279" l="1"/>
  <c r="BG280" s="1"/>
  <c r="BJ280" l="1"/>
  <c r="BG281" s="1"/>
  <c r="BJ281" l="1"/>
  <c r="BG282" s="1"/>
  <c r="BJ282" l="1"/>
  <c r="BG283" s="1"/>
  <c r="BJ283" l="1"/>
  <c r="BG284" s="1"/>
  <c r="BJ284" l="1"/>
  <c r="BG285" s="1"/>
  <c r="BJ285" l="1"/>
  <c r="BG286" s="1"/>
  <c r="BJ286" l="1"/>
  <c r="BG287" s="1"/>
  <c r="BJ287" l="1"/>
  <c r="BG288" s="1"/>
  <c r="BJ288" l="1"/>
  <c r="BG289" s="1"/>
  <c r="I24" i="17"/>
  <c r="I25" s="1"/>
  <c r="H17"/>
  <c r="H18" s="1"/>
  <c r="L13"/>
  <c r="L16" s="1"/>
  <c r="G13"/>
  <c r="C24"/>
  <c r="C25" s="1"/>
  <c r="D23"/>
  <c r="D24" s="1"/>
  <c r="D25" s="1"/>
  <c r="D26" s="1"/>
  <c r="B24" s="1"/>
  <c r="E20"/>
  <c r="C20"/>
  <c r="E18"/>
  <c r="E17" s="1"/>
  <c r="C18"/>
  <c r="C17" s="1"/>
  <c r="E14"/>
  <c r="E13"/>
  <c r="C13"/>
  <c r="D12"/>
  <c r="E11"/>
  <c r="C11"/>
  <c r="D11" s="1"/>
  <c r="B11"/>
  <c r="E6"/>
  <c r="E7" s="1"/>
  <c r="C6"/>
  <c r="C7" s="1"/>
  <c r="C8" s="1"/>
  <c r="B6"/>
  <c r="D5"/>
  <c r="D6" s="1"/>
  <c r="D7" s="1"/>
  <c r="D8" s="1"/>
  <c r="H16" i="4"/>
  <c r="G16"/>
  <c r="C23" i="1"/>
  <c r="C22"/>
  <c r="C30"/>
  <c r="C21"/>
  <c r="O55"/>
  <c r="O56"/>
  <c r="O57"/>
  <c r="O58"/>
  <c r="R4"/>
  <c r="E48"/>
  <c r="F48"/>
  <c r="H48"/>
  <c r="I48"/>
  <c r="J48"/>
  <c r="K48"/>
  <c r="N48"/>
  <c r="D48"/>
  <c r="H15" i="4"/>
  <c r="G15"/>
  <c r="H14"/>
  <c r="G14"/>
  <c r="H13"/>
  <c r="G13"/>
  <c r="H12"/>
  <c r="G12"/>
  <c r="E17" i="3"/>
  <c r="C14" i="17" l="1"/>
  <c r="D14" s="1"/>
  <c r="D13"/>
  <c r="BN9" i="18"/>
  <c r="BJ289"/>
  <c r="BO9" s="1"/>
  <c r="B7" i="17"/>
  <c r="B8" s="1"/>
  <c r="B13"/>
  <c r="B14" s="1"/>
  <c r="B17"/>
  <c r="E8"/>
  <c r="B23"/>
  <c r="B25" s="1"/>
  <c r="L17"/>
  <c r="L18" s="1"/>
  <c r="L19" s="1"/>
  <c r="L22" s="1"/>
  <c r="BG290" i="18" l="1"/>
  <c r="BJ290" l="1"/>
  <c r="BG291" s="1"/>
  <c r="BJ291" l="1"/>
  <c r="BG292" s="1"/>
  <c r="H11" i="4"/>
  <c r="G11"/>
  <c r="AF12"/>
  <c r="H10"/>
  <c r="R10" s="1"/>
  <c r="G10"/>
  <c r="AH10" s="1"/>
  <c r="H9"/>
  <c r="G9"/>
  <c r="H8"/>
  <c r="G8"/>
  <c r="AH8" s="1"/>
  <c r="H7"/>
  <c r="G7"/>
  <c r="AH7" s="1"/>
  <c r="H6"/>
  <c r="R6" s="1"/>
  <c r="G6"/>
  <c r="AH6" s="1"/>
  <c r="H5"/>
  <c r="G5"/>
  <c r="H4"/>
  <c r="Q4" s="1"/>
  <c r="G4"/>
  <c r="AG4" s="1"/>
  <c r="H3"/>
  <c r="G3"/>
  <c r="E63"/>
  <c r="AK62"/>
  <c r="AJ62"/>
  <c r="AI62"/>
  <c r="AH62"/>
  <c r="AG62"/>
  <c r="AF62"/>
  <c r="AE62"/>
  <c r="AD62"/>
  <c r="AC62"/>
  <c r="AB62"/>
  <c r="AA62"/>
  <c r="Z62"/>
  <c r="U62"/>
  <c r="T62"/>
  <c r="S62"/>
  <c r="R62"/>
  <c r="Q62"/>
  <c r="P62"/>
  <c r="O62"/>
  <c r="N62"/>
  <c r="M62"/>
  <c r="L62"/>
  <c r="K62"/>
  <c r="J62"/>
  <c r="H62"/>
  <c r="G62"/>
  <c r="AK61"/>
  <c r="AJ61"/>
  <c r="AI61"/>
  <c r="AH61"/>
  <c r="AG61"/>
  <c r="AF61"/>
  <c r="AE61"/>
  <c r="AD61"/>
  <c r="AC61"/>
  <c r="AB61"/>
  <c r="AA61"/>
  <c r="Z61"/>
  <c r="U61"/>
  <c r="T61"/>
  <c r="S61"/>
  <c r="R61"/>
  <c r="Q61"/>
  <c r="P61"/>
  <c r="O61"/>
  <c r="N61"/>
  <c r="M61"/>
  <c r="L61"/>
  <c r="K61"/>
  <c r="J61"/>
  <c r="H61"/>
  <c r="G61"/>
  <c r="AK60"/>
  <c r="AJ60"/>
  <c r="AI60"/>
  <c r="AH60"/>
  <c r="AG60"/>
  <c r="AF60"/>
  <c r="AE60"/>
  <c r="AD60"/>
  <c r="AC60"/>
  <c r="AB60"/>
  <c r="AA60"/>
  <c r="Z60"/>
  <c r="U60"/>
  <c r="T60"/>
  <c r="S60"/>
  <c r="R60"/>
  <c r="Q60"/>
  <c r="P60"/>
  <c r="O60"/>
  <c r="N60"/>
  <c r="M60"/>
  <c r="L60"/>
  <c r="K60"/>
  <c r="J60"/>
  <c r="H60"/>
  <c r="G60"/>
  <c r="AK59"/>
  <c r="AJ59"/>
  <c r="AI59"/>
  <c r="AH59"/>
  <c r="AG59"/>
  <c r="AF59"/>
  <c r="AE59"/>
  <c r="AD59"/>
  <c r="AC59"/>
  <c r="AB59"/>
  <c r="AA59"/>
  <c r="Z59"/>
  <c r="U59"/>
  <c r="T59"/>
  <c r="S59"/>
  <c r="R59"/>
  <c r="Q59"/>
  <c r="P59"/>
  <c r="O59"/>
  <c r="N59"/>
  <c r="M59"/>
  <c r="L59"/>
  <c r="K59"/>
  <c r="J59"/>
  <c r="H59"/>
  <c r="G59"/>
  <c r="AK58"/>
  <c r="AJ58"/>
  <c r="AI58"/>
  <c r="AH58"/>
  <c r="AG58"/>
  <c r="AF58"/>
  <c r="AE58"/>
  <c r="AD58"/>
  <c r="AC58"/>
  <c r="AB58"/>
  <c r="AA58"/>
  <c r="Z58"/>
  <c r="U58"/>
  <c r="T58"/>
  <c r="S58"/>
  <c r="R58"/>
  <c r="Q58"/>
  <c r="P58"/>
  <c r="O58"/>
  <c r="N58"/>
  <c r="M58"/>
  <c r="L58"/>
  <c r="K58"/>
  <c r="J58"/>
  <c r="H58"/>
  <c r="G58"/>
  <c r="AK57"/>
  <c r="AJ57"/>
  <c r="AI57"/>
  <c r="AH57"/>
  <c r="AG57"/>
  <c r="AF57"/>
  <c r="AE57"/>
  <c r="AD57"/>
  <c r="AC57"/>
  <c r="AB57"/>
  <c r="AA57"/>
  <c r="Z57"/>
  <c r="U57"/>
  <c r="T57"/>
  <c r="S57"/>
  <c r="R57"/>
  <c r="Q57"/>
  <c r="P57"/>
  <c r="O57"/>
  <c r="N57"/>
  <c r="M57"/>
  <c r="L57"/>
  <c r="K57"/>
  <c r="J57"/>
  <c r="H57"/>
  <c r="G57"/>
  <c r="AK56"/>
  <c r="AJ56"/>
  <c r="AI56"/>
  <c r="AH56"/>
  <c r="AG56"/>
  <c r="AF56"/>
  <c r="AE56"/>
  <c r="AD56"/>
  <c r="AC56"/>
  <c r="AB56"/>
  <c r="AA56"/>
  <c r="Z56"/>
  <c r="U56"/>
  <c r="T56"/>
  <c r="S56"/>
  <c r="R56"/>
  <c r="Q56"/>
  <c r="P56"/>
  <c r="O56"/>
  <c r="N56"/>
  <c r="M56"/>
  <c r="L56"/>
  <c r="K56"/>
  <c r="J56"/>
  <c r="H56"/>
  <c r="G56"/>
  <c r="AK55"/>
  <c r="AJ55"/>
  <c r="AI55"/>
  <c r="AH55"/>
  <c r="AG55"/>
  <c r="AF55"/>
  <c r="AE55"/>
  <c r="AD55"/>
  <c r="AC55"/>
  <c r="AB55"/>
  <c r="AA55"/>
  <c r="Z55"/>
  <c r="U55"/>
  <c r="T55"/>
  <c r="S55"/>
  <c r="R55"/>
  <c r="Q55"/>
  <c r="P55"/>
  <c r="O55"/>
  <c r="N55"/>
  <c r="M55"/>
  <c r="L55"/>
  <c r="K55"/>
  <c r="J55"/>
  <c r="H55"/>
  <c r="G55"/>
  <c r="AK54"/>
  <c r="AJ54"/>
  <c r="AI54"/>
  <c r="AH54"/>
  <c r="AG54"/>
  <c r="AF54"/>
  <c r="AE54"/>
  <c r="AD54"/>
  <c r="AC54"/>
  <c r="AB54"/>
  <c r="AA54"/>
  <c r="Z54"/>
  <c r="U54"/>
  <c r="T54"/>
  <c r="S54"/>
  <c r="R54"/>
  <c r="Q54"/>
  <c r="P54"/>
  <c r="O54"/>
  <c r="N54"/>
  <c r="M54"/>
  <c r="L54"/>
  <c r="K54"/>
  <c r="J54"/>
  <c r="H54"/>
  <c r="G54"/>
  <c r="AK53"/>
  <c r="AJ53"/>
  <c r="AI53"/>
  <c r="AH53"/>
  <c r="AG53"/>
  <c r="AF53"/>
  <c r="AE53"/>
  <c r="AD53"/>
  <c r="AC53"/>
  <c r="AB53"/>
  <c r="AA53"/>
  <c r="Z53"/>
  <c r="U53"/>
  <c r="T53"/>
  <c r="S53"/>
  <c r="R53"/>
  <c r="Q53"/>
  <c r="P53"/>
  <c r="O53"/>
  <c r="N53"/>
  <c r="M53"/>
  <c r="L53"/>
  <c r="K53"/>
  <c r="J53"/>
  <c r="H53"/>
  <c r="G53"/>
  <c r="AK52"/>
  <c r="AJ52"/>
  <c r="AI52"/>
  <c r="AH52"/>
  <c r="AG52"/>
  <c r="AF52"/>
  <c r="AE52"/>
  <c r="AD52"/>
  <c r="AC52"/>
  <c r="AB52"/>
  <c r="AA52"/>
  <c r="Z52"/>
  <c r="U52"/>
  <c r="T52"/>
  <c r="S52"/>
  <c r="R52"/>
  <c r="Q52"/>
  <c r="P52"/>
  <c r="O52"/>
  <c r="N52"/>
  <c r="M52"/>
  <c r="L52"/>
  <c r="K52"/>
  <c r="J52"/>
  <c r="H52"/>
  <c r="G52"/>
  <c r="AK51"/>
  <c r="AJ51"/>
  <c r="AI51"/>
  <c r="AH51"/>
  <c r="AG51"/>
  <c r="AF51"/>
  <c r="AE51"/>
  <c r="AD51"/>
  <c r="AC51"/>
  <c r="AB51"/>
  <c r="AA51"/>
  <c r="Z51"/>
  <c r="U51"/>
  <c r="T51"/>
  <c r="S51"/>
  <c r="R51"/>
  <c r="Q51"/>
  <c r="P51"/>
  <c r="O51"/>
  <c r="N51"/>
  <c r="M51"/>
  <c r="L51"/>
  <c r="K51"/>
  <c r="J51"/>
  <c r="H51"/>
  <c r="G51"/>
  <c r="AK50"/>
  <c r="AJ50"/>
  <c r="AI50"/>
  <c r="AH50"/>
  <c r="AG50"/>
  <c r="AF50"/>
  <c r="AE50"/>
  <c r="AD50"/>
  <c r="AC50"/>
  <c r="AB50"/>
  <c r="AA50"/>
  <c r="Z50"/>
  <c r="U50"/>
  <c r="T50"/>
  <c r="S50"/>
  <c r="R50"/>
  <c r="Q50"/>
  <c r="P50"/>
  <c r="O50"/>
  <c r="N50"/>
  <c r="M50"/>
  <c r="L50"/>
  <c r="K50"/>
  <c r="J50"/>
  <c r="H50"/>
  <c r="G50"/>
  <c r="AK49"/>
  <c r="AJ49"/>
  <c r="AI49"/>
  <c r="AH49"/>
  <c r="AG49"/>
  <c r="AF49"/>
  <c r="AE49"/>
  <c r="AD49"/>
  <c r="AC49"/>
  <c r="AB49"/>
  <c r="AA49"/>
  <c r="Z49"/>
  <c r="U49"/>
  <c r="T49"/>
  <c r="S49"/>
  <c r="R49"/>
  <c r="Q49"/>
  <c r="P49"/>
  <c r="O49"/>
  <c r="N49"/>
  <c r="M49"/>
  <c r="L49"/>
  <c r="K49"/>
  <c r="J49"/>
  <c r="H49"/>
  <c r="G49"/>
  <c r="AK48"/>
  <c r="AJ48"/>
  <c r="AI48"/>
  <c r="AH48"/>
  <c r="AG48"/>
  <c r="AF48"/>
  <c r="AE48"/>
  <c r="AD48"/>
  <c r="AC48"/>
  <c r="AB48"/>
  <c r="AA48"/>
  <c r="Z48"/>
  <c r="U48"/>
  <c r="T48"/>
  <c r="S48"/>
  <c r="R48"/>
  <c r="Q48"/>
  <c r="P48"/>
  <c r="O48"/>
  <c r="N48"/>
  <c r="M48"/>
  <c r="L48"/>
  <c r="K48"/>
  <c r="J48"/>
  <c r="H48"/>
  <c r="G48"/>
  <c r="AK47"/>
  <c r="AJ47"/>
  <c r="AI47"/>
  <c r="AH47"/>
  <c r="AG47"/>
  <c r="AF47"/>
  <c r="AE47"/>
  <c r="AD47"/>
  <c r="AC47"/>
  <c r="AB47"/>
  <c r="AA47"/>
  <c r="Z47"/>
  <c r="U47"/>
  <c r="T47"/>
  <c r="S47"/>
  <c r="R47"/>
  <c r="Q47"/>
  <c r="P47"/>
  <c r="O47"/>
  <c r="N47"/>
  <c r="M47"/>
  <c r="L47"/>
  <c r="K47"/>
  <c r="J47"/>
  <c r="H47"/>
  <c r="G47"/>
  <c r="AK46"/>
  <c r="AJ46"/>
  <c r="AI46"/>
  <c r="AH46"/>
  <c r="AG46"/>
  <c r="AF46"/>
  <c r="AE46"/>
  <c r="AD46"/>
  <c r="AC46"/>
  <c r="AB46"/>
  <c r="AA46"/>
  <c r="Z46"/>
  <c r="U46"/>
  <c r="T46"/>
  <c r="S46"/>
  <c r="R46"/>
  <c r="Q46"/>
  <c r="P46"/>
  <c r="O46"/>
  <c r="N46"/>
  <c r="M46"/>
  <c r="L46"/>
  <c r="K46"/>
  <c r="J46"/>
  <c r="H46"/>
  <c r="G46"/>
  <c r="AK45"/>
  <c r="AJ45"/>
  <c r="AI45"/>
  <c r="AH45"/>
  <c r="AG45"/>
  <c r="AF45"/>
  <c r="AE45"/>
  <c r="AD45"/>
  <c r="AC45"/>
  <c r="AB45"/>
  <c r="AA45"/>
  <c r="Z45"/>
  <c r="U45"/>
  <c r="T45"/>
  <c r="S45"/>
  <c r="R45"/>
  <c r="Q45"/>
  <c r="P45"/>
  <c r="O45"/>
  <c r="N45"/>
  <c r="M45"/>
  <c r="L45"/>
  <c r="K45"/>
  <c r="J45"/>
  <c r="H45"/>
  <c r="G45"/>
  <c r="AK44"/>
  <c r="AJ44"/>
  <c r="AI44"/>
  <c r="AH44"/>
  <c r="AG44"/>
  <c r="AF44"/>
  <c r="AE44"/>
  <c r="AD44"/>
  <c r="AC44"/>
  <c r="AB44"/>
  <c r="AA44"/>
  <c r="Z44"/>
  <c r="U44"/>
  <c r="T44"/>
  <c r="S44"/>
  <c r="R44"/>
  <c r="Q44"/>
  <c r="P44"/>
  <c r="O44"/>
  <c r="N44"/>
  <c r="M44"/>
  <c r="L44"/>
  <c r="K44"/>
  <c r="J44"/>
  <c r="H44"/>
  <c r="G44"/>
  <c r="AK43"/>
  <c r="AJ43"/>
  <c r="AI43"/>
  <c r="AH43"/>
  <c r="AG43"/>
  <c r="AF43"/>
  <c r="AE43"/>
  <c r="AD43"/>
  <c r="AC43"/>
  <c r="AB43"/>
  <c r="AA43"/>
  <c r="Z43"/>
  <c r="U43"/>
  <c r="T43"/>
  <c r="S43"/>
  <c r="R43"/>
  <c r="Q43"/>
  <c r="P43"/>
  <c r="O43"/>
  <c r="N43"/>
  <c r="M43"/>
  <c r="L43"/>
  <c r="K43"/>
  <c r="J43"/>
  <c r="H43"/>
  <c r="G43"/>
  <c r="AK42"/>
  <c r="AJ42"/>
  <c r="AI42"/>
  <c r="AH42"/>
  <c r="AG42"/>
  <c r="AF42"/>
  <c r="AE42"/>
  <c r="AD42"/>
  <c r="AC42"/>
  <c r="AB42"/>
  <c r="AA42"/>
  <c r="Z42"/>
  <c r="U42"/>
  <c r="T42"/>
  <c r="S42"/>
  <c r="R42"/>
  <c r="Q42"/>
  <c r="P42"/>
  <c r="O42"/>
  <c r="N42"/>
  <c r="M42"/>
  <c r="L42"/>
  <c r="K42"/>
  <c r="J42"/>
  <c r="H42"/>
  <c r="G42"/>
  <c r="AK41"/>
  <c r="AJ41"/>
  <c r="AI41"/>
  <c r="AH41"/>
  <c r="AG41"/>
  <c r="AF41"/>
  <c r="AE41"/>
  <c r="AD41"/>
  <c r="AC41"/>
  <c r="AB41"/>
  <c r="AA41"/>
  <c r="Z41"/>
  <c r="U41"/>
  <c r="T41"/>
  <c r="S41"/>
  <c r="R41"/>
  <c r="Q41"/>
  <c r="P41"/>
  <c r="O41"/>
  <c r="N41"/>
  <c r="M41"/>
  <c r="L41"/>
  <c r="K41"/>
  <c r="J41"/>
  <c r="H41"/>
  <c r="G41"/>
  <c r="AK40"/>
  <c r="AJ40"/>
  <c r="AI40"/>
  <c r="AH40"/>
  <c r="AG40"/>
  <c r="AF40"/>
  <c r="AE40"/>
  <c r="AD40"/>
  <c r="AC40"/>
  <c r="AB40"/>
  <c r="AA40"/>
  <c r="Z40"/>
  <c r="U40"/>
  <c r="T40"/>
  <c r="S40"/>
  <c r="R40"/>
  <c r="Q40"/>
  <c r="P40"/>
  <c r="O40"/>
  <c r="N40"/>
  <c r="M40"/>
  <c r="L40"/>
  <c r="K40"/>
  <c r="J40"/>
  <c r="H40"/>
  <c r="G40"/>
  <c r="AK39"/>
  <c r="AJ39"/>
  <c r="AI39"/>
  <c r="AH39"/>
  <c r="AG39"/>
  <c r="AF39"/>
  <c r="AE39"/>
  <c r="AD39"/>
  <c r="AC39"/>
  <c r="AB39"/>
  <c r="AA39"/>
  <c r="Z39"/>
  <c r="U39"/>
  <c r="T39"/>
  <c r="S39"/>
  <c r="R39"/>
  <c r="Q39"/>
  <c r="P39"/>
  <c r="O39"/>
  <c r="N39"/>
  <c r="M39"/>
  <c r="L39"/>
  <c r="K39"/>
  <c r="J39"/>
  <c r="H39"/>
  <c r="G39"/>
  <c r="AK38"/>
  <c r="AJ38"/>
  <c r="AI38"/>
  <c r="AH38"/>
  <c r="AG38"/>
  <c r="AF38"/>
  <c r="AE38"/>
  <c r="AD38"/>
  <c r="AC38"/>
  <c r="AB38"/>
  <c r="AA38"/>
  <c r="Z38"/>
  <c r="U38"/>
  <c r="T38"/>
  <c r="S38"/>
  <c r="R38"/>
  <c r="Q38"/>
  <c r="P38"/>
  <c r="O38"/>
  <c r="N38"/>
  <c r="M38"/>
  <c r="L38"/>
  <c r="K38"/>
  <c r="J38"/>
  <c r="H38"/>
  <c r="G38"/>
  <c r="AK37"/>
  <c r="AJ37"/>
  <c r="AI37"/>
  <c r="AH37"/>
  <c r="AG37"/>
  <c r="AF37"/>
  <c r="AE37"/>
  <c r="AD37"/>
  <c r="AC37"/>
  <c r="AB37"/>
  <c r="AA37"/>
  <c r="Z37"/>
  <c r="U37"/>
  <c r="T37"/>
  <c r="S37"/>
  <c r="R37"/>
  <c r="Q37"/>
  <c r="P37"/>
  <c r="O37"/>
  <c r="N37"/>
  <c r="M37"/>
  <c r="L37"/>
  <c r="K37"/>
  <c r="J37"/>
  <c r="H37"/>
  <c r="G37"/>
  <c r="AK36"/>
  <c r="AJ36"/>
  <c r="AI36"/>
  <c r="AH36"/>
  <c r="AG36"/>
  <c r="AF36"/>
  <c r="AE36"/>
  <c r="AD36"/>
  <c r="AC36"/>
  <c r="AB36"/>
  <c r="AA36"/>
  <c r="Z36"/>
  <c r="U36"/>
  <c r="T36"/>
  <c r="S36"/>
  <c r="R36"/>
  <c r="Q36"/>
  <c r="P36"/>
  <c r="O36"/>
  <c r="N36"/>
  <c r="M36"/>
  <c r="L36"/>
  <c r="K36"/>
  <c r="J36"/>
  <c r="H36"/>
  <c r="G36"/>
  <c r="AK35"/>
  <c r="AJ35"/>
  <c r="AI35"/>
  <c r="AH35"/>
  <c r="AG35"/>
  <c r="AF35"/>
  <c r="AE35"/>
  <c r="AD35"/>
  <c r="AC35"/>
  <c r="AB35"/>
  <c r="AA35"/>
  <c r="Z35"/>
  <c r="U35"/>
  <c r="T35"/>
  <c r="S35"/>
  <c r="R35"/>
  <c r="Q35"/>
  <c r="P35"/>
  <c r="O35"/>
  <c r="N35"/>
  <c r="M35"/>
  <c r="L35"/>
  <c r="K35"/>
  <c r="J35"/>
  <c r="H35"/>
  <c r="G35"/>
  <c r="AK34"/>
  <c r="AJ34"/>
  <c r="AI34"/>
  <c r="AH34"/>
  <c r="AG34"/>
  <c r="AF34"/>
  <c r="AE34"/>
  <c r="AD34"/>
  <c r="AC34"/>
  <c r="AB34"/>
  <c r="AA34"/>
  <c r="Z34"/>
  <c r="U34"/>
  <c r="T34"/>
  <c r="S34"/>
  <c r="R34"/>
  <c r="Q34"/>
  <c r="P34"/>
  <c r="O34"/>
  <c r="N34"/>
  <c r="M34"/>
  <c r="L34"/>
  <c r="K34"/>
  <c r="J34"/>
  <c r="H34"/>
  <c r="G34"/>
  <c r="AK33"/>
  <c r="AJ33"/>
  <c r="AI33"/>
  <c r="AH33"/>
  <c r="AG33"/>
  <c r="AF33"/>
  <c r="AE33"/>
  <c r="AD33"/>
  <c r="AC33"/>
  <c r="AB33"/>
  <c r="AA33"/>
  <c r="Z33"/>
  <c r="U33"/>
  <c r="T33"/>
  <c r="S33"/>
  <c r="R33"/>
  <c r="Q33"/>
  <c r="P33"/>
  <c r="O33"/>
  <c r="N33"/>
  <c r="M33"/>
  <c r="L33"/>
  <c r="K33"/>
  <c r="J33"/>
  <c r="H33"/>
  <c r="G33"/>
  <c r="AK32"/>
  <c r="AJ32"/>
  <c r="AI32"/>
  <c r="AH32"/>
  <c r="AG32"/>
  <c r="AF32"/>
  <c r="AE32"/>
  <c r="AD32"/>
  <c r="AC32"/>
  <c r="AB32"/>
  <c r="AA32"/>
  <c r="Z32"/>
  <c r="U32"/>
  <c r="T32"/>
  <c r="S32"/>
  <c r="R32"/>
  <c r="Q32"/>
  <c r="P32"/>
  <c r="O32"/>
  <c r="N32"/>
  <c r="M32"/>
  <c r="L32"/>
  <c r="K32"/>
  <c r="J32"/>
  <c r="H32"/>
  <c r="G32"/>
  <c r="AK31"/>
  <c r="AJ31"/>
  <c r="AI31"/>
  <c r="AH31"/>
  <c r="AG31"/>
  <c r="AF31"/>
  <c r="AE31"/>
  <c r="AD31"/>
  <c r="AC31"/>
  <c r="AB31"/>
  <c r="AA31"/>
  <c r="Z31"/>
  <c r="U31"/>
  <c r="T31"/>
  <c r="S31"/>
  <c r="R31"/>
  <c r="Q31"/>
  <c r="P31"/>
  <c r="O31"/>
  <c r="N31"/>
  <c r="M31"/>
  <c r="L31"/>
  <c r="K31"/>
  <c r="J31"/>
  <c r="H31"/>
  <c r="G31"/>
  <c r="AK30"/>
  <c r="AJ30"/>
  <c r="AI30"/>
  <c r="AH30"/>
  <c r="AG30"/>
  <c r="AF30"/>
  <c r="AE30"/>
  <c r="AD30"/>
  <c r="AC30"/>
  <c r="AB30"/>
  <c r="AA30"/>
  <c r="Z30"/>
  <c r="U30"/>
  <c r="T30"/>
  <c r="S30"/>
  <c r="R30"/>
  <c r="Q30"/>
  <c r="P30"/>
  <c r="O30"/>
  <c r="N30"/>
  <c r="M30"/>
  <c r="L30"/>
  <c r="K30"/>
  <c r="J30"/>
  <c r="H30"/>
  <c r="G30"/>
  <c r="AK29"/>
  <c r="AJ29"/>
  <c r="AI29"/>
  <c r="AH29"/>
  <c r="AG29"/>
  <c r="AF29"/>
  <c r="AE29"/>
  <c r="AD29"/>
  <c r="AC29"/>
  <c r="AB29"/>
  <c r="AA29"/>
  <c r="Z29"/>
  <c r="U29"/>
  <c r="T29"/>
  <c r="S29"/>
  <c r="R29"/>
  <c r="Q29"/>
  <c r="P29"/>
  <c r="O29"/>
  <c r="N29"/>
  <c r="M29"/>
  <c r="L29"/>
  <c r="K29"/>
  <c r="J29"/>
  <c r="H29"/>
  <c r="G29"/>
  <c r="AW28"/>
  <c r="AW31" s="1"/>
  <c r="AK28"/>
  <c r="AJ28"/>
  <c r="AI28"/>
  <c r="AH28"/>
  <c r="AG28"/>
  <c r="AF28"/>
  <c r="AE28"/>
  <c r="AD28"/>
  <c r="AC28"/>
  <c r="AB28"/>
  <c r="AA28"/>
  <c r="Z28"/>
  <c r="U28"/>
  <c r="T28"/>
  <c r="S28"/>
  <c r="R28"/>
  <c r="Q28"/>
  <c r="P28"/>
  <c r="O28"/>
  <c r="N28"/>
  <c r="M28"/>
  <c r="L28"/>
  <c r="K28"/>
  <c r="J28"/>
  <c r="H28"/>
  <c r="G28"/>
  <c r="AK27"/>
  <c r="AJ27"/>
  <c r="AI27"/>
  <c r="AH27"/>
  <c r="AG27"/>
  <c r="AF27"/>
  <c r="AE27"/>
  <c r="AD27"/>
  <c r="AC27"/>
  <c r="AB27"/>
  <c r="AA27"/>
  <c r="Z27"/>
  <c r="U27"/>
  <c r="T27"/>
  <c r="S27"/>
  <c r="R27"/>
  <c r="Q27"/>
  <c r="P27"/>
  <c r="O27"/>
  <c r="N27"/>
  <c r="M27"/>
  <c r="L27"/>
  <c r="K27"/>
  <c r="J27"/>
  <c r="H27"/>
  <c r="G27"/>
  <c r="AZ27"/>
  <c r="AK26"/>
  <c r="AJ26"/>
  <c r="AI26"/>
  <c r="AH26"/>
  <c r="AG26"/>
  <c r="AF26"/>
  <c r="AE26"/>
  <c r="AD26"/>
  <c r="AC26"/>
  <c r="AB26"/>
  <c r="AA26"/>
  <c r="Z26"/>
  <c r="U26"/>
  <c r="T26"/>
  <c r="S26"/>
  <c r="R26"/>
  <c r="Q26"/>
  <c r="P26"/>
  <c r="O26"/>
  <c r="N26"/>
  <c r="M26"/>
  <c r="L26"/>
  <c r="K26"/>
  <c r="J26"/>
  <c r="H26"/>
  <c r="G26"/>
  <c r="AK25"/>
  <c r="AJ25"/>
  <c r="AI25"/>
  <c r="AH25"/>
  <c r="AG25"/>
  <c r="AF25"/>
  <c r="AE25"/>
  <c r="AD25"/>
  <c r="AC25"/>
  <c r="AB25"/>
  <c r="AA25"/>
  <c r="Z25"/>
  <c r="U25"/>
  <c r="T25"/>
  <c r="S25"/>
  <c r="R25"/>
  <c r="Q25"/>
  <c r="P25"/>
  <c r="O25"/>
  <c r="N25"/>
  <c r="M25"/>
  <c r="L25"/>
  <c r="K25"/>
  <c r="J25"/>
  <c r="H25"/>
  <c r="G25"/>
  <c r="AK24"/>
  <c r="AJ24"/>
  <c r="AI24"/>
  <c r="AH24"/>
  <c r="AG24"/>
  <c r="AF24"/>
  <c r="AE24"/>
  <c r="AD24"/>
  <c r="AC24"/>
  <c r="AB24"/>
  <c r="AA24"/>
  <c r="Z24"/>
  <c r="U24"/>
  <c r="T24"/>
  <c r="S24"/>
  <c r="R24"/>
  <c r="Q24"/>
  <c r="P24"/>
  <c r="O24"/>
  <c r="N24"/>
  <c r="M24"/>
  <c r="L24"/>
  <c r="K24"/>
  <c r="J24"/>
  <c r="H24"/>
  <c r="G24"/>
  <c r="AK23"/>
  <c r="AJ23"/>
  <c r="AI23"/>
  <c r="AH23"/>
  <c r="AG23"/>
  <c r="AF23"/>
  <c r="AE23"/>
  <c r="AD23"/>
  <c r="AC23"/>
  <c r="AB23"/>
  <c r="AA23"/>
  <c r="Z23"/>
  <c r="U23"/>
  <c r="T23"/>
  <c r="S23"/>
  <c r="R23"/>
  <c r="Q23"/>
  <c r="P23"/>
  <c r="O23"/>
  <c r="N23"/>
  <c r="M23"/>
  <c r="L23"/>
  <c r="K23"/>
  <c r="J23"/>
  <c r="H23"/>
  <c r="G23"/>
  <c r="AK22"/>
  <c r="AJ22"/>
  <c r="AI22"/>
  <c r="AH22"/>
  <c r="AG22"/>
  <c r="AF22"/>
  <c r="AE22"/>
  <c r="AD22"/>
  <c r="AC22"/>
  <c r="AB22"/>
  <c r="AA22"/>
  <c r="Z22"/>
  <c r="U22"/>
  <c r="T22"/>
  <c r="S22"/>
  <c r="R22"/>
  <c r="Q22"/>
  <c r="P22"/>
  <c r="O22"/>
  <c r="N22"/>
  <c r="M22"/>
  <c r="L22"/>
  <c r="K22"/>
  <c r="J22"/>
  <c r="H22"/>
  <c r="G22"/>
  <c r="AK21"/>
  <c r="AJ21"/>
  <c r="AI21"/>
  <c r="AH21"/>
  <c r="AG21"/>
  <c r="AF21"/>
  <c r="AE21"/>
  <c r="AD21"/>
  <c r="AC21"/>
  <c r="AB21"/>
  <c r="AA21"/>
  <c r="Z21"/>
  <c r="U21"/>
  <c r="T21"/>
  <c r="S21"/>
  <c r="R21"/>
  <c r="Q21"/>
  <c r="P21"/>
  <c r="O21"/>
  <c r="N21"/>
  <c r="M21"/>
  <c r="L21"/>
  <c r="K21"/>
  <c r="J21"/>
  <c r="H21"/>
  <c r="G21"/>
  <c r="AK20"/>
  <c r="AJ20"/>
  <c r="AI20"/>
  <c r="AH20"/>
  <c r="AG20"/>
  <c r="AF20"/>
  <c r="AE20"/>
  <c r="AD20"/>
  <c r="AC20"/>
  <c r="AA20"/>
  <c r="Z20"/>
  <c r="U20"/>
  <c r="T20"/>
  <c r="S20"/>
  <c r="R20"/>
  <c r="Q20"/>
  <c r="P20"/>
  <c r="O20"/>
  <c r="N20"/>
  <c r="M20"/>
  <c r="K20"/>
  <c r="J20"/>
  <c r="H20"/>
  <c r="L20" s="1"/>
  <c r="G20"/>
  <c r="AB20" s="1"/>
  <c r="AK19"/>
  <c r="AJ19"/>
  <c r="AI19"/>
  <c r="AH19"/>
  <c r="AG19"/>
  <c r="AF19"/>
  <c r="AE19"/>
  <c r="AD19"/>
  <c r="AC19"/>
  <c r="AB19"/>
  <c r="AA19"/>
  <c r="Z19"/>
  <c r="U19"/>
  <c r="T19"/>
  <c r="S19"/>
  <c r="R19"/>
  <c r="Q19"/>
  <c r="P19"/>
  <c r="O19"/>
  <c r="N19"/>
  <c r="M19"/>
  <c r="L19"/>
  <c r="K19"/>
  <c r="J19"/>
  <c r="AK18"/>
  <c r="AJ18"/>
  <c r="AI18"/>
  <c r="AH18"/>
  <c r="AG18"/>
  <c r="AF18"/>
  <c r="AE18"/>
  <c r="AD18"/>
  <c r="AC18"/>
  <c r="AB18"/>
  <c r="AA18"/>
  <c r="Z18"/>
  <c r="U18"/>
  <c r="T18"/>
  <c r="S18"/>
  <c r="R18"/>
  <c r="Q18"/>
  <c r="P18"/>
  <c r="O18"/>
  <c r="N18"/>
  <c r="M18"/>
  <c r="L18"/>
  <c r="K18"/>
  <c r="J18"/>
  <c r="AK17"/>
  <c r="AJ17"/>
  <c r="AI17"/>
  <c r="AH17"/>
  <c r="AG17"/>
  <c r="AF17"/>
  <c r="AE17"/>
  <c r="AD17"/>
  <c r="AC17"/>
  <c r="AB17"/>
  <c r="AA17"/>
  <c r="Z17"/>
  <c r="U17"/>
  <c r="T17"/>
  <c r="S17"/>
  <c r="R17"/>
  <c r="Q17"/>
  <c r="P17"/>
  <c r="O17"/>
  <c r="N17"/>
  <c r="M17"/>
  <c r="L17"/>
  <c r="K17"/>
  <c r="J17"/>
  <c r="AT16"/>
  <c r="AS16"/>
  <c r="AK16"/>
  <c r="AJ16"/>
  <c r="AI16"/>
  <c r="AH16"/>
  <c r="AG16"/>
  <c r="AF16"/>
  <c r="AE16"/>
  <c r="AD16"/>
  <c r="AC16"/>
  <c r="AB16"/>
  <c r="AA16"/>
  <c r="Z16"/>
  <c r="U16"/>
  <c r="T16"/>
  <c r="S16"/>
  <c r="R16"/>
  <c r="Q16"/>
  <c r="P16"/>
  <c r="O16"/>
  <c r="N16"/>
  <c r="M16"/>
  <c r="L16"/>
  <c r="K16"/>
  <c r="J16"/>
  <c r="AT15"/>
  <c r="AR15" s="1"/>
  <c r="AS15"/>
  <c r="AK15"/>
  <c r="AJ15"/>
  <c r="AI15"/>
  <c r="AH15"/>
  <c r="AG15"/>
  <c r="AF15"/>
  <c r="AE15"/>
  <c r="AD15"/>
  <c r="AC15"/>
  <c r="AB15"/>
  <c r="AA15"/>
  <c r="Z15"/>
  <c r="U15"/>
  <c r="T15"/>
  <c r="S15"/>
  <c r="R15"/>
  <c r="Q15"/>
  <c r="P15"/>
  <c r="O15"/>
  <c r="N15"/>
  <c r="M15"/>
  <c r="L15"/>
  <c r="K15"/>
  <c r="J15"/>
  <c r="AT14"/>
  <c r="AS14"/>
  <c r="AK14"/>
  <c r="AJ14"/>
  <c r="AI14"/>
  <c r="AH14"/>
  <c r="AG14"/>
  <c r="AF14"/>
  <c r="AE14"/>
  <c r="AD14"/>
  <c r="AC14"/>
  <c r="AB14"/>
  <c r="AA14"/>
  <c r="Z14"/>
  <c r="U14"/>
  <c r="T14"/>
  <c r="S14"/>
  <c r="R14"/>
  <c r="Q14"/>
  <c r="P14"/>
  <c r="O14"/>
  <c r="N14"/>
  <c r="M14"/>
  <c r="L14"/>
  <c r="K14"/>
  <c r="J14"/>
  <c r="AK13"/>
  <c r="AJ13"/>
  <c r="AI13"/>
  <c r="AH13"/>
  <c r="AG13"/>
  <c r="AF13"/>
  <c r="AE13"/>
  <c r="AD13"/>
  <c r="AC13"/>
  <c r="AB13"/>
  <c r="AA13"/>
  <c r="Z13"/>
  <c r="U13"/>
  <c r="T13"/>
  <c r="S13"/>
  <c r="R13"/>
  <c r="Q13"/>
  <c r="P13"/>
  <c r="O13"/>
  <c r="N13"/>
  <c r="M13"/>
  <c r="L13"/>
  <c r="K13"/>
  <c r="J13"/>
  <c r="AK12"/>
  <c r="AJ12"/>
  <c r="AI12"/>
  <c r="AH12"/>
  <c r="AG12"/>
  <c r="AE12"/>
  <c r="AD12"/>
  <c r="AC12"/>
  <c r="AB12"/>
  <c r="AA12"/>
  <c r="Z12"/>
  <c r="U12"/>
  <c r="T12"/>
  <c r="S12"/>
  <c r="R12"/>
  <c r="Q12"/>
  <c r="P12"/>
  <c r="O12"/>
  <c r="N12"/>
  <c r="M12"/>
  <c r="L12"/>
  <c r="K12"/>
  <c r="J12"/>
  <c r="AK11"/>
  <c r="AJ11"/>
  <c r="AI11"/>
  <c r="AH11"/>
  <c r="AG11"/>
  <c r="AF11"/>
  <c r="AE11"/>
  <c r="AD11"/>
  <c r="AC11"/>
  <c r="AB11"/>
  <c r="AA11"/>
  <c r="Z11"/>
  <c r="U11"/>
  <c r="T11"/>
  <c r="S11"/>
  <c r="R11"/>
  <c r="Q11"/>
  <c r="P11"/>
  <c r="O11"/>
  <c r="N11"/>
  <c r="M11"/>
  <c r="L11"/>
  <c r="K11"/>
  <c r="J11"/>
  <c r="AK10"/>
  <c r="AJ10"/>
  <c r="AI10"/>
  <c r="AG10"/>
  <c r="AF10"/>
  <c r="AE10"/>
  <c r="AD10"/>
  <c r="AC10"/>
  <c r="AB10"/>
  <c r="AA10"/>
  <c r="Z10"/>
  <c r="U10"/>
  <c r="T10"/>
  <c r="S10"/>
  <c r="Q10"/>
  <c r="P10"/>
  <c r="O10"/>
  <c r="N10"/>
  <c r="M10"/>
  <c r="L10"/>
  <c r="K10"/>
  <c r="J10"/>
  <c r="AK9"/>
  <c r="AJ9"/>
  <c r="AI9"/>
  <c r="AH9"/>
  <c r="AG9"/>
  <c r="AF9"/>
  <c r="AE9"/>
  <c r="AD9"/>
  <c r="AC9"/>
  <c r="AB9"/>
  <c r="AA9"/>
  <c r="Z9"/>
  <c r="U9"/>
  <c r="T9"/>
  <c r="S9"/>
  <c r="R9"/>
  <c r="Q9"/>
  <c r="P9"/>
  <c r="O9"/>
  <c r="N9"/>
  <c r="M9"/>
  <c r="L9"/>
  <c r="K9"/>
  <c r="J9"/>
  <c r="AK8"/>
  <c r="AJ8"/>
  <c r="AI8"/>
  <c r="AG8"/>
  <c r="AF8"/>
  <c r="AE8"/>
  <c r="AD8"/>
  <c r="AC8"/>
  <c r="AB8"/>
  <c r="AA8"/>
  <c r="Z8"/>
  <c r="U8"/>
  <c r="T8"/>
  <c r="S8"/>
  <c r="R8"/>
  <c r="Q8"/>
  <c r="P8"/>
  <c r="O8"/>
  <c r="N8"/>
  <c r="M8"/>
  <c r="L8"/>
  <c r="K8"/>
  <c r="J8"/>
  <c r="AK7"/>
  <c r="AJ7"/>
  <c r="AI7"/>
  <c r="AG7"/>
  <c r="AF7"/>
  <c r="AE7"/>
  <c r="AD7"/>
  <c r="AC7"/>
  <c r="AB7"/>
  <c r="AA7"/>
  <c r="Z7"/>
  <c r="U7"/>
  <c r="T7"/>
  <c r="S7"/>
  <c r="R7"/>
  <c r="Q7"/>
  <c r="P7"/>
  <c r="O7"/>
  <c r="N7"/>
  <c r="M7"/>
  <c r="L7"/>
  <c r="K7"/>
  <c r="J7"/>
  <c r="AK6"/>
  <c r="AJ6"/>
  <c r="AI6"/>
  <c r="AG6"/>
  <c r="AF6"/>
  <c r="AE6"/>
  <c r="AD6"/>
  <c r="AC6"/>
  <c r="AB6"/>
  <c r="AA6"/>
  <c r="Z6"/>
  <c r="U6"/>
  <c r="T6"/>
  <c r="S6"/>
  <c r="Q6"/>
  <c r="P6"/>
  <c r="O6"/>
  <c r="N6"/>
  <c r="M6"/>
  <c r="L6"/>
  <c r="K6"/>
  <c r="J6"/>
  <c r="AK5"/>
  <c r="AJ5"/>
  <c r="AI5"/>
  <c r="AH5"/>
  <c r="AG5"/>
  <c r="AF5"/>
  <c r="AE5"/>
  <c r="AD5"/>
  <c r="AC5"/>
  <c r="AB5"/>
  <c r="AA5"/>
  <c r="Z5"/>
  <c r="U5"/>
  <c r="T5"/>
  <c r="S5"/>
  <c r="R5"/>
  <c r="Q5"/>
  <c r="P5"/>
  <c r="O5"/>
  <c r="N5"/>
  <c r="M5"/>
  <c r="L5"/>
  <c r="K5"/>
  <c r="J5"/>
  <c r="AK4"/>
  <c r="AJ4"/>
  <c r="AI4"/>
  <c r="AH4"/>
  <c r="AF4"/>
  <c r="AE4"/>
  <c r="AD4"/>
  <c r="AC4"/>
  <c r="AB4"/>
  <c r="AA4"/>
  <c r="Z4"/>
  <c r="U4"/>
  <c r="T4"/>
  <c r="S4"/>
  <c r="R4"/>
  <c r="P4"/>
  <c r="O4"/>
  <c r="N4"/>
  <c r="M4"/>
  <c r="L4"/>
  <c r="K4"/>
  <c r="J4"/>
  <c r="AK3"/>
  <c r="AJ3"/>
  <c r="AI3"/>
  <c r="AH3"/>
  <c r="AG3"/>
  <c r="AF3"/>
  <c r="AE3"/>
  <c r="AD3"/>
  <c r="AC3"/>
  <c r="AB3"/>
  <c r="AA3"/>
  <c r="Z3"/>
  <c r="U3"/>
  <c r="T3"/>
  <c r="S3"/>
  <c r="R3"/>
  <c r="Q3"/>
  <c r="P3"/>
  <c r="O3"/>
  <c r="N3"/>
  <c r="M3"/>
  <c r="L3"/>
  <c r="K3"/>
  <c r="J3"/>
  <c r="E63" i="6"/>
  <c r="AK62"/>
  <c r="AJ62"/>
  <c r="AI62"/>
  <c r="AH62"/>
  <c r="AG62"/>
  <c r="AF62"/>
  <c r="AE62"/>
  <c r="AD62"/>
  <c r="AC62"/>
  <c r="AB62"/>
  <c r="AA62"/>
  <c r="Z62"/>
  <c r="U62"/>
  <c r="T62"/>
  <c r="S62"/>
  <c r="R62"/>
  <c r="Q62"/>
  <c r="P62"/>
  <c r="O62"/>
  <c r="N62"/>
  <c r="M62"/>
  <c r="L62"/>
  <c r="K62"/>
  <c r="J62"/>
  <c r="H62"/>
  <c r="G62"/>
  <c r="AK61"/>
  <c r="AJ61"/>
  <c r="AI61"/>
  <c r="AH61"/>
  <c r="AG61"/>
  <c r="AF61"/>
  <c r="AE61"/>
  <c r="AD61"/>
  <c r="AC61"/>
  <c r="AB61"/>
  <c r="AA61"/>
  <c r="Z61"/>
  <c r="U61"/>
  <c r="T61"/>
  <c r="S61"/>
  <c r="R61"/>
  <c r="Q61"/>
  <c r="P61"/>
  <c r="O61"/>
  <c r="N61"/>
  <c r="M61"/>
  <c r="L61"/>
  <c r="K61"/>
  <c r="J61"/>
  <c r="H61"/>
  <c r="G61"/>
  <c r="AK60"/>
  <c r="AJ60"/>
  <c r="AI60"/>
  <c r="AH60"/>
  <c r="AG60"/>
  <c r="AF60"/>
  <c r="AE60"/>
  <c r="AD60"/>
  <c r="AC60"/>
  <c r="AB60"/>
  <c r="AA60"/>
  <c r="Z60"/>
  <c r="U60"/>
  <c r="T60"/>
  <c r="S60"/>
  <c r="R60"/>
  <c r="Q60"/>
  <c r="P60"/>
  <c r="O60"/>
  <c r="N60"/>
  <c r="M60"/>
  <c r="L60"/>
  <c r="K60"/>
  <c r="J60"/>
  <c r="H60"/>
  <c r="G60"/>
  <c r="AK59"/>
  <c r="AJ59"/>
  <c r="AI59"/>
  <c r="AH59"/>
  <c r="AG59"/>
  <c r="AF59"/>
  <c r="AE59"/>
  <c r="AD59"/>
  <c r="AC59"/>
  <c r="AB59"/>
  <c r="AA59"/>
  <c r="Z59"/>
  <c r="U59"/>
  <c r="T59"/>
  <c r="S59"/>
  <c r="R59"/>
  <c r="Q59"/>
  <c r="P59"/>
  <c r="O59"/>
  <c r="N59"/>
  <c r="M59"/>
  <c r="L59"/>
  <c r="K59"/>
  <c r="J59"/>
  <c r="H59"/>
  <c r="G59"/>
  <c r="AK58"/>
  <c r="AJ58"/>
  <c r="AI58"/>
  <c r="AH58"/>
  <c r="AG58"/>
  <c r="AF58"/>
  <c r="AE58"/>
  <c r="AD58"/>
  <c r="AC58"/>
  <c r="AB58"/>
  <c r="AA58"/>
  <c r="Z58"/>
  <c r="U58"/>
  <c r="T58"/>
  <c r="S58"/>
  <c r="R58"/>
  <c r="Q58"/>
  <c r="P58"/>
  <c r="O58"/>
  <c r="N58"/>
  <c r="M58"/>
  <c r="L58"/>
  <c r="K58"/>
  <c r="J58"/>
  <c r="H58"/>
  <c r="G58"/>
  <c r="AK57"/>
  <c r="AJ57"/>
  <c r="AI57"/>
  <c r="AH57"/>
  <c r="AG57"/>
  <c r="AF57"/>
  <c r="AE57"/>
  <c r="AD57"/>
  <c r="AC57"/>
  <c r="AB57"/>
  <c r="AA57"/>
  <c r="Z57"/>
  <c r="U57"/>
  <c r="T57"/>
  <c r="S57"/>
  <c r="R57"/>
  <c r="Q57"/>
  <c r="P57"/>
  <c r="O57"/>
  <c r="N57"/>
  <c r="M57"/>
  <c r="L57"/>
  <c r="K57"/>
  <c r="J57"/>
  <c r="H57"/>
  <c r="G57"/>
  <c r="AK56"/>
  <c r="AJ56"/>
  <c r="AI56"/>
  <c r="AH56"/>
  <c r="AG56"/>
  <c r="AF56"/>
  <c r="AE56"/>
  <c r="AD56"/>
  <c r="AC56"/>
  <c r="AB56"/>
  <c r="AA56"/>
  <c r="Z56"/>
  <c r="U56"/>
  <c r="T56"/>
  <c r="S56"/>
  <c r="R56"/>
  <c r="Q56"/>
  <c r="P56"/>
  <c r="O56"/>
  <c r="N56"/>
  <c r="M56"/>
  <c r="L56"/>
  <c r="K56"/>
  <c r="J56"/>
  <c r="H56"/>
  <c r="G56"/>
  <c r="AK55"/>
  <c r="AJ55"/>
  <c r="AI55"/>
  <c r="AH55"/>
  <c r="AG55"/>
  <c r="AF55"/>
  <c r="AE55"/>
  <c r="AD55"/>
  <c r="AC55"/>
  <c r="AB55"/>
  <c r="AA55"/>
  <c r="Z55"/>
  <c r="U55"/>
  <c r="T55"/>
  <c r="S55"/>
  <c r="R55"/>
  <c r="Q55"/>
  <c r="P55"/>
  <c r="O55"/>
  <c r="N55"/>
  <c r="M55"/>
  <c r="L55"/>
  <c r="K55"/>
  <c r="J55"/>
  <c r="H55"/>
  <c r="G55"/>
  <c r="AK54"/>
  <c r="AJ54"/>
  <c r="AI54"/>
  <c r="AH54"/>
  <c r="AG54"/>
  <c r="AF54"/>
  <c r="AE54"/>
  <c r="AD54"/>
  <c r="AC54"/>
  <c r="AB54"/>
  <c r="AA54"/>
  <c r="Z54"/>
  <c r="U54"/>
  <c r="T54"/>
  <c r="S54"/>
  <c r="R54"/>
  <c r="Q54"/>
  <c r="P54"/>
  <c r="O54"/>
  <c r="N54"/>
  <c r="M54"/>
  <c r="L54"/>
  <c r="K54"/>
  <c r="J54"/>
  <c r="H54"/>
  <c r="G54"/>
  <c r="AK53"/>
  <c r="AJ53"/>
  <c r="AI53"/>
  <c r="AH53"/>
  <c r="AG53"/>
  <c r="AF53"/>
  <c r="AE53"/>
  <c r="AD53"/>
  <c r="AC53"/>
  <c r="AB53"/>
  <c r="AA53"/>
  <c r="Z53"/>
  <c r="U53"/>
  <c r="T53"/>
  <c r="S53"/>
  <c r="R53"/>
  <c r="Q53"/>
  <c r="P53"/>
  <c r="O53"/>
  <c r="N53"/>
  <c r="M53"/>
  <c r="L53"/>
  <c r="K53"/>
  <c r="J53"/>
  <c r="H53"/>
  <c r="G53"/>
  <c r="AK52"/>
  <c r="AJ52"/>
  <c r="AI52"/>
  <c r="AH52"/>
  <c r="AG52"/>
  <c r="AF52"/>
  <c r="AE52"/>
  <c r="AD52"/>
  <c r="AC52"/>
  <c r="AB52"/>
  <c r="AA52"/>
  <c r="Z52"/>
  <c r="U52"/>
  <c r="T52"/>
  <c r="S52"/>
  <c r="R52"/>
  <c r="Q52"/>
  <c r="P52"/>
  <c r="O52"/>
  <c r="N52"/>
  <c r="M52"/>
  <c r="L52"/>
  <c r="K52"/>
  <c r="J52"/>
  <c r="H52"/>
  <c r="G52"/>
  <c r="AK51"/>
  <c r="AJ51"/>
  <c r="AI51"/>
  <c r="AH51"/>
  <c r="AG51"/>
  <c r="AF51"/>
  <c r="AE51"/>
  <c r="AD51"/>
  <c r="AC51"/>
  <c r="AB51"/>
  <c r="AA51"/>
  <c r="Z51"/>
  <c r="U51"/>
  <c r="T51"/>
  <c r="S51"/>
  <c r="R51"/>
  <c r="Q51"/>
  <c r="P51"/>
  <c r="O51"/>
  <c r="N51"/>
  <c r="M51"/>
  <c r="L51"/>
  <c r="K51"/>
  <c r="J51"/>
  <c r="H51"/>
  <c r="G51"/>
  <c r="AK50"/>
  <c r="AJ50"/>
  <c r="AI50"/>
  <c r="AH50"/>
  <c r="AG50"/>
  <c r="AF50"/>
  <c r="AE50"/>
  <c r="AD50"/>
  <c r="AC50"/>
  <c r="AB50"/>
  <c r="AA50"/>
  <c r="Z50"/>
  <c r="U50"/>
  <c r="T50"/>
  <c r="S50"/>
  <c r="R50"/>
  <c r="Q50"/>
  <c r="P50"/>
  <c r="O50"/>
  <c r="N50"/>
  <c r="M50"/>
  <c r="L50"/>
  <c r="K50"/>
  <c r="J50"/>
  <c r="H50"/>
  <c r="G50"/>
  <c r="AK49"/>
  <c r="AJ49"/>
  <c r="AI49"/>
  <c r="AH49"/>
  <c r="AG49"/>
  <c r="AF49"/>
  <c r="AE49"/>
  <c r="AD49"/>
  <c r="AC49"/>
  <c r="AB49"/>
  <c r="AA49"/>
  <c r="Z49"/>
  <c r="U49"/>
  <c r="T49"/>
  <c r="S49"/>
  <c r="R49"/>
  <c r="Q49"/>
  <c r="P49"/>
  <c r="O49"/>
  <c r="N49"/>
  <c r="M49"/>
  <c r="L49"/>
  <c r="K49"/>
  <c r="J49"/>
  <c r="H49"/>
  <c r="G49"/>
  <c r="AK48"/>
  <c r="AJ48"/>
  <c r="AI48"/>
  <c r="AH48"/>
  <c r="AG48"/>
  <c r="AF48"/>
  <c r="AE48"/>
  <c r="AD48"/>
  <c r="AC48"/>
  <c r="AB48"/>
  <c r="AA48"/>
  <c r="Z48"/>
  <c r="U48"/>
  <c r="T48"/>
  <c r="S48"/>
  <c r="R48"/>
  <c r="Q48"/>
  <c r="P48"/>
  <c r="O48"/>
  <c r="N48"/>
  <c r="M48"/>
  <c r="L48"/>
  <c r="K48"/>
  <c r="J48"/>
  <c r="H48"/>
  <c r="G48"/>
  <c r="AK47"/>
  <c r="AJ47"/>
  <c r="AI47"/>
  <c r="AH47"/>
  <c r="AG47"/>
  <c r="AF47"/>
  <c r="AE47"/>
  <c r="AD47"/>
  <c r="AC47"/>
  <c r="AB47"/>
  <c r="AA47"/>
  <c r="Z47"/>
  <c r="U47"/>
  <c r="T47"/>
  <c r="S47"/>
  <c r="R47"/>
  <c r="Q47"/>
  <c r="P47"/>
  <c r="O47"/>
  <c r="N47"/>
  <c r="M47"/>
  <c r="L47"/>
  <c r="K47"/>
  <c r="J47"/>
  <c r="H47"/>
  <c r="G47"/>
  <c r="AK46"/>
  <c r="AJ46"/>
  <c r="AI46"/>
  <c r="AH46"/>
  <c r="AG46"/>
  <c r="AF46"/>
  <c r="AE46"/>
  <c r="AD46"/>
  <c r="AC46"/>
  <c r="AB46"/>
  <c r="AA46"/>
  <c r="Z46"/>
  <c r="U46"/>
  <c r="T46"/>
  <c r="S46"/>
  <c r="R46"/>
  <c r="Q46"/>
  <c r="P46"/>
  <c r="O46"/>
  <c r="N46"/>
  <c r="M46"/>
  <c r="L46"/>
  <c r="K46"/>
  <c r="J46"/>
  <c r="H46"/>
  <c r="G46"/>
  <c r="AK45"/>
  <c r="AJ45"/>
  <c r="AI45"/>
  <c r="AH45"/>
  <c r="AG45"/>
  <c r="AF45"/>
  <c r="AE45"/>
  <c r="AD45"/>
  <c r="AC45"/>
  <c r="AB45"/>
  <c r="AA45"/>
  <c r="Z45"/>
  <c r="U45"/>
  <c r="T45"/>
  <c r="S45"/>
  <c r="R45"/>
  <c r="Q45"/>
  <c r="P45"/>
  <c r="O45"/>
  <c r="N45"/>
  <c r="M45"/>
  <c r="L45"/>
  <c r="K45"/>
  <c r="J45"/>
  <c r="H45"/>
  <c r="G45"/>
  <c r="AK44"/>
  <c r="AJ44"/>
  <c r="AI44"/>
  <c r="AH44"/>
  <c r="AG44"/>
  <c r="AF44"/>
  <c r="AE44"/>
  <c r="AD44"/>
  <c r="AC44"/>
  <c r="AB44"/>
  <c r="AA44"/>
  <c r="Z44"/>
  <c r="U44"/>
  <c r="T44"/>
  <c r="S44"/>
  <c r="R44"/>
  <c r="Q44"/>
  <c r="P44"/>
  <c r="O44"/>
  <c r="N44"/>
  <c r="M44"/>
  <c r="L44"/>
  <c r="K44"/>
  <c r="J44"/>
  <c r="H44"/>
  <c r="G44"/>
  <c r="AK43"/>
  <c r="AJ43"/>
  <c r="AI43"/>
  <c r="AH43"/>
  <c r="AG43"/>
  <c r="AF43"/>
  <c r="AE43"/>
  <c r="AD43"/>
  <c r="AC43"/>
  <c r="AB43"/>
  <c r="AA43"/>
  <c r="Z43"/>
  <c r="U43"/>
  <c r="T43"/>
  <c r="S43"/>
  <c r="R43"/>
  <c r="Q43"/>
  <c r="P43"/>
  <c r="O43"/>
  <c r="N43"/>
  <c r="M43"/>
  <c r="L43"/>
  <c r="K43"/>
  <c r="J43"/>
  <c r="H43"/>
  <c r="G43"/>
  <c r="AK42"/>
  <c r="AJ42"/>
  <c r="AI42"/>
  <c r="AH42"/>
  <c r="AG42"/>
  <c r="AF42"/>
  <c r="AE42"/>
  <c r="AD42"/>
  <c r="AC42"/>
  <c r="AB42"/>
  <c r="AA42"/>
  <c r="Z42"/>
  <c r="U42"/>
  <c r="T42"/>
  <c r="S42"/>
  <c r="R42"/>
  <c r="Q42"/>
  <c r="P42"/>
  <c r="O42"/>
  <c r="N42"/>
  <c r="M42"/>
  <c r="L42"/>
  <c r="K42"/>
  <c r="J42"/>
  <c r="H42"/>
  <c r="G42"/>
  <c r="AK41"/>
  <c r="AJ41"/>
  <c r="AI41"/>
  <c r="AH41"/>
  <c r="AG41"/>
  <c r="AF41"/>
  <c r="AE41"/>
  <c r="AD41"/>
  <c r="AC41"/>
  <c r="AB41"/>
  <c r="AA41"/>
  <c r="Z41"/>
  <c r="U41"/>
  <c r="T41"/>
  <c r="S41"/>
  <c r="R41"/>
  <c r="Q41"/>
  <c r="P41"/>
  <c r="O41"/>
  <c r="N41"/>
  <c r="M41"/>
  <c r="L41"/>
  <c r="K41"/>
  <c r="J41"/>
  <c r="H41"/>
  <c r="G41"/>
  <c r="AK40"/>
  <c r="AJ40"/>
  <c r="AI40"/>
  <c r="AH40"/>
  <c r="AG40"/>
  <c r="AF40"/>
  <c r="AE40"/>
  <c r="AD40"/>
  <c r="AC40"/>
  <c r="AB40"/>
  <c r="AA40"/>
  <c r="Z40"/>
  <c r="U40"/>
  <c r="T40"/>
  <c r="S40"/>
  <c r="R40"/>
  <c r="Q40"/>
  <c r="P40"/>
  <c r="O40"/>
  <c r="N40"/>
  <c r="M40"/>
  <c r="L40"/>
  <c r="K40"/>
  <c r="J40"/>
  <c r="H40"/>
  <c r="G40"/>
  <c r="AK39"/>
  <c r="AJ39"/>
  <c r="AI39"/>
  <c r="AH39"/>
  <c r="AG39"/>
  <c r="AF39"/>
  <c r="AE39"/>
  <c r="AD39"/>
  <c r="AC39"/>
  <c r="AB39"/>
  <c r="AA39"/>
  <c r="Z39"/>
  <c r="U39"/>
  <c r="T39"/>
  <c r="S39"/>
  <c r="R39"/>
  <c r="Q39"/>
  <c r="P39"/>
  <c r="O39"/>
  <c r="N39"/>
  <c r="M39"/>
  <c r="L39"/>
  <c r="K39"/>
  <c r="J39"/>
  <c r="H39"/>
  <c r="G39"/>
  <c r="AK38"/>
  <c r="AJ38"/>
  <c r="AI38"/>
  <c r="AH38"/>
  <c r="AG38"/>
  <c r="AF38"/>
  <c r="AE38"/>
  <c r="AD38"/>
  <c r="AC38"/>
  <c r="AB38"/>
  <c r="AA38"/>
  <c r="Z38"/>
  <c r="U38"/>
  <c r="T38"/>
  <c r="S38"/>
  <c r="R38"/>
  <c r="Q38"/>
  <c r="P38"/>
  <c r="O38"/>
  <c r="N38"/>
  <c r="M38"/>
  <c r="L38"/>
  <c r="K38"/>
  <c r="J38"/>
  <c r="H38"/>
  <c r="G38"/>
  <c r="AK37"/>
  <c r="AJ37"/>
  <c r="AI37"/>
  <c r="AH37"/>
  <c r="AG37"/>
  <c r="AF37"/>
  <c r="AE37"/>
  <c r="AD37"/>
  <c r="AC37"/>
  <c r="AB37"/>
  <c r="AA37"/>
  <c r="Z37"/>
  <c r="U37"/>
  <c r="T37"/>
  <c r="S37"/>
  <c r="R37"/>
  <c r="Q37"/>
  <c r="P37"/>
  <c r="O37"/>
  <c r="N37"/>
  <c r="M37"/>
  <c r="L37"/>
  <c r="K37"/>
  <c r="J37"/>
  <c r="H37"/>
  <c r="G37"/>
  <c r="AK36"/>
  <c r="AJ36"/>
  <c r="AI36"/>
  <c r="AH36"/>
  <c r="AG36"/>
  <c r="AF36"/>
  <c r="AE36"/>
  <c r="AD36"/>
  <c r="AC36"/>
  <c r="AB36"/>
  <c r="AA36"/>
  <c r="Z36"/>
  <c r="U36"/>
  <c r="T36"/>
  <c r="S36"/>
  <c r="R36"/>
  <c r="Q36"/>
  <c r="P36"/>
  <c r="O36"/>
  <c r="N36"/>
  <c r="M36"/>
  <c r="L36"/>
  <c r="K36"/>
  <c r="J36"/>
  <c r="H36"/>
  <c r="G36"/>
  <c r="AK35"/>
  <c r="AJ35"/>
  <c r="AI35"/>
  <c r="AH35"/>
  <c r="AG35"/>
  <c r="AF35"/>
  <c r="AE35"/>
  <c r="AD35"/>
  <c r="AC35"/>
  <c r="AB35"/>
  <c r="AA35"/>
  <c r="Z35"/>
  <c r="U35"/>
  <c r="T35"/>
  <c r="S35"/>
  <c r="R35"/>
  <c r="Q35"/>
  <c r="P35"/>
  <c r="O35"/>
  <c r="N35"/>
  <c r="M35"/>
  <c r="L35"/>
  <c r="K35"/>
  <c r="J35"/>
  <c r="H35"/>
  <c r="G35"/>
  <c r="AK34"/>
  <c r="AJ34"/>
  <c r="AI34"/>
  <c r="AH34"/>
  <c r="AG34"/>
  <c r="AF34"/>
  <c r="AE34"/>
  <c r="AD34"/>
  <c r="AC34"/>
  <c r="AB34"/>
  <c r="AA34"/>
  <c r="Z34"/>
  <c r="U34"/>
  <c r="T34"/>
  <c r="S34"/>
  <c r="R34"/>
  <c r="Q34"/>
  <c r="P34"/>
  <c r="O34"/>
  <c r="N34"/>
  <c r="M34"/>
  <c r="L34"/>
  <c r="K34"/>
  <c r="J34"/>
  <c r="H34"/>
  <c r="G34"/>
  <c r="AK33"/>
  <c r="AJ33"/>
  <c r="AI33"/>
  <c r="AH33"/>
  <c r="AG33"/>
  <c r="AF33"/>
  <c r="AE33"/>
  <c r="AD33"/>
  <c r="AC33"/>
  <c r="AB33"/>
  <c r="AA33"/>
  <c r="Z33"/>
  <c r="U33"/>
  <c r="T33"/>
  <c r="S33"/>
  <c r="R33"/>
  <c r="Q33"/>
  <c r="P33"/>
  <c r="O33"/>
  <c r="N33"/>
  <c r="M33"/>
  <c r="L33"/>
  <c r="K33"/>
  <c r="J33"/>
  <c r="H33"/>
  <c r="G33"/>
  <c r="AK32"/>
  <c r="AJ32"/>
  <c r="AI32"/>
  <c r="AH32"/>
  <c r="AG32"/>
  <c r="AF32"/>
  <c r="AE32"/>
  <c r="AD32"/>
  <c r="AC32"/>
  <c r="AB32"/>
  <c r="AA32"/>
  <c r="Z32"/>
  <c r="U32"/>
  <c r="T32"/>
  <c r="S32"/>
  <c r="R32"/>
  <c r="Q32"/>
  <c r="P32"/>
  <c r="O32"/>
  <c r="N32"/>
  <c r="M32"/>
  <c r="L32"/>
  <c r="K32"/>
  <c r="J32"/>
  <c r="H32"/>
  <c r="G32"/>
  <c r="AK31"/>
  <c r="AJ31"/>
  <c r="AI31"/>
  <c r="AH31"/>
  <c r="AG31"/>
  <c r="AF31"/>
  <c r="AE31"/>
  <c r="AD31"/>
  <c r="AC31"/>
  <c r="AB31"/>
  <c r="AA31"/>
  <c r="Z31"/>
  <c r="U31"/>
  <c r="T31"/>
  <c r="S31"/>
  <c r="R31"/>
  <c r="Q31"/>
  <c r="P31"/>
  <c r="O31"/>
  <c r="N31"/>
  <c r="M31"/>
  <c r="L31"/>
  <c r="K31"/>
  <c r="J31"/>
  <c r="H31"/>
  <c r="G31"/>
  <c r="AK30"/>
  <c r="AJ30"/>
  <c r="AI30"/>
  <c r="AH30"/>
  <c r="AG30"/>
  <c r="AF30"/>
  <c r="AE30"/>
  <c r="AD30"/>
  <c r="AC30"/>
  <c r="AB30"/>
  <c r="AA30"/>
  <c r="Z30"/>
  <c r="U30"/>
  <c r="T30"/>
  <c r="S30"/>
  <c r="R30"/>
  <c r="Q30"/>
  <c r="P30"/>
  <c r="O30"/>
  <c r="N30"/>
  <c r="M30"/>
  <c r="L30"/>
  <c r="K30"/>
  <c r="J30"/>
  <c r="H30"/>
  <c r="G30"/>
  <c r="AK29"/>
  <c r="AJ29"/>
  <c r="AI29"/>
  <c r="AH29"/>
  <c r="AG29"/>
  <c r="AF29"/>
  <c r="AE29"/>
  <c r="AD29"/>
  <c r="AC29"/>
  <c r="AB29"/>
  <c r="AA29"/>
  <c r="Z29"/>
  <c r="U29"/>
  <c r="T29"/>
  <c r="S29"/>
  <c r="R29"/>
  <c r="Q29"/>
  <c r="P29"/>
  <c r="O29"/>
  <c r="N29"/>
  <c r="M29"/>
  <c r="L29"/>
  <c r="K29"/>
  <c r="J29"/>
  <c r="H29"/>
  <c r="G29"/>
  <c r="AW28"/>
  <c r="AW31" s="1"/>
  <c r="AK28"/>
  <c r="AJ28"/>
  <c r="AI28"/>
  <c r="AH28"/>
  <c r="AG28"/>
  <c r="AF28"/>
  <c r="AE28"/>
  <c r="AD28"/>
  <c r="AC28"/>
  <c r="AB28"/>
  <c r="AA28"/>
  <c r="Z28"/>
  <c r="U28"/>
  <c r="T28"/>
  <c r="S28"/>
  <c r="R28"/>
  <c r="Q28"/>
  <c r="P28"/>
  <c r="O28"/>
  <c r="N28"/>
  <c r="M28"/>
  <c r="L28"/>
  <c r="K28"/>
  <c r="J28"/>
  <c r="H28"/>
  <c r="G28"/>
  <c r="AR27"/>
  <c r="AK27"/>
  <c r="AJ27"/>
  <c r="AI27"/>
  <c r="AH27"/>
  <c r="AG27"/>
  <c r="AF27"/>
  <c r="AE27"/>
  <c r="AD27"/>
  <c r="AC27"/>
  <c r="AB27"/>
  <c r="AA27"/>
  <c r="Z27"/>
  <c r="U27"/>
  <c r="T27"/>
  <c r="S27"/>
  <c r="R27"/>
  <c r="Q27"/>
  <c r="P27"/>
  <c r="O27"/>
  <c r="N27"/>
  <c r="M27"/>
  <c r="L27"/>
  <c r="K27"/>
  <c r="J27"/>
  <c r="H27"/>
  <c r="G27"/>
  <c r="AZ27"/>
  <c r="AR26"/>
  <c r="AK26"/>
  <c r="AJ26"/>
  <c r="AI26"/>
  <c r="AH26"/>
  <c r="AG26"/>
  <c r="AF26"/>
  <c r="AE26"/>
  <c r="AD26"/>
  <c r="AC26"/>
  <c r="AB26"/>
  <c r="AA26"/>
  <c r="Z26"/>
  <c r="U26"/>
  <c r="T26"/>
  <c r="S26"/>
  <c r="R26"/>
  <c r="Q26"/>
  <c r="P26"/>
  <c r="O26"/>
  <c r="N26"/>
  <c r="M26"/>
  <c r="L26"/>
  <c r="K26"/>
  <c r="J26"/>
  <c r="H26"/>
  <c r="G26"/>
  <c r="AR25"/>
  <c r="AK25"/>
  <c r="AJ25"/>
  <c r="AI25"/>
  <c r="AH25"/>
  <c r="AG25"/>
  <c r="AF25"/>
  <c r="AE25"/>
  <c r="AD25"/>
  <c r="AC25"/>
  <c r="AB25"/>
  <c r="AA25"/>
  <c r="Z25"/>
  <c r="U25"/>
  <c r="T25"/>
  <c r="S25"/>
  <c r="R25"/>
  <c r="Q25"/>
  <c r="P25"/>
  <c r="O25"/>
  <c r="N25"/>
  <c r="M25"/>
  <c r="L25"/>
  <c r="K25"/>
  <c r="J25"/>
  <c r="H25"/>
  <c r="G25"/>
  <c r="AK24"/>
  <c r="AJ24"/>
  <c r="AI24"/>
  <c r="AH24"/>
  <c r="AG24"/>
  <c r="AF24"/>
  <c r="AE24"/>
  <c r="AD24"/>
  <c r="AC24"/>
  <c r="AB24"/>
  <c r="AA24"/>
  <c r="Z24"/>
  <c r="U24"/>
  <c r="T24"/>
  <c r="S24"/>
  <c r="R24"/>
  <c r="Q24"/>
  <c r="P24"/>
  <c r="O24"/>
  <c r="N24"/>
  <c r="M24"/>
  <c r="L24"/>
  <c r="K24"/>
  <c r="J24"/>
  <c r="H24"/>
  <c r="G24"/>
  <c r="AK23"/>
  <c r="AJ23"/>
  <c r="AI23"/>
  <c r="AH23"/>
  <c r="AG23"/>
  <c r="AF23"/>
  <c r="AE23"/>
  <c r="AD23"/>
  <c r="AC23"/>
  <c r="AB23"/>
  <c r="AA23"/>
  <c r="Z23"/>
  <c r="U23"/>
  <c r="T23"/>
  <c r="S23"/>
  <c r="R23"/>
  <c r="Q23"/>
  <c r="P23"/>
  <c r="O23"/>
  <c r="N23"/>
  <c r="M23"/>
  <c r="L23"/>
  <c r="K23"/>
  <c r="J23"/>
  <c r="H23"/>
  <c r="G23"/>
  <c r="AK22"/>
  <c r="AJ22"/>
  <c r="AI22"/>
  <c r="AH22"/>
  <c r="AG22"/>
  <c r="AF22"/>
  <c r="AE22"/>
  <c r="AD22"/>
  <c r="AC22"/>
  <c r="AB22"/>
  <c r="AA22"/>
  <c r="Z22"/>
  <c r="U22"/>
  <c r="T22"/>
  <c r="S22"/>
  <c r="R22"/>
  <c r="Q22"/>
  <c r="P22"/>
  <c r="O22"/>
  <c r="N22"/>
  <c r="M22"/>
  <c r="L22"/>
  <c r="K22"/>
  <c r="J22"/>
  <c r="H22"/>
  <c r="G22"/>
  <c r="AK21"/>
  <c r="AJ21"/>
  <c r="AI21"/>
  <c r="AH21"/>
  <c r="AG21"/>
  <c r="AF21"/>
  <c r="AE21"/>
  <c r="AD21"/>
  <c r="AC21"/>
  <c r="AB21"/>
  <c r="AA21"/>
  <c r="Z21"/>
  <c r="U21"/>
  <c r="T21"/>
  <c r="S21"/>
  <c r="R21"/>
  <c r="Q21"/>
  <c r="P21"/>
  <c r="O21"/>
  <c r="N21"/>
  <c r="M21"/>
  <c r="L21"/>
  <c r="K21"/>
  <c r="J21"/>
  <c r="H21"/>
  <c r="G21"/>
  <c r="AK20"/>
  <c r="AJ20"/>
  <c r="AI20"/>
  <c r="AH20"/>
  <c r="AG20"/>
  <c r="AF20"/>
  <c r="AE20"/>
  <c r="AD20"/>
  <c r="AC20"/>
  <c r="AB20"/>
  <c r="AA20"/>
  <c r="Z20"/>
  <c r="U20"/>
  <c r="T20"/>
  <c r="S20"/>
  <c r="R20"/>
  <c r="Q20"/>
  <c r="P20"/>
  <c r="O20"/>
  <c r="N20"/>
  <c r="M20"/>
  <c r="L20"/>
  <c r="K20"/>
  <c r="J20"/>
  <c r="H20"/>
  <c r="G20"/>
  <c r="AK19"/>
  <c r="AJ19"/>
  <c r="AI19"/>
  <c r="AH19"/>
  <c r="AG19"/>
  <c r="AF19"/>
  <c r="AE19"/>
  <c r="AD19"/>
  <c r="AC19"/>
  <c r="AB19"/>
  <c r="AA19"/>
  <c r="Z19"/>
  <c r="U19"/>
  <c r="T19"/>
  <c r="S19"/>
  <c r="R19"/>
  <c r="Q19"/>
  <c r="P19"/>
  <c r="O19"/>
  <c r="N19"/>
  <c r="M19"/>
  <c r="L19"/>
  <c r="K19"/>
  <c r="J19"/>
  <c r="H19"/>
  <c r="G19"/>
  <c r="AK18"/>
  <c r="AJ18"/>
  <c r="AI18"/>
  <c r="AH18"/>
  <c r="AG18"/>
  <c r="AF18"/>
  <c r="AE18"/>
  <c r="AD18"/>
  <c r="AC18"/>
  <c r="AB18"/>
  <c r="AA18"/>
  <c r="Z18"/>
  <c r="U18"/>
  <c r="T18"/>
  <c r="S18"/>
  <c r="R18"/>
  <c r="Q18"/>
  <c r="P18"/>
  <c r="O18"/>
  <c r="N18"/>
  <c r="M18"/>
  <c r="L18"/>
  <c r="K18"/>
  <c r="J18"/>
  <c r="H18"/>
  <c r="G18"/>
  <c r="AK17"/>
  <c r="AJ17"/>
  <c r="AI17"/>
  <c r="AH17"/>
  <c r="AG17"/>
  <c r="AF17"/>
  <c r="AE17"/>
  <c r="AD17"/>
  <c r="AC17"/>
  <c r="AB17"/>
  <c r="AA17"/>
  <c r="Z17"/>
  <c r="U17"/>
  <c r="T17"/>
  <c r="S17"/>
  <c r="R17"/>
  <c r="Q17"/>
  <c r="P17"/>
  <c r="O17"/>
  <c r="N17"/>
  <c r="M17"/>
  <c r="L17"/>
  <c r="K17"/>
  <c r="J17"/>
  <c r="H17"/>
  <c r="G17"/>
  <c r="AK16"/>
  <c r="AJ16"/>
  <c r="AI16"/>
  <c r="AH16"/>
  <c r="AG16"/>
  <c r="AF16"/>
  <c r="AE16"/>
  <c r="AC16"/>
  <c r="AB16"/>
  <c r="AA16"/>
  <c r="Z16"/>
  <c r="U16"/>
  <c r="T16"/>
  <c r="S16"/>
  <c r="R16"/>
  <c r="Q16"/>
  <c r="P16"/>
  <c r="O16"/>
  <c r="M16"/>
  <c r="L16"/>
  <c r="K16"/>
  <c r="J16"/>
  <c r="N16"/>
  <c r="AD16"/>
  <c r="AK15"/>
  <c r="AJ15"/>
  <c r="AI15"/>
  <c r="AH15"/>
  <c r="AG15"/>
  <c r="AF15"/>
  <c r="AE15"/>
  <c r="AC15"/>
  <c r="AB15"/>
  <c r="AA15"/>
  <c r="Z15"/>
  <c r="U15"/>
  <c r="T15"/>
  <c r="S15"/>
  <c r="R15"/>
  <c r="Q15"/>
  <c r="P15"/>
  <c r="O15"/>
  <c r="N15"/>
  <c r="M15"/>
  <c r="L15"/>
  <c r="K15"/>
  <c r="J15"/>
  <c r="AD15"/>
  <c r="AT14"/>
  <c r="AK14"/>
  <c r="AJ14"/>
  <c r="AI14"/>
  <c r="AH14"/>
  <c r="AG14"/>
  <c r="AF14"/>
  <c r="AE14"/>
  <c r="AC14"/>
  <c r="AB14"/>
  <c r="AA14"/>
  <c r="Z14"/>
  <c r="U14"/>
  <c r="T14"/>
  <c r="S14"/>
  <c r="R14"/>
  <c r="Q14"/>
  <c r="P14"/>
  <c r="O14"/>
  <c r="M14"/>
  <c r="L14"/>
  <c r="K14"/>
  <c r="J14"/>
  <c r="N14"/>
  <c r="AD14"/>
  <c r="AK13"/>
  <c r="AJ13"/>
  <c r="AI13"/>
  <c r="AH13"/>
  <c r="AG13"/>
  <c r="AF13"/>
  <c r="AE13"/>
  <c r="AC13"/>
  <c r="AB13"/>
  <c r="AA13"/>
  <c r="Z13"/>
  <c r="U13"/>
  <c r="T13"/>
  <c r="S13"/>
  <c r="R13"/>
  <c r="Q13"/>
  <c r="P13"/>
  <c r="O13"/>
  <c r="N13"/>
  <c r="M13"/>
  <c r="L13"/>
  <c r="K13"/>
  <c r="J13"/>
  <c r="AD13"/>
  <c r="AK12"/>
  <c r="AJ12"/>
  <c r="AI12"/>
  <c r="AH12"/>
  <c r="AG12"/>
  <c r="AE12"/>
  <c r="AD12"/>
  <c r="AC12"/>
  <c r="AB12"/>
  <c r="AA12"/>
  <c r="Z12"/>
  <c r="U12"/>
  <c r="T12"/>
  <c r="S12"/>
  <c r="R12"/>
  <c r="Q12"/>
  <c r="O12"/>
  <c r="N12"/>
  <c r="M12"/>
  <c r="L12"/>
  <c r="K12"/>
  <c r="J12"/>
  <c r="H12"/>
  <c r="G12"/>
  <c r="AK11"/>
  <c r="AJ11"/>
  <c r="AI11"/>
  <c r="AH11"/>
  <c r="AG11"/>
  <c r="AE11"/>
  <c r="AD11"/>
  <c r="AC11"/>
  <c r="AB11"/>
  <c r="AA11"/>
  <c r="Z11"/>
  <c r="U11"/>
  <c r="T11"/>
  <c r="S11"/>
  <c r="R11"/>
  <c r="Q11"/>
  <c r="O11"/>
  <c r="N11"/>
  <c r="M11"/>
  <c r="L11"/>
  <c r="K11"/>
  <c r="J11"/>
  <c r="H11"/>
  <c r="G11"/>
  <c r="AK10"/>
  <c r="AJ10"/>
  <c r="AI10"/>
  <c r="AG10"/>
  <c r="AF10"/>
  <c r="AE10"/>
  <c r="AD10"/>
  <c r="AC10"/>
  <c r="AB10"/>
  <c r="AA10"/>
  <c r="Z10"/>
  <c r="U10"/>
  <c r="T10"/>
  <c r="S10"/>
  <c r="Q10"/>
  <c r="P10"/>
  <c r="O10"/>
  <c r="N10"/>
  <c r="M10"/>
  <c r="L10"/>
  <c r="K10"/>
  <c r="J10"/>
  <c r="H10"/>
  <c r="G10"/>
  <c r="AK9"/>
  <c r="AJ9"/>
  <c r="AI9"/>
  <c r="AG9"/>
  <c r="AF9"/>
  <c r="AE9"/>
  <c r="AD9"/>
  <c r="AC9"/>
  <c r="AB9"/>
  <c r="AA9"/>
  <c r="Z9"/>
  <c r="U9"/>
  <c r="T9"/>
  <c r="S9"/>
  <c r="Q9"/>
  <c r="P9"/>
  <c r="O9"/>
  <c r="N9"/>
  <c r="M9"/>
  <c r="L9"/>
  <c r="K9"/>
  <c r="J9"/>
  <c r="H9"/>
  <c r="G9"/>
  <c r="AK8"/>
  <c r="AJ8"/>
  <c r="AI8"/>
  <c r="AG8"/>
  <c r="AF8"/>
  <c r="AE8"/>
  <c r="AD8"/>
  <c r="AC8"/>
  <c r="AB8"/>
  <c r="AA8"/>
  <c r="Z8"/>
  <c r="U8"/>
  <c r="T8"/>
  <c r="S8"/>
  <c r="Q8"/>
  <c r="P8"/>
  <c r="O8"/>
  <c r="N8"/>
  <c r="M8"/>
  <c r="L8"/>
  <c r="K8"/>
  <c r="J8"/>
  <c r="H8"/>
  <c r="G8"/>
  <c r="AK7"/>
  <c r="AJ7"/>
  <c r="AI7"/>
  <c r="AG7"/>
  <c r="AF7"/>
  <c r="AE7"/>
  <c r="AD7"/>
  <c r="AC7"/>
  <c r="AB7"/>
  <c r="AA7"/>
  <c r="Z7"/>
  <c r="U7"/>
  <c r="T7"/>
  <c r="S7"/>
  <c r="Q7"/>
  <c r="P7"/>
  <c r="O7"/>
  <c r="N7"/>
  <c r="M7"/>
  <c r="L7"/>
  <c r="K7"/>
  <c r="J7"/>
  <c r="H7"/>
  <c r="G7"/>
  <c r="AK6"/>
  <c r="AJ6"/>
  <c r="AI6"/>
  <c r="AG6"/>
  <c r="AF6"/>
  <c r="AE6"/>
  <c r="AD6"/>
  <c r="AC6"/>
  <c r="AB6"/>
  <c r="AA6"/>
  <c r="Z6"/>
  <c r="U6"/>
  <c r="T6"/>
  <c r="S6"/>
  <c r="Q6"/>
  <c r="P6"/>
  <c r="O6"/>
  <c r="N6"/>
  <c r="M6"/>
  <c r="L6"/>
  <c r="K6"/>
  <c r="J6"/>
  <c r="H6"/>
  <c r="G6"/>
  <c r="AK5"/>
  <c r="AI5"/>
  <c r="AH5"/>
  <c r="AG5"/>
  <c r="AF5"/>
  <c r="AE5"/>
  <c r="AD5"/>
  <c r="AC5"/>
  <c r="AB5"/>
  <c r="AA5"/>
  <c r="Z5"/>
  <c r="U5"/>
  <c r="S5"/>
  <c r="R5"/>
  <c r="Q5"/>
  <c r="P5"/>
  <c r="O5"/>
  <c r="N5"/>
  <c r="M5"/>
  <c r="L5"/>
  <c r="K5"/>
  <c r="J5"/>
  <c r="H5"/>
  <c r="G5"/>
  <c r="AK4"/>
  <c r="AJ4"/>
  <c r="AI4"/>
  <c r="AH4"/>
  <c r="AF4"/>
  <c r="AE4"/>
  <c r="AD4"/>
  <c r="AC4"/>
  <c r="AB4"/>
  <c r="AA4"/>
  <c r="Z4"/>
  <c r="U4"/>
  <c r="T4"/>
  <c r="S4"/>
  <c r="R4"/>
  <c r="P4"/>
  <c r="O4"/>
  <c r="N4"/>
  <c r="M4"/>
  <c r="L4"/>
  <c r="K4"/>
  <c r="J4"/>
  <c r="H4"/>
  <c r="G4"/>
  <c r="AK3"/>
  <c r="AJ3"/>
  <c r="AI3"/>
  <c r="AG3"/>
  <c r="AF3"/>
  <c r="AE3"/>
  <c r="AD3"/>
  <c r="AC3"/>
  <c r="AB3"/>
  <c r="AA3"/>
  <c r="Z3"/>
  <c r="U3"/>
  <c r="T3"/>
  <c r="S3"/>
  <c r="Q3"/>
  <c r="P3"/>
  <c r="O3"/>
  <c r="N3"/>
  <c r="M3"/>
  <c r="L3"/>
  <c r="K3"/>
  <c r="J3"/>
  <c r="H3"/>
  <c r="G3"/>
  <c r="C18" i="1"/>
  <c r="X3" i="6" l="1"/>
  <c r="W3"/>
  <c r="P11"/>
  <c r="W11"/>
  <c r="X11"/>
  <c r="P12"/>
  <c r="W12"/>
  <c r="X12"/>
  <c r="AN18"/>
  <c r="AM18"/>
  <c r="AM20"/>
  <c r="AN20"/>
  <c r="AN24"/>
  <c r="AM24"/>
  <c r="X29"/>
  <c r="W29"/>
  <c r="W35"/>
  <c r="X35"/>
  <c r="X37"/>
  <c r="W37"/>
  <c r="X39"/>
  <c r="W39"/>
  <c r="W41"/>
  <c r="X41"/>
  <c r="W43"/>
  <c r="X43"/>
  <c r="W45"/>
  <c r="X45"/>
  <c r="W47"/>
  <c r="X47"/>
  <c r="W49"/>
  <c r="X49"/>
  <c r="W51"/>
  <c r="X51"/>
  <c r="X53"/>
  <c r="W53"/>
  <c r="X55"/>
  <c r="W55"/>
  <c r="W57"/>
  <c r="X57"/>
  <c r="W59"/>
  <c r="X59"/>
  <c r="W61"/>
  <c r="X61"/>
  <c r="W18"/>
  <c r="X18"/>
  <c r="W20"/>
  <c r="X20"/>
  <c r="X22"/>
  <c r="W22"/>
  <c r="X24"/>
  <c r="W24"/>
  <c r="AN26"/>
  <c r="AM26"/>
  <c r="AM27"/>
  <c r="AN27"/>
  <c r="W28"/>
  <c r="X28"/>
  <c r="AM30"/>
  <c r="AN30"/>
  <c r="AN32"/>
  <c r="AM32"/>
  <c r="AM34"/>
  <c r="AN34"/>
  <c r="AM36"/>
  <c r="AN36"/>
  <c r="AM38"/>
  <c r="AN38"/>
  <c r="AN40"/>
  <c r="AM40"/>
  <c r="AN42"/>
  <c r="AM42"/>
  <c r="AN44"/>
  <c r="AM44"/>
  <c r="AM46"/>
  <c r="AN46"/>
  <c r="AN48"/>
  <c r="AM48"/>
  <c r="AN50"/>
  <c r="AM50"/>
  <c r="AM52"/>
  <c r="AN52"/>
  <c r="AM54"/>
  <c r="AN54"/>
  <c r="AN56"/>
  <c r="AM56"/>
  <c r="AL58"/>
  <c r="AL63" s="1"/>
  <c r="AS14" s="1"/>
  <c r="AN58"/>
  <c r="AM58"/>
  <c r="AN60"/>
  <c r="AM60"/>
  <c r="AM62"/>
  <c r="AN62"/>
  <c r="Q4"/>
  <c r="Q63" s="1"/>
  <c r="AT9" s="1"/>
  <c r="X4"/>
  <c r="W4"/>
  <c r="T5"/>
  <c r="X5"/>
  <c r="W5"/>
  <c r="R6"/>
  <c r="X6"/>
  <c r="W6"/>
  <c r="R7"/>
  <c r="X7"/>
  <c r="W7"/>
  <c r="R8"/>
  <c r="W8"/>
  <c r="X8"/>
  <c r="R9"/>
  <c r="W9"/>
  <c r="X9"/>
  <c r="R10"/>
  <c r="X10"/>
  <c r="W10"/>
  <c r="AM22"/>
  <c r="AN22"/>
  <c r="AN28"/>
  <c r="AM28"/>
  <c r="W31"/>
  <c r="X31"/>
  <c r="W33"/>
  <c r="X33"/>
  <c r="AM17"/>
  <c r="AN17"/>
  <c r="AN19"/>
  <c r="AM19"/>
  <c r="AN21"/>
  <c r="AM21"/>
  <c r="AM23"/>
  <c r="AN23"/>
  <c r="AN25"/>
  <c r="AM25"/>
  <c r="X26"/>
  <c r="W26"/>
  <c r="W27"/>
  <c r="X27"/>
  <c r="W30"/>
  <c r="X30"/>
  <c r="W32"/>
  <c r="X32"/>
  <c r="W34"/>
  <c r="X34"/>
  <c r="W36"/>
  <c r="X36"/>
  <c r="W38"/>
  <c r="X38"/>
  <c r="X40"/>
  <c r="W40"/>
  <c r="W42"/>
  <c r="X42"/>
  <c r="X44"/>
  <c r="W44"/>
  <c r="W46"/>
  <c r="X46"/>
  <c r="W48"/>
  <c r="X48"/>
  <c r="W50"/>
  <c r="X50"/>
  <c r="X52"/>
  <c r="W52"/>
  <c r="W54"/>
  <c r="X54"/>
  <c r="X56"/>
  <c r="W56"/>
  <c r="W58"/>
  <c r="X58"/>
  <c r="W60"/>
  <c r="X60"/>
  <c r="W62"/>
  <c r="X62"/>
  <c r="AM3"/>
  <c r="AN3"/>
  <c r="AG4"/>
  <c r="AN4"/>
  <c r="AM4"/>
  <c r="AJ5"/>
  <c r="AJ63" s="1"/>
  <c r="AS12" s="1"/>
  <c r="AN5"/>
  <c r="AM5"/>
  <c r="AH6"/>
  <c r="AM6"/>
  <c r="AN6"/>
  <c r="AH7"/>
  <c r="AM7"/>
  <c r="AN7"/>
  <c r="AH8"/>
  <c r="AN8"/>
  <c r="AM8"/>
  <c r="AH9"/>
  <c r="AM9"/>
  <c r="AN9"/>
  <c r="AH10"/>
  <c r="AN10"/>
  <c r="AM10"/>
  <c r="AF11"/>
  <c r="AF63" s="1"/>
  <c r="AS8" s="1"/>
  <c r="AM11"/>
  <c r="AN11"/>
  <c r="AF12"/>
  <c r="AN12"/>
  <c r="AM12"/>
  <c r="X17"/>
  <c r="W17"/>
  <c r="W19"/>
  <c r="X19"/>
  <c r="X21"/>
  <c r="W21"/>
  <c r="W23"/>
  <c r="X23"/>
  <c r="W25"/>
  <c r="X25"/>
  <c r="AN29"/>
  <c r="AM29"/>
  <c r="AM31"/>
  <c r="AN31"/>
  <c r="AN33"/>
  <c r="AM33"/>
  <c r="AN35"/>
  <c r="AM35"/>
  <c r="AM37"/>
  <c r="AN37"/>
  <c r="AM39"/>
  <c r="AN39"/>
  <c r="AM41"/>
  <c r="AN41"/>
  <c r="AN43"/>
  <c r="AM43"/>
  <c r="AN45"/>
  <c r="AM45"/>
  <c r="AM47"/>
  <c r="AN47"/>
  <c r="AN49"/>
  <c r="AM49"/>
  <c r="AN51"/>
  <c r="AM51"/>
  <c r="AM53"/>
  <c r="AN53"/>
  <c r="AM55"/>
  <c r="AN55"/>
  <c r="AN57"/>
  <c r="AM57"/>
  <c r="AN61"/>
  <c r="AM61"/>
  <c r="AR14" i="4"/>
  <c r="AN59" i="6"/>
  <c r="AM59"/>
  <c r="AM63" s="1"/>
  <c r="AS15" s="1"/>
  <c r="AR16" i="4"/>
  <c r="AR14" i="6"/>
  <c r="H63" i="4"/>
  <c r="Z63" i="6"/>
  <c r="AS2" s="1"/>
  <c r="H63"/>
  <c r="Q63" i="4"/>
  <c r="AT9" s="1"/>
  <c r="U63"/>
  <c r="AT13" s="1"/>
  <c r="AC63"/>
  <c r="AS5" s="1"/>
  <c r="M63"/>
  <c r="AT5" s="1"/>
  <c r="BJ292" i="18"/>
  <c r="BG293" s="1"/>
  <c r="J63" i="4"/>
  <c r="AT2" s="1"/>
  <c r="N63"/>
  <c r="AT6" s="1"/>
  <c r="R63"/>
  <c r="AT10" s="1"/>
  <c r="Z63"/>
  <c r="AS2" s="1"/>
  <c r="AD63"/>
  <c r="AS6" s="1"/>
  <c r="AK63"/>
  <c r="AS13" s="1"/>
  <c r="AG63"/>
  <c r="AS9" s="1"/>
  <c r="L63"/>
  <c r="AT4" s="1"/>
  <c r="P63"/>
  <c r="AT8" s="1"/>
  <c r="T63"/>
  <c r="AT12" s="1"/>
  <c r="AB63"/>
  <c r="AS4" s="1"/>
  <c r="AF63"/>
  <c r="AS8" s="1"/>
  <c r="AJ63"/>
  <c r="AS12" s="1"/>
  <c r="K63"/>
  <c r="AT3" s="1"/>
  <c r="O63"/>
  <c r="AT7" s="1"/>
  <c r="S63"/>
  <c r="AT11" s="1"/>
  <c r="AA63"/>
  <c r="AS3" s="1"/>
  <c r="AE63"/>
  <c r="AS7" s="1"/>
  <c r="AI63"/>
  <c r="AS11" s="1"/>
  <c r="AH63"/>
  <c r="AS10" s="1"/>
  <c r="G63"/>
  <c r="M63" i="6"/>
  <c r="AT5" s="1"/>
  <c r="G63"/>
  <c r="L63"/>
  <c r="AT4" s="1"/>
  <c r="P63"/>
  <c r="AT8" s="1"/>
  <c r="U63"/>
  <c r="AT13" s="1"/>
  <c r="AC63"/>
  <c r="AS5" s="1"/>
  <c r="AD63"/>
  <c r="AS6" s="1"/>
  <c r="T63"/>
  <c r="AT12" s="1"/>
  <c r="AK63"/>
  <c r="AS13" s="1"/>
  <c r="O63"/>
  <c r="AT7" s="1"/>
  <c r="AI63"/>
  <c r="AS11" s="1"/>
  <c r="AB63"/>
  <c r="AS4" s="1"/>
  <c r="K63"/>
  <c r="AT3" s="1"/>
  <c r="J63"/>
  <c r="AT2" s="1"/>
  <c r="S63"/>
  <c r="AT11" s="1"/>
  <c r="AR11" s="1"/>
  <c r="AA63"/>
  <c r="AS3" s="1"/>
  <c r="AE63"/>
  <c r="AS7" s="1"/>
  <c r="AG63"/>
  <c r="AS9" s="1"/>
  <c r="N63"/>
  <c r="AT6" s="1"/>
  <c r="R3"/>
  <c r="R63" s="1"/>
  <c r="AT10" s="1"/>
  <c r="AH3"/>
  <c r="AH63" l="1"/>
  <c r="AS10" s="1"/>
  <c r="AR10" s="1"/>
  <c r="AN63"/>
  <c r="AS16" s="1"/>
  <c r="W63"/>
  <c r="AT15" s="1"/>
  <c r="AR15" s="1"/>
  <c r="AR9" i="4"/>
  <c r="X63" i="6"/>
  <c r="AT16" s="1"/>
  <c r="AR5"/>
  <c r="AR2"/>
  <c r="AR6"/>
  <c r="AR2" i="4"/>
  <c r="AR13"/>
  <c r="AR5"/>
  <c r="BJ293" i="18"/>
  <c r="BG294" s="1"/>
  <c r="AR10" i="4"/>
  <c r="AR6"/>
  <c r="AR7"/>
  <c r="AS17"/>
  <c r="AR3"/>
  <c r="AR12"/>
  <c r="AT17"/>
  <c r="AT21" s="1"/>
  <c r="AR11"/>
  <c r="AR4"/>
  <c r="AR8"/>
  <c r="AR4" i="6"/>
  <c r="AR12"/>
  <c r="AR9"/>
  <c r="AR7"/>
  <c r="AS17"/>
  <c r="AR3"/>
  <c r="AR13"/>
  <c r="AT17"/>
  <c r="AR8"/>
  <c r="AR16" l="1"/>
  <c r="BJ294" i="18"/>
  <c r="BG295" s="1"/>
  <c r="AR17" i="4"/>
  <c r="AR17" i="6"/>
  <c r="BJ295" i="18" l="1"/>
  <c r="BG296" s="1"/>
  <c r="H14" i="3"/>
  <c r="N14" s="1"/>
  <c r="H15"/>
  <c r="H13"/>
  <c r="N13" s="1"/>
  <c r="G14"/>
  <c r="AD14" s="1"/>
  <c r="G15"/>
  <c r="G13"/>
  <c r="AR27"/>
  <c r="AR26"/>
  <c r="AR25"/>
  <c r="E39" i="1"/>
  <c r="F39"/>
  <c r="H39"/>
  <c r="I39"/>
  <c r="J39"/>
  <c r="K39"/>
  <c r="N39"/>
  <c r="D39"/>
  <c r="C29"/>
  <c r="C19"/>
  <c r="C6"/>
  <c r="C11"/>
  <c r="C32"/>
  <c r="C24"/>
  <c r="AW33" i="2"/>
  <c r="AZ31" s="1"/>
  <c r="AZ26"/>
  <c r="H12" i="3"/>
  <c r="G12"/>
  <c r="AF12" s="1"/>
  <c r="H11"/>
  <c r="G11"/>
  <c r="H10"/>
  <c r="R10" s="1"/>
  <c r="G10"/>
  <c r="AH10" s="1"/>
  <c r="H9"/>
  <c r="R9" s="1"/>
  <c r="G9"/>
  <c r="H8"/>
  <c r="G8"/>
  <c r="AH8" s="1"/>
  <c r="H7"/>
  <c r="G7"/>
  <c r="H6"/>
  <c r="R6" s="1"/>
  <c r="G6"/>
  <c r="AH6" s="1"/>
  <c r="H5"/>
  <c r="T5" s="1"/>
  <c r="G5"/>
  <c r="H4"/>
  <c r="G4"/>
  <c r="H3"/>
  <c r="R3" s="1"/>
  <c r="G3"/>
  <c r="E63"/>
  <c r="AK62"/>
  <c r="AJ62"/>
  <c r="AI62"/>
  <c r="AH62"/>
  <c r="AG62"/>
  <c r="AF62"/>
  <c r="AE62"/>
  <c r="AD62"/>
  <c r="AC62"/>
  <c r="AB62"/>
  <c r="AA62"/>
  <c r="Z62"/>
  <c r="U62"/>
  <c r="T62"/>
  <c r="S62"/>
  <c r="R62"/>
  <c r="Q62"/>
  <c r="P62"/>
  <c r="O62"/>
  <c r="N62"/>
  <c r="M62"/>
  <c r="L62"/>
  <c r="K62"/>
  <c r="J62"/>
  <c r="H62"/>
  <c r="G62"/>
  <c r="AK61"/>
  <c r="AJ61"/>
  <c r="AI61"/>
  <c r="AH61"/>
  <c r="AG61"/>
  <c r="AF61"/>
  <c r="AE61"/>
  <c r="AD61"/>
  <c r="AC61"/>
  <c r="AB61"/>
  <c r="AA61"/>
  <c r="Z61"/>
  <c r="U61"/>
  <c r="T61"/>
  <c r="S61"/>
  <c r="R61"/>
  <c r="Q61"/>
  <c r="P61"/>
  <c r="O61"/>
  <c r="N61"/>
  <c r="M61"/>
  <c r="L61"/>
  <c r="K61"/>
  <c r="J61"/>
  <c r="H61"/>
  <c r="G61"/>
  <c r="AK60"/>
  <c r="AJ60"/>
  <c r="AI60"/>
  <c r="AH60"/>
  <c r="AG60"/>
  <c r="AF60"/>
  <c r="AE60"/>
  <c r="AD60"/>
  <c r="AC60"/>
  <c r="AB60"/>
  <c r="AA60"/>
  <c r="Z60"/>
  <c r="U60"/>
  <c r="T60"/>
  <c r="S60"/>
  <c r="R60"/>
  <c r="Q60"/>
  <c r="P60"/>
  <c r="O60"/>
  <c r="N60"/>
  <c r="M60"/>
  <c r="L60"/>
  <c r="K60"/>
  <c r="J60"/>
  <c r="H60"/>
  <c r="G60"/>
  <c r="AK59"/>
  <c r="AJ59"/>
  <c r="AI59"/>
  <c r="AH59"/>
  <c r="AG59"/>
  <c r="AF59"/>
  <c r="AE59"/>
  <c r="AD59"/>
  <c r="AC59"/>
  <c r="AB59"/>
  <c r="AA59"/>
  <c r="Z59"/>
  <c r="U59"/>
  <c r="T59"/>
  <c r="S59"/>
  <c r="R59"/>
  <c r="Q59"/>
  <c r="P59"/>
  <c r="O59"/>
  <c r="N59"/>
  <c r="M59"/>
  <c r="L59"/>
  <c r="K59"/>
  <c r="J59"/>
  <c r="H59"/>
  <c r="G59"/>
  <c r="AK58"/>
  <c r="AJ58"/>
  <c r="AI58"/>
  <c r="AH58"/>
  <c r="AG58"/>
  <c r="AF58"/>
  <c r="AE58"/>
  <c r="AD58"/>
  <c r="AC58"/>
  <c r="AB58"/>
  <c r="AA58"/>
  <c r="Z58"/>
  <c r="U58"/>
  <c r="T58"/>
  <c r="S58"/>
  <c r="R58"/>
  <c r="Q58"/>
  <c r="P58"/>
  <c r="O58"/>
  <c r="N58"/>
  <c r="M58"/>
  <c r="L58"/>
  <c r="K58"/>
  <c r="J58"/>
  <c r="H58"/>
  <c r="G58"/>
  <c r="AK57"/>
  <c r="AJ57"/>
  <c r="AI57"/>
  <c r="AH57"/>
  <c r="AG57"/>
  <c r="AF57"/>
  <c r="AE57"/>
  <c r="AD57"/>
  <c r="AC57"/>
  <c r="AB57"/>
  <c r="AA57"/>
  <c r="Z57"/>
  <c r="U57"/>
  <c r="T57"/>
  <c r="S57"/>
  <c r="R57"/>
  <c r="Q57"/>
  <c r="P57"/>
  <c r="O57"/>
  <c r="N57"/>
  <c r="M57"/>
  <c r="L57"/>
  <c r="K57"/>
  <c r="J57"/>
  <c r="H57"/>
  <c r="G57"/>
  <c r="AK56"/>
  <c r="AJ56"/>
  <c r="AI56"/>
  <c r="AH56"/>
  <c r="AG56"/>
  <c r="AF56"/>
  <c r="AE56"/>
  <c r="AD56"/>
  <c r="AC56"/>
  <c r="AB56"/>
  <c r="AA56"/>
  <c r="Z56"/>
  <c r="U56"/>
  <c r="T56"/>
  <c r="S56"/>
  <c r="R56"/>
  <c r="Q56"/>
  <c r="P56"/>
  <c r="O56"/>
  <c r="N56"/>
  <c r="M56"/>
  <c r="L56"/>
  <c r="K56"/>
  <c r="J56"/>
  <c r="H56"/>
  <c r="G56"/>
  <c r="AK55"/>
  <c r="AJ55"/>
  <c r="AI55"/>
  <c r="AH55"/>
  <c r="AG55"/>
  <c r="AF55"/>
  <c r="AE55"/>
  <c r="AD55"/>
  <c r="AC55"/>
  <c r="AB55"/>
  <c r="AA55"/>
  <c r="Z55"/>
  <c r="U55"/>
  <c r="T55"/>
  <c r="S55"/>
  <c r="R55"/>
  <c r="Q55"/>
  <c r="P55"/>
  <c r="O55"/>
  <c r="N55"/>
  <c r="M55"/>
  <c r="L55"/>
  <c r="K55"/>
  <c r="J55"/>
  <c r="H55"/>
  <c r="G55"/>
  <c r="AK54"/>
  <c r="AJ54"/>
  <c r="AI54"/>
  <c r="AH54"/>
  <c r="AG54"/>
  <c r="AF54"/>
  <c r="AE54"/>
  <c r="AD54"/>
  <c r="AC54"/>
  <c r="AB54"/>
  <c r="AA54"/>
  <c r="Z54"/>
  <c r="U54"/>
  <c r="T54"/>
  <c r="S54"/>
  <c r="R54"/>
  <c r="Q54"/>
  <c r="P54"/>
  <c r="O54"/>
  <c r="N54"/>
  <c r="M54"/>
  <c r="L54"/>
  <c r="K54"/>
  <c r="J54"/>
  <c r="H54"/>
  <c r="G54"/>
  <c r="AK53"/>
  <c r="AJ53"/>
  <c r="AI53"/>
  <c r="AH53"/>
  <c r="AG53"/>
  <c r="AF53"/>
  <c r="AE53"/>
  <c r="AD53"/>
  <c r="AC53"/>
  <c r="AB53"/>
  <c r="AA53"/>
  <c r="Z53"/>
  <c r="U53"/>
  <c r="T53"/>
  <c r="S53"/>
  <c r="R53"/>
  <c r="Q53"/>
  <c r="P53"/>
  <c r="O53"/>
  <c r="N53"/>
  <c r="M53"/>
  <c r="L53"/>
  <c r="K53"/>
  <c r="J53"/>
  <c r="H53"/>
  <c r="G53"/>
  <c r="AK52"/>
  <c r="AJ52"/>
  <c r="AI52"/>
  <c r="AH52"/>
  <c r="AG52"/>
  <c r="AF52"/>
  <c r="AE52"/>
  <c r="AD52"/>
  <c r="AC52"/>
  <c r="AB52"/>
  <c r="AA52"/>
  <c r="Z52"/>
  <c r="U52"/>
  <c r="T52"/>
  <c r="S52"/>
  <c r="R52"/>
  <c r="Q52"/>
  <c r="P52"/>
  <c r="O52"/>
  <c r="N52"/>
  <c r="M52"/>
  <c r="L52"/>
  <c r="K52"/>
  <c r="J52"/>
  <c r="H52"/>
  <c r="G52"/>
  <c r="AK51"/>
  <c r="AJ51"/>
  <c r="AI51"/>
  <c r="AH51"/>
  <c r="AG51"/>
  <c r="AF51"/>
  <c r="AE51"/>
  <c r="AD51"/>
  <c r="AC51"/>
  <c r="AB51"/>
  <c r="AA51"/>
  <c r="Z51"/>
  <c r="U51"/>
  <c r="T51"/>
  <c r="S51"/>
  <c r="R51"/>
  <c r="Q51"/>
  <c r="P51"/>
  <c r="O51"/>
  <c r="N51"/>
  <c r="M51"/>
  <c r="L51"/>
  <c r="K51"/>
  <c r="J51"/>
  <c r="H51"/>
  <c r="G51"/>
  <c r="AK50"/>
  <c r="AJ50"/>
  <c r="AI50"/>
  <c r="AH50"/>
  <c r="AG50"/>
  <c r="AF50"/>
  <c r="AE50"/>
  <c r="AD50"/>
  <c r="AC50"/>
  <c r="AB50"/>
  <c r="AA50"/>
  <c r="Z50"/>
  <c r="U50"/>
  <c r="T50"/>
  <c r="S50"/>
  <c r="R50"/>
  <c r="Q50"/>
  <c r="P50"/>
  <c r="O50"/>
  <c r="N50"/>
  <c r="M50"/>
  <c r="L50"/>
  <c r="K50"/>
  <c r="J50"/>
  <c r="H50"/>
  <c r="G50"/>
  <c r="AK49"/>
  <c r="AJ49"/>
  <c r="AI49"/>
  <c r="AH49"/>
  <c r="AG49"/>
  <c r="AF49"/>
  <c r="AE49"/>
  <c r="AD49"/>
  <c r="AC49"/>
  <c r="AB49"/>
  <c r="AA49"/>
  <c r="Z49"/>
  <c r="U49"/>
  <c r="T49"/>
  <c r="S49"/>
  <c r="R49"/>
  <c r="Q49"/>
  <c r="P49"/>
  <c r="O49"/>
  <c r="N49"/>
  <c r="M49"/>
  <c r="L49"/>
  <c r="K49"/>
  <c r="J49"/>
  <c r="H49"/>
  <c r="G49"/>
  <c r="AK48"/>
  <c r="AJ48"/>
  <c r="AI48"/>
  <c r="AH48"/>
  <c r="AG48"/>
  <c r="AF48"/>
  <c r="AE48"/>
  <c r="AD48"/>
  <c r="AC48"/>
  <c r="AB48"/>
  <c r="AA48"/>
  <c r="Z48"/>
  <c r="U48"/>
  <c r="T48"/>
  <c r="S48"/>
  <c r="R48"/>
  <c r="Q48"/>
  <c r="P48"/>
  <c r="O48"/>
  <c r="N48"/>
  <c r="M48"/>
  <c r="L48"/>
  <c r="K48"/>
  <c r="J48"/>
  <c r="H48"/>
  <c r="G48"/>
  <c r="AK47"/>
  <c r="AJ47"/>
  <c r="AI47"/>
  <c r="AH47"/>
  <c r="AG47"/>
  <c r="AF47"/>
  <c r="AE47"/>
  <c r="AD47"/>
  <c r="AC47"/>
  <c r="AB47"/>
  <c r="AA47"/>
  <c r="Z47"/>
  <c r="U47"/>
  <c r="T47"/>
  <c r="S47"/>
  <c r="R47"/>
  <c r="Q47"/>
  <c r="P47"/>
  <c r="O47"/>
  <c r="N47"/>
  <c r="M47"/>
  <c r="L47"/>
  <c r="K47"/>
  <c r="J47"/>
  <c r="H47"/>
  <c r="G47"/>
  <c r="AK46"/>
  <c r="AJ46"/>
  <c r="AI46"/>
  <c r="AH46"/>
  <c r="AG46"/>
  <c r="AF46"/>
  <c r="AE46"/>
  <c r="AD46"/>
  <c r="AC46"/>
  <c r="AB46"/>
  <c r="AA46"/>
  <c r="Z46"/>
  <c r="U46"/>
  <c r="T46"/>
  <c r="S46"/>
  <c r="R46"/>
  <c r="Q46"/>
  <c r="P46"/>
  <c r="O46"/>
  <c r="N46"/>
  <c r="M46"/>
  <c r="L46"/>
  <c r="K46"/>
  <c r="J46"/>
  <c r="H46"/>
  <c r="G46"/>
  <c r="AK45"/>
  <c r="AJ45"/>
  <c r="AI45"/>
  <c r="AH45"/>
  <c r="AG45"/>
  <c r="AF45"/>
  <c r="AE45"/>
  <c r="AD45"/>
  <c r="AC45"/>
  <c r="AB45"/>
  <c r="AA45"/>
  <c r="Z45"/>
  <c r="U45"/>
  <c r="T45"/>
  <c r="S45"/>
  <c r="R45"/>
  <c r="Q45"/>
  <c r="P45"/>
  <c r="O45"/>
  <c r="N45"/>
  <c r="M45"/>
  <c r="L45"/>
  <c r="K45"/>
  <c r="J45"/>
  <c r="H45"/>
  <c r="G45"/>
  <c r="AK44"/>
  <c r="AJ44"/>
  <c r="AI44"/>
  <c r="AH44"/>
  <c r="AG44"/>
  <c r="AF44"/>
  <c r="AE44"/>
  <c r="AD44"/>
  <c r="AC44"/>
  <c r="AB44"/>
  <c r="AA44"/>
  <c r="Z44"/>
  <c r="U44"/>
  <c r="T44"/>
  <c r="S44"/>
  <c r="R44"/>
  <c r="Q44"/>
  <c r="P44"/>
  <c r="O44"/>
  <c r="N44"/>
  <c r="M44"/>
  <c r="L44"/>
  <c r="K44"/>
  <c r="J44"/>
  <c r="H44"/>
  <c r="G44"/>
  <c r="AK43"/>
  <c r="AJ43"/>
  <c r="AI43"/>
  <c r="AH43"/>
  <c r="AG43"/>
  <c r="AF43"/>
  <c r="AE43"/>
  <c r="AD43"/>
  <c r="AC43"/>
  <c r="AB43"/>
  <c r="AA43"/>
  <c r="Z43"/>
  <c r="U43"/>
  <c r="T43"/>
  <c r="S43"/>
  <c r="R43"/>
  <c r="Q43"/>
  <c r="P43"/>
  <c r="O43"/>
  <c r="N43"/>
  <c r="M43"/>
  <c r="L43"/>
  <c r="K43"/>
  <c r="J43"/>
  <c r="H43"/>
  <c r="G43"/>
  <c r="AK42"/>
  <c r="AJ42"/>
  <c r="AI42"/>
  <c r="AH42"/>
  <c r="AG42"/>
  <c r="AF42"/>
  <c r="AE42"/>
  <c r="AD42"/>
  <c r="AC42"/>
  <c r="AB42"/>
  <c r="AA42"/>
  <c r="Z42"/>
  <c r="U42"/>
  <c r="T42"/>
  <c r="S42"/>
  <c r="R42"/>
  <c r="Q42"/>
  <c r="P42"/>
  <c r="O42"/>
  <c r="N42"/>
  <c r="M42"/>
  <c r="L42"/>
  <c r="K42"/>
  <c r="J42"/>
  <c r="H42"/>
  <c r="G42"/>
  <c r="AK41"/>
  <c r="AJ41"/>
  <c r="AI41"/>
  <c r="AH41"/>
  <c r="AG41"/>
  <c r="AF41"/>
  <c r="AE41"/>
  <c r="AD41"/>
  <c r="AC41"/>
  <c r="AB41"/>
  <c r="AA41"/>
  <c r="Z41"/>
  <c r="U41"/>
  <c r="T41"/>
  <c r="S41"/>
  <c r="R41"/>
  <c r="Q41"/>
  <c r="P41"/>
  <c r="O41"/>
  <c r="N41"/>
  <c r="M41"/>
  <c r="L41"/>
  <c r="K41"/>
  <c r="J41"/>
  <c r="H41"/>
  <c r="G41"/>
  <c r="AK40"/>
  <c r="AJ40"/>
  <c r="AI40"/>
  <c r="AH40"/>
  <c r="AG40"/>
  <c r="AF40"/>
  <c r="AE40"/>
  <c r="AD40"/>
  <c r="AC40"/>
  <c r="AB40"/>
  <c r="AA40"/>
  <c r="Z40"/>
  <c r="U40"/>
  <c r="T40"/>
  <c r="S40"/>
  <c r="R40"/>
  <c r="Q40"/>
  <c r="P40"/>
  <c r="O40"/>
  <c r="N40"/>
  <c r="M40"/>
  <c r="L40"/>
  <c r="K40"/>
  <c r="J40"/>
  <c r="H40"/>
  <c r="G40"/>
  <c r="AK39"/>
  <c r="AJ39"/>
  <c r="AI39"/>
  <c r="AH39"/>
  <c r="AG39"/>
  <c r="AF39"/>
  <c r="AE39"/>
  <c r="AD39"/>
  <c r="AC39"/>
  <c r="AB39"/>
  <c r="AA39"/>
  <c r="Z39"/>
  <c r="U39"/>
  <c r="T39"/>
  <c r="S39"/>
  <c r="R39"/>
  <c r="Q39"/>
  <c r="P39"/>
  <c r="O39"/>
  <c r="N39"/>
  <c r="M39"/>
  <c r="L39"/>
  <c r="K39"/>
  <c r="J39"/>
  <c r="H39"/>
  <c r="G39"/>
  <c r="AK38"/>
  <c r="AJ38"/>
  <c r="AI38"/>
  <c r="AH38"/>
  <c r="AG38"/>
  <c r="AF38"/>
  <c r="AE38"/>
  <c r="AD38"/>
  <c r="AC38"/>
  <c r="AB38"/>
  <c r="AA38"/>
  <c r="Z38"/>
  <c r="U38"/>
  <c r="T38"/>
  <c r="S38"/>
  <c r="R38"/>
  <c r="Q38"/>
  <c r="P38"/>
  <c r="O38"/>
  <c r="N38"/>
  <c r="M38"/>
  <c r="L38"/>
  <c r="K38"/>
  <c r="J38"/>
  <c r="H38"/>
  <c r="G38"/>
  <c r="AK37"/>
  <c r="AJ37"/>
  <c r="AI37"/>
  <c r="AH37"/>
  <c r="AG37"/>
  <c r="AF37"/>
  <c r="AE37"/>
  <c r="AD37"/>
  <c r="AC37"/>
  <c r="AB37"/>
  <c r="AA37"/>
  <c r="Z37"/>
  <c r="U37"/>
  <c r="T37"/>
  <c r="S37"/>
  <c r="R37"/>
  <c r="Q37"/>
  <c r="P37"/>
  <c r="O37"/>
  <c r="N37"/>
  <c r="M37"/>
  <c r="L37"/>
  <c r="K37"/>
  <c r="J37"/>
  <c r="H37"/>
  <c r="G37"/>
  <c r="AK36"/>
  <c r="AJ36"/>
  <c r="AI36"/>
  <c r="AH36"/>
  <c r="AG36"/>
  <c r="AF36"/>
  <c r="AE36"/>
  <c r="AD36"/>
  <c r="AC36"/>
  <c r="AB36"/>
  <c r="AA36"/>
  <c r="Z36"/>
  <c r="U36"/>
  <c r="T36"/>
  <c r="S36"/>
  <c r="R36"/>
  <c r="Q36"/>
  <c r="P36"/>
  <c r="O36"/>
  <c r="N36"/>
  <c r="M36"/>
  <c r="L36"/>
  <c r="K36"/>
  <c r="J36"/>
  <c r="H36"/>
  <c r="G36"/>
  <c r="AK35"/>
  <c r="AJ35"/>
  <c r="AI35"/>
  <c r="AH35"/>
  <c r="AG35"/>
  <c r="AF35"/>
  <c r="AE35"/>
  <c r="AD35"/>
  <c r="AC35"/>
  <c r="AB35"/>
  <c r="AA35"/>
  <c r="Z35"/>
  <c r="U35"/>
  <c r="T35"/>
  <c r="S35"/>
  <c r="R35"/>
  <c r="Q35"/>
  <c r="P35"/>
  <c r="O35"/>
  <c r="N35"/>
  <c r="M35"/>
  <c r="L35"/>
  <c r="K35"/>
  <c r="J35"/>
  <c r="H35"/>
  <c r="G35"/>
  <c r="AK34"/>
  <c r="AJ34"/>
  <c r="AI34"/>
  <c r="AH34"/>
  <c r="AG34"/>
  <c r="AF34"/>
  <c r="AE34"/>
  <c r="AD34"/>
  <c r="AC34"/>
  <c r="AB34"/>
  <c r="AA34"/>
  <c r="Z34"/>
  <c r="U34"/>
  <c r="T34"/>
  <c r="S34"/>
  <c r="R34"/>
  <c r="Q34"/>
  <c r="P34"/>
  <c r="O34"/>
  <c r="N34"/>
  <c r="M34"/>
  <c r="L34"/>
  <c r="K34"/>
  <c r="J34"/>
  <c r="H34"/>
  <c r="G34"/>
  <c r="AK33"/>
  <c r="AJ33"/>
  <c r="AI33"/>
  <c r="AH33"/>
  <c r="AG33"/>
  <c r="AF33"/>
  <c r="AE33"/>
  <c r="AD33"/>
  <c r="AC33"/>
  <c r="AB33"/>
  <c r="AA33"/>
  <c r="Z33"/>
  <c r="U33"/>
  <c r="T33"/>
  <c r="S33"/>
  <c r="R33"/>
  <c r="Q33"/>
  <c r="P33"/>
  <c r="O33"/>
  <c r="N33"/>
  <c r="M33"/>
  <c r="L33"/>
  <c r="K33"/>
  <c r="J33"/>
  <c r="H33"/>
  <c r="G33"/>
  <c r="AK32"/>
  <c r="AJ32"/>
  <c r="AI32"/>
  <c r="AH32"/>
  <c r="AG32"/>
  <c r="AF32"/>
  <c r="AE32"/>
  <c r="AD32"/>
  <c r="AC32"/>
  <c r="AB32"/>
  <c r="AA32"/>
  <c r="Z32"/>
  <c r="U32"/>
  <c r="T32"/>
  <c r="S32"/>
  <c r="R32"/>
  <c r="Q32"/>
  <c r="P32"/>
  <c r="O32"/>
  <c r="N32"/>
  <c r="M32"/>
  <c r="L32"/>
  <c r="K32"/>
  <c r="J32"/>
  <c r="H32"/>
  <c r="G32"/>
  <c r="AK31"/>
  <c r="AJ31"/>
  <c r="AI31"/>
  <c r="AH31"/>
  <c r="AG31"/>
  <c r="AF31"/>
  <c r="AE31"/>
  <c r="AD31"/>
  <c r="AC31"/>
  <c r="AB31"/>
  <c r="AA31"/>
  <c r="Z31"/>
  <c r="U31"/>
  <c r="T31"/>
  <c r="S31"/>
  <c r="R31"/>
  <c r="Q31"/>
  <c r="P31"/>
  <c r="O31"/>
  <c r="N31"/>
  <c r="M31"/>
  <c r="L31"/>
  <c r="K31"/>
  <c r="J31"/>
  <c r="H31"/>
  <c r="G31"/>
  <c r="AK30"/>
  <c r="AJ30"/>
  <c r="AI30"/>
  <c r="AH30"/>
  <c r="AG30"/>
  <c r="AF30"/>
  <c r="AE30"/>
  <c r="AD30"/>
  <c r="AC30"/>
  <c r="AA30"/>
  <c r="Z30"/>
  <c r="U30"/>
  <c r="T30"/>
  <c r="S30"/>
  <c r="R30"/>
  <c r="Q30"/>
  <c r="P30"/>
  <c r="O30"/>
  <c r="N30"/>
  <c r="M30"/>
  <c r="K30"/>
  <c r="J30"/>
  <c r="H30"/>
  <c r="L30" s="1"/>
  <c r="G30"/>
  <c r="AB30" s="1"/>
  <c r="AK29"/>
  <c r="AJ29"/>
  <c r="AI29"/>
  <c r="AH29"/>
  <c r="AG29"/>
  <c r="AF29"/>
  <c r="AE29"/>
  <c r="AD29"/>
  <c r="AC29"/>
  <c r="AA29"/>
  <c r="Z29"/>
  <c r="U29"/>
  <c r="T29"/>
  <c r="S29"/>
  <c r="R29"/>
  <c r="Q29"/>
  <c r="P29"/>
  <c r="O29"/>
  <c r="N29"/>
  <c r="M29"/>
  <c r="K29"/>
  <c r="J29"/>
  <c r="H29"/>
  <c r="L29" s="1"/>
  <c r="G29"/>
  <c r="AB29" s="1"/>
  <c r="AW28"/>
  <c r="AW31" s="1"/>
  <c r="AK28"/>
  <c r="AJ28"/>
  <c r="AI28"/>
  <c r="AH28"/>
  <c r="AG28"/>
  <c r="AF28"/>
  <c r="AE28"/>
  <c r="AD28"/>
  <c r="AC28"/>
  <c r="AA28"/>
  <c r="Z28"/>
  <c r="U28"/>
  <c r="T28"/>
  <c r="S28"/>
  <c r="R28"/>
  <c r="Q28"/>
  <c r="P28"/>
  <c r="O28"/>
  <c r="N28"/>
  <c r="M28"/>
  <c r="K28"/>
  <c r="J28"/>
  <c r="H28"/>
  <c r="L28" s="1"/>
  <c r="G28"/>
  <c r="AB28" s="1"/>
  <c r="AK27"/>
  <c r="AJ27"/>
  <c r="AI27"/>
  <c r="AH27"/>
  <c r="AG27"/>
  <c r="AF27"/>
  <c r="AE27"/>
  <c r="AD27"/>
  <c r="AC27"/>
  <c r="AA27"/>
  <c r="Z27"/>
  <c r="U27"/>
  <c r="T27"/>
  <c r="S27"/>
  <c r="R27"/>
  <c r="Q27"/>
  <c r="P27"/>
  <c r="O27"/>
  <c r="N27"/>
  <c r="M27"/>
  <c r="K27"/>
  <c r="J27"/>
  <c r="H27"/>
  <c r="L27" s="1"/>
  <c r="G27"/>
  <c r="AB27" s="1"/>
  <c r="AZ27"/>
  <c r="AK26"/>
  <c r="AJ26"/>
  <c r="AI26"/>
  <c r="AH26"/>
  <c r="AG26"/>
  <c r="AF26"/>
  <c r="AE26"/>
  <c r="AD26"/>
  <c r="AC26"/>
  <c r="AB26"/>
  <c r="AA26"/>
  <c r="U26"/>
  <c r="T26"/>
  <c r="S26"/>
  <c r="R26"/>
  <c r="Q26"/>
  <c r="P26"/>
  <c r="O26"/>
  <c r="N26"/>
  <c r="M26"/>
  <c r="L26"/>
  <c r="K26"/>
  <c r="H26"/>
  <c r="J26" s="1"/>
  <c r="G26"/>
  <c r="Z26" s="1"/>
  <c r="AK25"/>
  <c r="AI25"/>
  <c r="AH25"/>
  <c r="AG25"/>
  <c r="AF25"/>
  <c r="AE25"/>
  <c r="AD25"/>
  <c r="AC25"/>
  <c r="AB25"/>
  <c r="AA25"/>
  <c r="Z25"/>
  <c r="U25"/>
  <c r="S25"/>
  <c r="R25"/>
  <c r="Q25"/>
  <c r="P25"/>
  <c r="O25"/>
  <c r="N25"/>
  <c r="M25"/>
  <c r="L25"/>
  <c r="K25"/>
  <c r="J25"/>
  <c r="H25"/>
  <c r="T25" s="1"/>
  <c r="G25"/>
  <c r="AJ25" s="1"/>
  <c r="AK24"/>
  <c r="AJ24"/>
  <c r="AI24"/>
  <c r="AH24"/>
  <c r="AG24"/>
  <c r="AF24"/>
  <c r="AE24"/>
  <c r="AC24"/>
  <c r="AB24"/>
  <c r="AA24"/>
  <c r="Z24"/>
  <c r="U24"/>
  <c r="T24"/>
  <c r="S24"/>
  <c r="R24"/>
  <c r="Q24"/>
  <c r="P24"/>
  <c r="O24"/>
  <c r="M24"/>
  <c r="L24"/>
  <c r="K24"/>
  <c r="J24"/>
  <c r="H24"/>
  <c r="N24" s="1"/>
  <c r="G24"/>
  <c r="AD24" s="1"/>
  <c r="AK23"/>
  <c r="AJ23"/>
  <c r="AI23"/>
  <c r="AH23"/>
  <c r="AG23"/>
  <c r="AF23"/>
  <c r="AE23"/>
  <c r="AD23"/>
  <c r="AC23"/>
  <c r="AA23"/>
  <c r="Z23"/>
  <c r="U23"/>
  <c r="T23"/>
  <c r="S23"/>
  <c r="R23"/>
  <c r="Q23"/>
  <c r="P23"/>
  <c r="O23"/>
  <c r="N23"/>
  <c r="M23"/>
  <c r="K23"/>
  <c r="J23"/>
  <c r="H23"/>
  <c r="L23" s="1"/>
  <c r="G23"/>
  <c r="AB23" s="1"/>
  <c r="AK22"/>
  <c r="AJ22"/>
  <c r="AI22"/>
  <c r="AH22"/>
  <c r="AG22"/>
  <c r="AF22"/>
  <c r="AE22"/>
  <c r="AD22"/>
  <c r="AB22"/>
  <c r="AA22"/>
  <c r="Z22"/>
  <c r="U22"/>
  <c r="T22"/>
  <c r="S22"/>
  <c r="R22"/>
  <c r="Q22"/>
  <c r="P22"/>
  <c r="O22"/>
  <c r="N22"/>
  <c r="L22"/>
  <c r="K22"/>
  <c r="J22"/>
  <c r="M22"/>
  <c r="AC22"/>
  <c r="AK21"/>
  <c r="AJ21"/>
  <c r="AI21"/>
  <c r="AH21"/>
  <c r="AG21"/>
  <c r="AF21"/>
  <c r="AE21"/>
  <c r="AD21"/>
  <c r="AC21"/>
  <c r="AA21"/>
  <c r="Z21"/>
  <c r="U21"/>
  <c r="T21"/>
  <c r="S21"/>
  <c r="R21"/>
  <c r="Q21"/>
  <c r="P21"/>
  <c r="O21"/>
  <c r="N21"/>
  <c r="M21"/>
  <c r="K21"/>
  <c r="J21"/>
  <c r="H21"/>
  <c r="L21" s="1"/>
  <c r="G21"/>
  <c r="AB21" s="1"/>
  <c r="AK20"/>
  <c r="AJ20"/>
  <c r="AI20"/>
  <c r="AH20"/>
  <c r="AG20"/>
  <c r="AF20"/>
  <c r="AE20"/>
  <c r="AD20"/>
  <c r="AC20"/>
  <c r="AA20"/>
  <c r="Z20"/>
  <c r="U20"/>
  <c r="T20"/>
  <c r="S20"/>
  <c r="R20"/>
  <c r="Q20"/>
  <c r="P20"/>
  <c r="O20"/>
  <c r="N20"/>
  <c r="M20"/>
  <c r="K20"/>
  <c r="J20"/>
  <c r="H20"/>
  <c r="L20" s="1"/>
  <c r="G20"/>
  <c r="AB20" s="1"/>
  <c r="AK19"/>
  <c r="AJ19"/>
  <c r="AI19"/>
  <c r="AH19"/>
  <c r="AG19"/>
  <c r="AF19"/>
  <c r="AE19"/>
  <c r="AD19"/>
  <c r="AC19"/>
  <c r="AA19"/>
  <c r="Z19"/>
  <c r="U19"/>
  <c r="T19"/>
  <c r="S19"/>
  <c r="R19"/>
  <c r="Q19"/>
  <c r="P19"/>
  <c r="O19"/>
  <c r="N19"/>
  <c r="M19"/>
  <c r="K19"/>
  <c r="J19"/>
  <c r="H19"/>
  <c r="L19" s="1"/>
  <c r="G19"/>
  <c r="AB19" s="1"/>
  <c r="AK18"/>
  <c r="AJ18"/>
  <c r="AI18"/>
  <c r="AH18"/>
  <c r="AG18"/>
  <c r="AF18"/>
  <c r="AE18"/>
  <c r="AD18"/>
  <c r="AB18"/>
  <c r="AA18"/>
  <c r="Z18"/>
  <c r="U18"/>
  <c r="T18"/>
  <c r="S18"/>
  <c r="R18"/>
  <c r="Q18"/>
  <c r="P18"/>
  <c r="O18"/>
  <c r="N18"/>
  <c r="L18"/>
  <c r="K18"/>
  <c r="J18"/>
  <c r="H18"/>
  <c r="M18" s="1"/>
  <c r="G18"/>
  <c r="AC18" s="1"/>
  <c r="AK17"/>
  <c r="AJ17"/>
  <c r="AI17"/>
  <c r="AH17"/>
  <c r="AG17"/>
  <c r="AF17"/>
  <c r="AE17"/>
  <c r="AC17"/>
  <c r="AB17"/>
  <c r="AA17"/>
  <c r="Z17"/>
  <c r="U17"/>
  <c r="T17"/>
  <c r="S17"/>
  <c r="R17"/>
  <c r="Q17"/>
  <c r="P17"/>
  <c r="O17"/>
  <c r="M17"/>
  <c r="L17"/>
  <c r="K17"/>
  <c r="J17"/>
  <c r="H17"/>
  <c r="N17" s="1"/>
  <c r="G17"/>
  <c r="AD17" s="1"/>
  <c r="AT16"/>
  <c r="AS16"/>
  <c r="AK16"/>
  <c r="AJ16"/>
  <c r="AI16"/>
  <c r="AH16"/>
  <c r="AG16"/>
  <c r="AF16"/>
  <c r="AE16"/>
  <c r="AC16"/>
  <c r="AB16"/>
  <c r="AA16"/>
  <c r="Z16"/>
  <c r="U16"/>
  <c r="T16"/>
  <c r="S16"/>
  <c r="R16"/>
  <c r="Q16"/>
  <c r="P16"/>
  <c r="O16"/>
  <c r="M16"/>
  <c r="L16"/>
  <c r="K16"/>
  <c r="J16"/>
  <c r="H16"/>
  <c r="N16" s="1"/>
  <c r="G16"/>
  <c r="AD16" s="1"/>
  <c r="AT15"/>
  <c r="AS15"/>
  <c r="AK15"/>
  <c r="AJ15"/>
  <c r="AI15"/>
  <c r="AH15"/>
  <c r="AG15"/>
  <c r="AF15"/>
  <c r="AE15"/>
  <c r="AC15"/>
  <c r="AB15"/>
  <c r="AA15"/>
  <c r="Z15"/>
  <c r="U15"/>
  <c r="T15"/>
  <c r="S15"/>
  <c r="R15"/>
  <c r="Q15"/>
  <c r="P15"/>
  <c r="O15"/>
  <c r="M15"/>
  <c r="L15"/>
  <c r="K15"/>
  <c r="J15"/>
  <c r="N15"/>
  <c r="AD15"/>
  <c r="AT14"/>
  <c r="AS14"/>
  <c r="AK14"/>
  <c r="AJ14"/>
  <c r="AI14"/>
  <c r="AH14"/>
  <c r="AG14"/>
  <c r="AF14"/>
  <c r="AE14"/>
  <c r="AC14"/>
  <c r="AB14"/>
  <c r="AA14"/>
  <c r="Z14"/>
  <c r="U14"/>
  <c r="T14"/>
  <c r="S14"/>
  <c r="R14"/>
  <c r="Q14"/>
  <c r="P14"/>
  <c r="O14"/>
  <c r="M14"/>
  <c r="L14"/>
  <c r="K14"/>
  <c r="J14"/>
  <c r="AK13"/>
  <c r="AJ13"/>
  <c r="AI13"/>
  <c r="AH13"/>
  <c r="AG13"/>
  <c r="AF13"/>
  <c r="AE13"/>
  <c r="AD13"/>
  <c r="AC13"/>
  <c r="AB13"/>
  <c r="AA13"/>
  <c r="Z13"/>
  <c r="U13"/>
  <c r="T13"/>
  <c r="S13"/>
  <c r="R13"/>
  <c r="Q13"/>
  <c r="P13"/>
  <c r="O13"/>
  <c r="M13"/>
  <c r="L13"/>
  <c r="K13"/>
  <c r="J13"/>
  <c r="AK12"/>
  <c r="AJ12"/>
  <c r="AI12"/>
  <c r="AH12"/>
  <c r="AG12"/>
  <c r="AE12"/>
  <c r="AD12"/>
  <c r="AC12"/>
  <c r="AB12"/>
  <c r="AA12"/>
  <c r="Z12"/>
  <c r="U12"/>
  <c r="T12"/>
  <c r="S12"/>
  <c r="R12"/>
  <c r="Q12"/>
  <c r="P12"/>
  <c r="O12"/>
  <c r="N12"/>
  <c r="M12"/>
  <c r="L12"/>
  <c r="K12"/>
  <c r="J12"/>
  <c r="AK11"/>
  <c r="AJ11"/>
  <c r="AI11"/>
  <c r="AH11"/>
  <c r="AG11"/>
  <c r="AF11"/>
  <c r="AE11"/>
  <c r="AD11"/>
  <c r="AC11"/>
  <c r="AB11"/>
  <c r="AA11"/>
  <c r="Z11"/>
  <c r="U11"/>
  <c r="T11"/>
  <c r="S11"/>
  <c r="R11"/>
  <c r="Q11"/>
  <c r="P11"/>
  <c r="O11"/>
  <c r="N11"/>
  <c r="M11"/>
  <c r="L11"/>
  <c r="K11"/>
  <c r="J11"/>
  <c r="AK10"/>
  <c r="AJ10"/>
  <c r="AI10"/>
  <c r="AG10"/>
  <c r="AF10"/>
  <c r="AE10"/>
  <c r="AD10"/>
  <c r="AC10"/>
  <c r="AB10"/>
  <c r="AA10"/>
  <c r="Z10"/>
  <c r="U10"/>
  <c r="T10"/>
  <c r="S10"/>
  <c r="Q10"/>
  <c r="P10"/>
  <c r="O10"/>
  <c r="N10"/>
  <c r="M10"/>
  <c r="L10"/>
  <c r="K10"/>
  <c r="J10"/>
  <c r="AK9"/>
  <c r="AJ9"/>
  <c r="AI9"/>
  <c r="AH9"/>
  <c r="AG9"/>
  <c r="AF9"/>
  <c r="AE9"/>
  <c r="AD9"/>
  <c r="AC9"/>
  <c r="AB9"/>
  <c r="AA9"/>
  <c r="Z9"/>
  <c r="U9"/>
  <c r="T9"/>
  <c r="S9"/>
  <c r="Q9"/>
  <c r="P9"/>
  <c r="O9"/>
  <c r="N9"/>
  <c r="M9"/>
  <c r="L9"/>
  <c r="K9"/>
  <c r="J9"/>
  <c r="AK8"/>
  <c r="AJ8"/>
  <c r="AI8"/>
  <c r="AG8"/>
  <c r="AF8"/>
  <c r="AE8"/>
  <c r="AD8"/>
  <c r="AC8"/>
  <c r="AB8"/>
  <c r="AA8"/>
  <c r="Z8"/>
  <c r="U8"/>
  <c r="T8"/>
  <c r="S8"/>
  <c r="R8"/>
  <c r="Q8"/>
  <c r="P8"/>
  <c r="O8"/>
  <c r="N8"/>
  <c r="M8"/>
  <c r="L8"/>
  <c r="K8"/>
  <c r="J8"/>
  <c r="AK7"/>
  <c r="AJ7"/>
  <c r="AI7"/>
  <c r="AH7"/>
  <c r="AG7"/>
  <c r="AF7"/>
  <c r="AE7"/>
  <c r="AD7"/>
  <c r="AC7"/>
  <c r="AB7"/>
  <c r="AA7"/>
  <c r="Z7"/>
  <c r="U7"/>
  <c r="T7"/>
  <c r="S7"/>
  <c r="R7"/>
  <c r="Q7"/>
  <c r="P7"/>
  <c r="O7"/>
  <c r="N7"/>
  <c r="M7"/>
  <c r="L7"/>
  <c r="K7"/>
  <c r="J7"/>
  <c r="AK6"/>
  <c r="AJ6"/>
  <c r="AI6"/>
  <c r="AG6"/>
  <c r="AF6"/>
  <c r="AE6"/>
  <c r="AD6"/>
  <c r="AC6"/>
  <c r="AB6"/>
  <c r="AA6"/>
  <c r="Z6"/>
  <c r="U6"/>
  <c r="T6"/>
  <c r="S6"/>
  <c r="Q6"/>
  <c r="P6"/>
  <c r="O6"/>
  <c r="N6"/>
  <c r="M6"/>
  <c r="L6"/>
  <c r="K6"/>
  <c r="J6"/>
  <c r="AK5"/>
  <c r="AJ5"/>
  <c r="AI5"/>
  <c r="AH5"/>
  <c r="AG5"/>
  <c r="AF5"/>
  <c r="AE5"/>
  <c r="AD5"/>
  <c r="AC5"/>
  <c r="AB5"/>
  <c r="AA5"/>
  <c r="Z5"/>
  <c r="U5"/>
  <c r="S5"/>
  <c r="R5"/>
  <c r="Q5"/>
  <c r="P5"/>
  <c r="O5"/>
  <c r="N5"/>
  <c r="M5"/>
  <c r="L5"/>
  <c r="K5"/>
  <c r="J5"/>
  <c r="AK4"/>
  <c r="AJ4"/>
  <c r="AI4"/>
  <c r="AH4"/>
  <c r="AG4"/>
  <c r="AF4"/>
  <c r="AE4"/>
  <c r="AD4"/>
  <c r="AC4"/>
  <c r="AB4"/>
  <c r="AA4"/>
  <c r="Z4"/>
  <c r="U4"/>
  <c r="T4"/>
  <c r="S4"/>
  <c r="R4"/>
  <c r="Q4"/>
  <c r="P4"/>
  <c r="O4"/>
  <c r="N4"/>
  <c r="M4"/>
  <c r="L4"/>
  <c r="K4"/>
  <c r="J4"/>
  <c r="AK3"/>
  <c r="AJ3"/>
  <c r="AI3"/>
  <c r="AH3"/>
  <c r="AG3"/>
  <c r="AF3"/>
  <c r="AE3"/>
  <c r="AD3"/>
  <c r="AC3"/>
  <c r="AB3"/>
  <c r="AA3"/>
  <c r="Z3"/>
  <c r="U3"/>
  <c r="T3"/>
  <c r="S3"/>
  <c r="Q3"/>
  <c r="P3"/>
  <c r="O3"/>
  <c r="N3"/>
  <c r="M3"/>
  <c r="L3"/>
  <c r="K3"/>
  <c r="J3"/>
  <c r="AW28" i="2"/>
  <c r="AW31" s="1"/>
  <c r="AW35" s="1"/>
  <c r="AZ27"/>
  <c r="AZ30" s="1"/>
  <c r="AR14" i="3" l="1"/>
  <c r="AR16"/>
  <c r="C48" i="1"/>
  <c r="AS37" i="3"/>
  <c r="C39" i="1"/>
  <c r="AR15" i="3"/>
  <c r="BJ296" i="18"/>
  <c r="BG297" s="1"/>
  <c r="G63" i="3"/>
  <c r="H63"/>
  <c r="M63"/>
  <c r="AT5" s="1"/>
  <c r="Q63"/>
  <c r="AT9" s="1"/>
  <c r="U63"/>
  <c r="AT13" s="1"/>
  <c r="AC63"/>
  <c r="AS5" s="1"/>
  <c r="AG63"/>
  <c r="AS9" s="1"/>
  <c r="AK63"/>
  <c r="AS13" s="1"/>
  <c r="L63"/>
  <c r="AT4" s="1"/>
  <c r="T63"/>
  <c r="AT12" s="1"/>
  <c r="AJ63"/>
  <c r="AS12" s="1"/>
  <c r="J63"/>
  <c r="AT2" s="1"/>
  <c r="R63"/>
  <c r="AT10" s="1"/>
  <c r="Z63"/>
  <c r="AS2" s="1"/>
  <c r="AH63"/>
  <c r="AS10" s="1"/>
  <c r="AB63"/>
  <c r="AS4" s="1"/>
  <c r="P63"/>
  <c r="AT8" s="1"/>
  <c r="AF63"/>
  <c r="AS8" s="1"/>
  <c r="K63"/>
  <c r="AT3" s="1"/>
  <c r="O63"/>
  <c r="AT7" s="1"/>
  <c r="S63"/>
  <c r="AT11" s="1"/>
  <c r="AA63"/>
  <c r="AS3" s="1"/>
  <c r="AE63"/>
  <c r="AS7" s="1"/>
  <c r="AI63"/>
  <c r="AS11" s="1"/>
  <c r="N63"/>
  <c r="AT6" s="1"/>
  <c r="AD63"/>
  <c r="AS6" s="1"/>
  <c r="AZ32" i="2"/>
  <c r="E63"/>
  <c r="AK62"/>
  <c r="AJ62"/>
  <c r="AI62"/>
  <c r="AH62"/>
  <c r="AG62"/>
  <c r="AF62"/>
  <c r="AE62"/>
  <c r="AD62"/>
  <c r="AC62"/>
  <c r="AB62"/>
  <c r="AA62"/>
  <c r="Z62"/>
  <c r="U62"/>
  <c r="T62"/>
  <c r="S62"/>
  <c r="R62"/>
  <c r="Q62"/>
  <c r="P62"/>
  <c r="O62"/>
  <c r="N62"/>
  <c r="M62"/>
  <c r="L62"/>
  <c r="K62"/>
  <c r="J62"/>
  <c r="H62"/>
  <c r="G62"/>
  <c r="AK61"/>
  <c r="AJ61"/>
  <c r="AI61"/>
  <c r="AH61"/>
  <c r="AG61"/>
  <c r="AF61"/>
  <c r="AE61"/>
  <c r="AD61"/>
  <c r="AC61"/>
  <c r="AB61"/>
  <c r="AA61"/>
  <c r="Z61"/>
  <c r="U61"/>
  <c r="T61"/>
  <c r="S61"/>
  <c r="R61"/>
  <c r="Q61"/>
  <c r="P61"/>
  <c r="O61"/>
  <c r="N61"/>
  <c r="M61"/>
  <c r="L61"/>
  <c r="K61"/>
  <c r="J61"/>
  <c r="H61"/>
  <c r="G61"/>
  <c r="AK60"/>
  <c r="AJ60"/>
  <c r="AI60"/>
  <c r="AH60"/>
  <c r="AG60"/>
  <c r="AF60"/>
  <c r="AE60"/>
  <c r="AD60"/>
  <c r="AC60"/>
  <c r="AB60"/>
  <c r="AA60"/>
  <c r="Z60"/>
  <c r="U60"/>
  <c r="T60"/>
  <c r="S60"/>
  <c r="R60"/>
  <c r="Q60"/>
  <c r="P60"/>
  <c r="O60"/>
  <c r="N60"/>
  <c r="M60"/>
  <c r="L60"/>
  <c r="K60"/>
  <c r="J60"/>
  <c r="H60"/>
  <c r="G60"/>
  <c r="AK59"/>
  <c r="AJ59"/>
  <c r="AI59"/>
  <c r="AH59"/>
  <c r="AG59"/>
  <c r="AF59"/>
  <c r="AE59"/>
  <c r="AD59"/>
  <c r="AC59"/>
  <c r="AB59"/>
  <c r="AA59"/>
  <c r="Z59"/>
  <c r="U59"/>
  <c r="T59"/>
  <c r="S59"/>
  <c r="R59"/>
  <c r="Q59"/>
  <c r="P59"/>
  <c r="O59"/>
  <c r="N59"/>
  <c r="M59"/>
  <c r="L59"/>
  <c r="K59"/>
  <c r="J59"/>
  <c r="H59"/>
  <c r="G59"/>
  <c r="AK58"/>
  <c r="AJ58"/>
  <c r="AI58"/>
  <c r="AH58"/>
  <c r="AG58"/>
  <c r="AF58"/>
  <c r="AE58"/>
  <c r="AD58"/>
  <c r="AC58"/>
  <c r="AB58"/>
  <c r="AA58"/>
  <c r="Z58"/>
  <c r="U58"/>
  <c r="T58"/>
  <c r="S58"/>
  <c r="R58"/>
  <c r="Q58"/>
  <c r="P58"/>
  <c r="O58"/>
  <c r="N58"/>
  <c r="M58"/>
  <c r="L58"/>
  <c r="K58"/>
  <c r="J58"/>
  <c r="H58"/>
  <c r="G58"/>
  <c r="AK57"/>
  <c r="AJ57"/>
  <c r="AI57"/>
  <c r="AH57"/>
  <c r="AG57"/>
  <c r="AF57"/>
  <c r="AE57"/>
  <c r="AD57"/>
  <c r="AC57"/>
  <c r="AB57"/>
  <c r="AA57"/>
  <c r="Z57"/>
  <c r="U57"/>
  <c r="T57"/>
  <c r="S57"/>
  <c r="R57"/>
  <c r="Q57"/>
  <c r="P57"/>
  <c r="O57"/>
  <c r="N57"/>
  <c r="M57"/>
  <c r="L57"/>
  <c r="K57"/>
  <c r="J57"/>
  <c r="H57"/>
  <c r="G57"/>
  <c r="AK56"/>
  <c r="AJ56"/>
  <c r="AI56"/>
  <c r="AH56"/>
  <c r="AG56"/>
  <c r="AF56"/>
  <c r="AE56"/>
  <c r="AD56"/>
  <c r="AC56"/>
  <c r="AB56"/>
  <c r="AA56"/>
  <c r="Z56"/>
  <c r="U56"/>
  <c r="T56"/>
  <c r="S56"/>
  <c r="R56"/>
  <c r="Q56"/>
  <c r="P56"/>
  <c r="O56"/>
  <c r="N56"/>
  <c r="M56"/>
  <c r="L56"/>
  <c r="K56"/>
  <c r="J56"/>
  <c r="H56"/>
  <c r="G56"/>
  <c r="AK55"/>
  <c r="AJ55"/>
  <c r="AI55"/>
  <c r="AH55"/>
  <c r="AG55"/>
  <c r="AF55"/>
  <c r="AE55"/>
  <c r="AD55"/>
  <c r="AC55"/>
  <c r="AB55"/>
  <c r="AA55"/>
  <c r="Z55"/>
  <c r="U55"/>
  <c r="T55"/>
  <c r="S55"/>
  <c r="R55"/>
  <c r="Q55"/>
  <c r="P55"/>
  <c r="O55"/>
  <c r="N55"/>
  <c r="M55"/>
  <c r="L55"/>
  <c r="K55"/>
  <c r="J55"/>
  <c r="H55"/>
  <c r="G55"/>
  <c r="AK54"/>
  <c r="AJ54"/>
  <c r="AI54"/>
  <c r="AH54"/>
  <c r="AG54"/>
  <c r="AF54"/>
  <c r="AE54"/>
  <c r="AD54"/>
  <c r="AC54"/>
  <c r="AB54"/>
  <c r="AA54"/>
  <c r="Z54"/>
  <c r="U54"/>
  <c r="T54"/>
  <c r="S54"/>
  <c r="R54"/>
  <c r="Q54"/>
  <c r="P54"/>
  <c r="O54"/>
  <c r="N54"/>
  <c r="M54"/>
  <c r="L54"/>
  <c r="K54"/>
  <c r="J54"/>
  <c r="H54"/>
  <c r="G54"/>
  <c r="AK53"/>
  <c r="AJ53"/>
  <c r="AI53"/>
  <c r="AH53"/>
  <c r="AG53"/>
  <c r="AF53"/>
  <c r="AE53"/>
  <c r="AD53"/>
  <c r="AC53"/>
  <c r="AB53"/>
  <c r="AA53"/>
  <c r="Z53"/>
  <c r="U53"/>
  <c r="T53"/>
  <c r="S53"/>
  <c r="R53"/>
  <c r="Q53"/>
  <c r="P53"/>
  <c r="O53"/>
  <c r="N53"/>
  <c r="M53"/>
  <c r="L53"/>
  <c r="K53"/>
  <c r="J53"/>
  <c r="H53"/>
  <c r="G53"/>
  <c r="AK52"/>
  <c r="AJ52"/>
  <c r="AI52"/>
  <c r="AH52"/>
  <c r="AG52"/>
  <c r="AF52"/>
  <c r="AE52"/>
  <c r="AD52"/>
  <c r="AC52"/>
  <c r="AB52"/>
  <c r="AA52"/>
  <c r="Z52"/>
  <c r="U52"/>
  <c r="T52"/>
  <c r="S52"/>
  <c r="R52"/>
  <c r="Q52"/>
  <c r="P52"/>
  <c r="O52"/>
  <c r="N52"/>
  <c r="M52"/>
  <c r="L52"/>
  <c r="K52"/>
  <c r="J52"/>
  <c r="H52"/>
  <c r="G52"/>
  <c r="AK51"/>
  <c r="AJ51"/>
  <c r="AI51"/>
  <c r="AH51"/>
  <c r="AG51"/>
  <c r="AF51"/>
  <c r="AE51"/>
  <c r="AD51"/>
  <c r="AC51"/>
  <c r="AB51"/>
  <c r="AA51"/>
  <c r="Z51"/>
  <c r="U51"/>
  <c r="T51"/>
  <c r="S51"/>
  <c r="R51"/>
  <c r="Q51"/>
  <c r="P51"/>
  <c r="O51"/>
  <c r="N51"/>
  <c r="M51"/>
  <c r="L51"/>
  <c r="K51"/>
  <c r="J51"/>
  <c r="H51"/>
  <c r="G51"/>
  <c r="AK50"/>
  <c r="AJ50"/>
  <c r="AI50"/>
  <c r="AH50"/>
  <c r="AG50"/>
  <c r="AF50"/>
  <c r="AE50"/>
  <c r="AD50"/>
  <c r="AC50"/>
  <c r="AB50"/>
  <c r="AA50"/>
  <c r="Z50"/>
  <c r="U50"/>
  <c r="T50"/>
  <c r="S50"/>
  <c r="R50"/>
  <c r="Q50"/>
  <c r="P50"/>
  <c r="O50"/>
  <c r="N50"/>
  <c r="M50"/>
  <c r="L50"/>
  <c r="K50"/>
  <c r="J50"/>
  <c r="H50"/>
  <c r="G50"/>
  <c r="AK49"/>
  <c r="AJ49"/>
  <c r="AI49"/>
  <c r="AH49"/>
  <c r="AG49"/>
  <c r="AF49"/>
  <c r="AE49"/>
  <c r="AD49"/>
  <c r="AC49"/>
  <c r="AB49"/>
  <c r="AA49"/>
  <c r="Z49"/>
  <c r="U49"/>
  <c r="T49"/>
  <c r="S49"/>
  <c r="R49"/>
  <c r="Q49"/>
  <c r="P49"/>
  <c r="O49"/>
  <c r="N49"/>
  <c r="M49"/>
  <c r="L49"/>
  <c r="K49"/>
  <c r="J49"/>
  <c r="H49"/>
  <c r="G49"/>
  <c r="AK48"/>
  <c r="AJ48"/>
  <c r="AI48"/>
  <c r="AH48"/>
  <c r="AG48"/>
  <c r="AF48"/>
  <c r="AE48"/>
  <c r="AD48"/>
  <c r="AC48"/>
  <c r="AB48"/>
  <c r="AA48"/>
  <c r="Z48"/>
  <c r="U48"/>
  <c r="T48"/>
  <c r="S48"/>
  <c r="R48"/>
  <c r="Q48"/>
  <c r="P48"/>
  <c r="O48"/>
  <c r="N48"/>
  <c r="M48"/>
  <c r="L48"/>
  <c r="K48"/>
  <c r="J48"/>
  <c r="H48"/>
  <c r="G48"/>
  <c r="AK47"/>
  <c r="AJ47"/>
  <c r="AI47"/>
  <c r="AH47"/>
  <c r="AG47"/>
  <c r="AF47"/>
  <c r="AE47"/>
  <c r="AD47"/>
  <c r="AC47"/>
  <c r="AB47"/>
  <c r="AA47"/>
  <c r="Z47"/>
  <c r="U47"/>
  <c r="T47"/>
  <c r="S47"/>
  <c r="R47"/>
  <c r="Q47"/>
  <c r="P47"/>
  <c r="O47"/>
  <c r="N47"/>
  <c r="M47"/>
  <c r="L47"/>
  <c r="K47"/>
  <c r="J47"/>
  <c r="H47"/>
  <c r="G47"/>
  <c r="AK46"/>
  <c r="AJ46"/>
  <c r="AI46"/>
  <c r="AH46"/>
  <c r="AG46"/>
  <c r="AF46"/>
  <c r="AE46"/>
  <c r="AD46"/>
  <c r="AC46"/>
  <c r="AB46"/>
  <c r="AA46"/>
  <c r="Z46"/>
  <c r="U46"/>
  <c r="T46"/>
  <c r="S46"/>
  <c r="R46"/>
  <c r="Q46"/>
  <c r="P46"/>
  <c r="O46"/>
  <c r="N46"/>
  <c r="M46"/>
  <c r="L46"/>
  <c r="K46"/>
  <c r="J46"/>
  <c r="H46"/>
  <c r="G46"/>
  <c r="AK45"/>
  <c r="AJ45"/>
  <c r="AI45"/>
  <c r="AH45"/>
  <c r="AG45"/>
  <c r="AF45"/>
  <c r="AE45"/>
  <c r="AD45"/>
  <c r="AC45"/>
  <c r="AB45"/>
  <c r="AA45"/>
  <c r="Z45"/>
  <c r="U45"/>
  <c r="T45"/>
  <c r="S45"/>
  <c r="R45"/>
  <c r="Q45"/>
  <c r="P45"/>
  <c r="O45"/>
  <c r="N45"/>
  <c r="M45"/>
  <c r="L45"/>
  <c r="K45"/>
  <c r="J45"/>
  <c r="H45"/>
  <c r="G45"/>
  <c r="AK44"/>
  <c r="AJ44"/>
  <c r="AI44"/>
  <c r="AH44"/>
  <c r="AG44"/>
  <c r="AF44"/>
  <c r="AE44"/>
  <c r="AD44"/>
  <c r="AC44"/>
  <c r="AB44"/>
  <c r="AA44"/>
  <c r="Z44"/>
  <c r="U44"/>
  <c r="T44"/>
  <c r="S44"/>
  <c r="R44"/>
  <c r="Q44"/>
  <c r="P44"/>
  <c r="O44"/>
  <c r="N44"/>
  <c r="M44"/>
  <c r="L44"/>
  <c r="K44"/>
  <c r="J44"/>
  <c r="H44"/>
  <c r="G44"/>
  <c r="AK43"/>
  <c r="AJ43"/>
  <c r="AI43"/>
  <c r="AH43"/>
  <c r="AG43"/>
  <c r="AF43"/>
  <c r="AE43"/>
  <c r="AD43"/>
  <c r="AC43"/>
  <c r="AB43"/>
  <c r="AA43"/>
  <c r="Z43"/>
  <c r="U43"/>
  <c r="T43"/>
  <c r="S43"/>
  <c r="R43"/>
  <c r="Q43"/>
  <c r="P43"/>
  <c r="O43"/>
  <c r="N43"/>
  <c r="M43"/>
  <c r="L43"/>
  <c r="K43"/>
  <c r="J43"/>
  <c r="H43"/>
  <c r="G43"/>
  <c r="AK42"/>
  <c r="AJ42"/>
  <c r="AI42"/>
  <c r="AH42"/>
  <c r="AG42"/>
  <c r="AF42"/>
  <c r="AE42"/>
  <c r="AD42"/>
  <c r="AC42"/>
  <c r="AB42"/>
  <c r="AA42"/>
  <c r="Z42"/>
  <c r="U42"/>
  <c r="T42"/>
  <c r="S42"/>
  <c r="R42"/>
  <c r="Q42"/>
  <c r="P42"/>
  <c r="O42"/>
  <c r="N42"/>
  <c r="M42"/>
  <c r="L42"/>
  <c r="K42"/>
  <c r="J42"/>
  <c r="H42"/>
  <c r="G42"/>
  <c r="AK41"/>
  <c r="AJ41"/>
  <c r="AI41"/>
  <c r="AH41"/>
  <c r="AG41"/>
  <c r="AF41"/>
  <c r="AE41"/>
  <c r="AD41"/>
  <c r="AC41"/>
  <c r="AB41"/>
  <c r="AA41"/>
  <c r="Z41"/>
  <c r="U41"/>
  <c r="T41"/>
  <c r="S41"/>
  <c r="R41"/>
  <c r="Q41"/>
  <c r="P41"/>
  <c r="O41"/>
  <c r="N41"/>
  <c r="M41"/>
  <c r="L41"/>
  <c r="K41"/>
  <c r="J41"/>
  <c r="H41"/>
  <c r="G41"/>
  <c r="AK40"/>
  <c r="AJ40"/>
  <c r="AI40"/>
  <c r="AH40"/>
  <c r="AG40"/>
  <c r="AF40"/>
  <c r="AE40"/>
  <c r="AD40"/>
  <c r="AC40"/>
  <c r="AB40"/>
  <c r="AA40"/>
  <c r="Z40"/>
  <c r="U40"/>
  <c r="T40"/>
  <c r="S40"/>
  <c r="R40"/>
  <c r="Q40"/>
  <c r="P40"/>
  <c r="O40"/>
  <c r="N40"/>
  <c r="M40"/>
  <c r="L40"/>
  <c r="K40"/>
  <c r="J40"/>
  <c r="H40"/>
  <c r="G40"/>
  <c r="AK39"/>
  <c r="AJ39"/>
  <c r="AI39"/>
  <c r="AH39"/>
  <c r="AG39"/>
  <c r="AF39"/>
  <c r="AE39"/>
  <c r="AD39"/>
  <c r="AC39"/>
  <c r="AB39"/>
  <c r="AA39"/>
  <c r="Z39"/>
  <c r="U39"/>
  <c r="T39"/>
  <c r="S39"/>
  <c r="R39"/>
  <c r="Q39"/>
  <c r="P39"/>
  <c r="O39"/>
  <c r="N39"/>
  <c r="M39"/>
  <c r="L39"/>
  <c r="K39"/>
  <c r="J39"/>
  <c r="H39"/>
  <c r="G39"/>
  <c r="AK38"/>
  <c r="AJ38"/>
  <c r="AI38"/>
  <c r="AH38"/>
  <c r="AG38"/>
  <c r="AF38"/>
  <c r="AE38"/>
  <c r="AD38"/>
  <c r="AC38"/>
  <c r="AB38"/>
  <c r="AA38"/>
  <c r="Z38"/>
  <c r="U38"/>
  <c r="T38"/>
  <c r="S38"/>
  <c r="R38"/>
  <c r="Q38"/>
  <c r="P38"/>
  <c r="O38"/>
  <c r="N38"/>
  <c r="M38"/>
  <c r="L38"/>
  <c r="K38"/>
  <c r="J38"/>
  <c r="H38"/>
  <c r="G38"/>
  <c r="AK37"/>
  <c r="AJ37"/>
  <c r="AI37"/>
  <c r="AH37"/>
  <c r="AG37"/>
  <c r="AF37"/>
  <c r="AE37"/>
  <c r="AD37"/>
  <c r="AC37"/>
  <c r="AB37"/>
  <c r="AA37"/>
  <c r="Z37"/>
  <c r="U37"/>
  <c r="T37"/>
  <c r="S37"/>
  <c r="R37"/>
  <c r="Q37"/>
  <c r="P37"/>
  <c r="O37"/>
  <c r="N37"/>
  <c r="M37"/>
  <c r="L37"/>
  <c r="K37"/>
  <c r="J37"/>
  <c r="H37"/>
  <c r="G37"/>
  <c r="AK36"/>
  <c r="AJ36"/>
  <c r="AI36"/>
  <c r="AH36"/>
  <c r="AG36"/>
  <c r="AF36"/>
  <c r="AE36"/>
  <c r="AD36"/>
  <c r="AC36"/>
  <c r="AB36"/>
  <c r="AA36"/>
  <c r="Z36"/>
  <c r="U36"/>
  <c r="T36"/>
  <c r="S36"/>
  <c r="R36"/>
  <c r="Q36"/>
  <c r="P36"/>
  <c r="O36"/>
  <c r="N36"/>
  <c r="M36"/>
  <c r="L36"/>
  <c r="K36"/>
  <c r="J36"/>
  <c r="H36"/>
  <c r="G36"/>
  <c r="AK35"/>
  <c r="AJ35"/>
  <c r="AI35"/>
  <c r="AH35"/>
  <c r="AG35"/>
  <c r="AF35"/>
  <c r="AE35"/>
  <c r="AD35"/>
  <c r="AC35"/>
  <c r="AB35"/>
  <c r="AA35"/>
  <c r="Z35"/>
  <c r="U35"/>
  <c r="T35"/>
  <c r="S35"/>
  <c r="R35"/>
  <c r="Q35"/>
  <c r="P35"/>
  <c r="O35"/>
  <c r="N35"/>
  <c r="M35"/>
  <c r="L35"/>
  <c r="K35"/>
  <c r="J35"/>
  <c r="H35"/>
  <c r="G35"/>
  <c r="AK34"/>
  <c r="AJ34"/>
  <c r="AI34"/>
  <c r="AH34"/>
  <c r="AG34"/>
  <c r="AF34"/>
  <c r="AE34"/>
  <c r="AD34"/>
  <c r="AC34"/>
  <c r="AB34"/>
  <c r="AA34"/>
  <c r="Z34"/>
  <c r="U34"/>
  <c r="T34"/>
  <c r="S34"/>
  <c r="R34"/>
  <c r="Q34"/>
  <c r="P34"/>
  <c r="O34"/>
  <c r="N34"/>
  <c r="M34"/>
  <c r="L34"/>
  <c r="K34"/>
  <c r="J34"/>
  <c r="H34"/>
  <c r="G34"/>
  <c r="AK33"/>
  <c r="AJ33"/>
  <c r="AI33"/>
  <c r="AH33"/>
  <c r="AG33"/>
  <c r="AF33"/>
  <c r="AE33"/>
  <c r="AD33"/>
  <c r="AC33"/>
  <c r="AB33"/>
  <c r="AA33"/>
  <c r="Z33"/>
  <c r="U33"/>
  <c r="T33"/>
  <c r="S33"/>
  <c r="R33"/>
  <c r="Q33"/>
  <c r="P33"/>
  <c r="O33"/>
  <c r="N33"/>
  <c r="M33"/>
  <c r="L33"/>
  <c r="K33"/>
  <c r="J33"/>
  <c r="H33"/>
  <c r="G33"/>
  <c r="AK32"/>
  <c r="AJ32"/>
  <c r="AI32"/>
  <c r="AH32"/>
  <c r="AG32"/>
  <c r="AF32"/>
  <c r="AE32"/>
  <c r="AD32"/>
  <c r="AC32"/>
  <c r="AB32"/>
  <c r="AA32"/>
  <c r="Z32"/>
  <c r="U32"/>
  <c r="T32"/>
  <c r="S32"/>
  <c r="R32"/>
  <c r="Q32"/>
  <c r="P32"/>
  <c r="O32"/>
  <c r="N32"/>
  <c r="M32"/>
  <c r="L32"/>
  <c r="K32"/>
  <c r="J32"/>
  <c r="H32"/>
  <c r="G32"/>
  <c r="AK31"/>
  <c r="AJ31"/>
  <c r="AI31"/>
  <c r="AH31"/>
  <c r="AG31"/>
  <c r="AF31"/>
  <c r="AE31"/>
  <c r="AD31"/>
  <c r="AC31"/>
  <c r="AB31"/>
  <c r="AA31"/>
  <c r="Z31"/>
  <c r="U31"/>
  <c r="T31"/>
  <c r="S31"/>
  <c r="R31"/>
  <c r="Q31"/>
  <c r="P31"/>
  <c r="O31"/>
  <c r="N31"/>
  <c r="M31"/>
  <c r="L31"/>
  <c r="K31"/>
  <c r="J31"/>
  <c r="H31"/>
  <c r="G31"/>
  <c r="AK30"/>
  <c r="AJ30"/>
  <c r="AI30"/>
  <c r="AH30"/>
  <c r="AG30"/>
  <c r="AF30"/>
  <c r="AE30"/>
  <c r="AD30"/>
  <c r="AC30"/>
  <c r="AB30"/>
  <c r="AA30"/>
  <c r="Z30"/>
  <c r="U30"/>
  <c r="T30"/>
  <c r="S30"/>
  <c r="R30"/>
  <c r="Q30"/>
  <c r="P30"/>
  <c r="O30"/>
  <c r="N30"/>
  <c r="M30"/>
  <c r="L30"/>
  <c r="K30"/>
  <c r="J30"/>
  <c r="H30"/>
  <c r="G30"/>
  <c r="AK29"/>
  <c r="AJ29"/>
  <c r="AI29"/>
  <c r="AH29"/>
  <c r="AG29"/>
  <c r="AF29"/>
  <c r="AE29"/>
  <c r="AD29"/>
  <c r="AC29"/>
  <c r="AB29"/>
  <c r="AA29"/>
  <c r="Z29"/>
  <c r="U29"/>
  <c r="T29"/>
  <c r="S29"/>
  <c r="R29"/>
  <c r="Q29"/>
  <c r="P29"/>
  <c r="O29"/>
  <c r="N29"/>
  <c r="M29"/>
  <c r="L29"/>
  <c r="K29"/>
  <c r="J29"/>
  <c r="H29"/>
  <c r="G29"/>
  <c r="AK28"/>
  <c r="AJ28"/>
  <c r="AI28"/>
  <c r="AH28"/>
  <c r="AG28"/>
  <c r="AF28"/>
  <c r="AE28"/>
  <c r="AD28"/>
  <c r="AC28"/>
  <c r="AB28"/>
  <c r="AA28"/>
  <c r="Z28"/>
  <c r="U28"/>
  <c r="T28"/>
  <c r="S28"/>
  <c r="R28"/>
  <c r="Q28"/>
  <c r="P28"/>
  <c r="O28"/>
  <c r="N28"/>
  <c r="M28"/>
  <c r="L28"/>
  <c r="K28"/>
  <c r="J28"/>
  <c r="H28"/>
  <c r="G28"/>
  <c r="AK27"/>
  <c r="AJ27"/>
  <c r="AI27"/>
  <c r="AH27"/>
  <c r="AG27"/>
  <c r="AF27"/>
  <c r="AE27"/>
  <c r="AD27"/>
  <c r="AC27"/>
  <c r="AB27"/>
  <c r="AA27"/>
  <c r="Z27"/>
  <c r="U27"/>
  <c r="T27"/>
  <c r="S27"/>
  <c r="R27"/>
  <c r="Q27"/>
  <c r="P27"/>
  <c r="O27"/>
  <c r="N27"/>
  <c r="M27"/>
  <c r="L27"/>
  <c r="K27"/>
  <c r="J27"/>
  <c r="H27"/>
  <c r="G27"/>
  <c r="AK26"/>
  <c r="AJ26"/>
  <c r="AI26"/>
  <c r="AH26"/>
  <c r="AG26"/>
  <c r="AF26"/>
  <c r="AE26"/>
  <c r="AC26"/>
  <c r="AB26"/>
  <c r="AA26"/>
  <c r="Z26"/>
  <c r="U26"/>
  <c r="T26"/>
  <c r="S26"/>
  <c r="R26"/>
  <c r="Q26"/>
  <c r="P26"/>
  <c r="O26"/>
  <c r="M26"/>
  <c r="L26"/>
  <c r="K26"/>
  <c r="J26"/>
  <c r="H26"/>
  <c r="N26" s="1"/>
  <c r="G26"/>
  <c r="AD26" s="1"/>
  <c r="AK25"/>
  <c r="AJ25"/>
  <c r="AI25"/>
  <c r="AH25"/>
  <c r="AG25"/>
  <c r="AF25"/>
  <c r="AE25"/>
  <c r="AC25"/>
  <c r="AB25"/>
  <c r="AA25"/>
  <c r="Z25"/>
  <c r="U25"/>
  <c r="T25"/>
  <c r="S25"/>
  <c r="R25"/>
  <c r="Q25"/>
  <c r="P25"/>
  <c r="O25"/>
  <c r="M25"/>
  <c r="L25"/>
  <c r="K25"/>
  <c r="J25"/>
  <c r="H25"/>
  <c r="N25" s="1"/>
  <c r="G25"/>
  <c r="AD25" s="1"/>
  <c r="AK24"/>
  <c r="AJ24"/>
  <c r="AI24"/>
  <c r="AH24"/>
  <c r="AG24"/>
  <c r="AF24"/>
  <c r="AE24"/>
  <c r="AD24"/>
  <c r="AC24"/>
  <c r="AB24"/>
  <c r="AA24"/>
  <c r="Z24"/>
  <c r="U24"/>
  <c r="T24"/>
  <c r="S24"/>
  <c r="R24"/>
  <c r="Q24"/>
  <c r="P24"/>
  <c r="O24"/>
  <c r="N24"/>
  <c r="M24"/>
  <c r="L24"/>
  <c r="K24"/>
  <c r="J24"/>
  <c r="H24"/>
  <c r="G24"/>
  <c r="AK23"/>
  <c r="AJ23"/>
  <c r="AI23"/>
  <c r="AH23"/>
  <c r="AG23"/>
  <c r="AF23"/>
  <c r="AE23"/>
  <c r="AD23"/>
  <c r="AC23"/>
  <c r="AB23"/>
  <c r="AA23"/>
  <c r="Z23"/>
  <c r="U23"/>
  <c r="T23"/>
  <c r="S23"/>
  <c r="R23"/>
  <c r="Q23"/>
  <c r="P23"/>
  <c r="O23"/>
  <c r="N23"/>
  <c r="M23"/>
  <c r="L23"/>
  <c r="K23"/>
  <c r="J23"/>
  <c r="H23"/>
  <c r="G23"/>
  <c r="AK22"/>
  <c r="AJ22"/>
  <c r="AI22"/>
  <c r="AH22"/>
  <c r="AG22"/>
  <c r="AF22"/>
  <c r="AE22"/>
  <c r="AD22"/>
  <c r="AC22"/>
  <c r="AA22"/>
  <c r="Z22"/>
  <c r="U22"/>
  <c r="T22"/>
  <c r="S22"/>
  <c r="R22"/>
  <c r="Q22"/>
  <c r="P22"/>
  <c r="O22"/>
  <c r="N22"/>
  <c r="M22"/>
  <c r="K22"/>
  <c r="J22"/>
  <c r="H22"/>
  <c r="L22" s="1"/>
  <c r="G22"/>
  <c r="AB22" s="1"/>
  <c r="AK21"/>
  <c r="AJ21"/>
  <c r="AI21"/>
  <c r="AH21"/>
  <c r="AG21"/>
  <c r="AF21"/>
  <c r="AE21"/>
  <c r="AD21"/>
  <c r="AC21"/>
  <c r="AB21"/>
  <c r="Z21"/>
  <c r="U21"/>
  <c r="T21"/>
  <c r="S21"/>
  <c r="R21"/>
  <c r="Q21"/>
  <c r="P21"/>
  <c r="O21"/>
  <c r="N21"/>
  <c r="M21"/>
  <c r="L21"/>
  <c r="J21"/>
  <c r="H21"/>
  <c r="K21" s="1"/>
  <c r="G21"/>
  <c r="AA21" s="1"/>
  <c r="AK20"/>
  <c r="AJ20"/>
  <c r="AI20"/>
  <c r="AH20"/>
  <c r="AG20"/>
  <c r="AE20"/>
  <c r="AD20"/>
  <c r="AC20"/>
  <c r="AB20"/>
  <c r="AA20"/>
  <c r="Z20"/>
  <c r="U20"/>
  <c r="T20"/>
  <c r="S20"/>
  <c r="R20"/>
  <c r="Q20"/>
  <c r="O20"/>
  <c r="N20"/>
  <c r="M20"/>
  <c r="L20"/>
  <c r="K20"/>
  <c r="J20"/>
  <c r="H20"/>
  <c r="P20" s="1"/>
  <c r="G20"/>
  <c r="AF20" s="1"/>
  <c r="AK19"/>
  <c r="AJ19"/>
  <c r="AI19"/>
  <c r="AG19"/>
  <c r="AF19"/>
  <c r="AE19"/>
  <c r="AD19"/>
  <c r="AC19"/>
  <c r="AB19"/>
  <c r="AA19"/>
  <c r="Z19"/>
  <c r="U19"/>
  <c r="T19"/>
  <c r="S19"/>
  <c r="Q19"/>
  <c r="P19"/>
  <c r="O19"/>
  <c r="N19"/>
  <c r="M19"/>
  <c r="L19"/>
  <c r="K19"/>
  <c r="J19"/>
  <c r="H19"/>
  <c r="R19" s="1"/>
  <c r="G19"/>
  <c r="AH19" s="1"/>
  <c r="AK18"/>
  <c r="AJ18"/>
  <c r="AI18"/>
  <c r="AG18"/>
  <c r="AF18"/>
  <c r="AE18"/>
  <c r="AD18"/>
  <c r="AC18"/>
  <c r="AB18"/>
  <c r="AA18"/>
  <c r="Z18"/>
  <c r="U18"/>
  <c r="T18"/>
  <c r="S18"/>
  <c r="Q18"/>
  <c r="P18"/>
  <c r="O18"/>
  <c r="N18"/>
  <c r="M18"/>
  <c r="L18"/>
  <c r="K18"/>
  <c r="J18"/>
  <c r="H18"/>
  <c r="R18" s="1"/>
  <c r="G18"/>
  <c r="AH18" s="1"/>
  <c r="AK17"/>
  <c r="AJ17"/>
  <c r="AI17"/>
  <c r="AH17"/>
  <c r="AG17"/>
  <c r="AF17"/>
  <c r="AE17"/>
  <c r="AD17"/>
  <c r="AB17"/>
  <c r="AA17"/>
  <c r="Z17"/>
  <c r="U17"/>
  <c r="T17"/>
  <c r="S17"/>
  <c r="R17"/>
  <c r="Q17"/>
  <c r="P17"/>
  <c r="O17"/>
  <c r="N17"/>
  <c r="L17"/>
  <c r="K17"/>
  <c r="J17"/>
  <c r="H17"/>
  <c r="M17" s="1"/>
  <c r="G17"/>
  <c r="AC17" s="1"/>
  <c r="AT16"/>
  <c r="AS16"/>
  <c r="AK16"/>
  <c r="AJ16"/>
  <c r="AI16"/>
  <c r="AH16"/>
  <c r="AG16"/>
  <c r="AF16"/>
  <c r="AE16"/>
  <c r="AD16"/>
  <c r="AB16"/>
  <c r="AA16"/>
  <c r="Z16"/>
  <c r="U16"/>
  <c r="T16"/>
  <c r="S16"/>
  <c r="R16"/>
  <c r="Q16"/>
  <c r="P16"/>
  <c r="O16"/>
  <c r="N16"/>
  <c r="L16"/>
  <c r="K16"/>
  <c r="J16"/>
  <c r="H16"/>
  <c r="M16" s="1"/>
  <c r="G16"/>
  <c r="AC16" s="1"/>
  <c r="AT15"/>
  <c r="AS15"/>
  <c r="AK15"/>
  <c r="AJ15"/>
  <c r="AI15"/>
  <c r="AG15"/>
  <c r="AF15"/>
  <c r="AE15"/>
  <c r="AD15"/>
  <c r="AC15"/>
  <c r="AB15"/>
  <c r="AA15"/>
  <c r="Z15"/>
  <c r="U15"/>
  <c r="T15"/>
  <c r="S15"/>
  <c r="Q15"/>
  <c r="P15"/>
  <c r="O15"/>
  <c r="N15"/>
  <c r="M15"/>
  <c r="L15"/>
  <c r="K15"/>
  <c r="J15"/>
  <c r="H15"/>
  <c r="R15" s="1"/>
  <c r="G15"/>
  <c r="AH15" s="1"/>
  <c r="AT14"/>
  <c r="AS14"/>
  <c r="AK14"/>
  <c r="AJ14"/>
  <c r="AI14"/>
  <c r="AH14"/>
  <c r="AG14"/>
  <c r="AF14"/>
  <c r="AE14"/>
  <c r="AD14"/>
  <c r="AC14"/>
  <c r="AB14"/>
  <c r="Z14"/>
  <c r="U14"/>
  <c r="T14"/>
  <c r="S14"/>
  <c r="R14"/>
  <c r="Q14"/>
  <c r="P14"/>
  <c r="O14"/>
  <c r="N14"/>
  <c r="M14"/>
  <c r="L14"/>
  <c r="J14"/>
  <c r="H14"/>
  <c r="K14" s="1"/>
  <c r="G14"/>
  <c r="AA14" s="1"/>
  <c r="AK13"/>
  <c r="AJ13"/>
  <c r="AI13"/>
  <c r="AH13"/>
  <c r="AG13"/>
  <c r="AF13"/>
  <c r="AE13"/>
  <c r="AC13"/>
  <c r="AB13"/>
  <c r="AA13"/>
  <c r="Z13"/>
  <c r="U13"/>
  <c r="T13"/>
  <c r="S13"/>
  <c r="R13"/>
  <c r="Q13"/>
  <c r="P13"/>
  <c r="O13"/>
  <c r="M13"/>
  <c r="L13"/>
  <c r="K13"/>
  <c r="J13"/>
  <c r="H13"/>
  <c r="N13" s="1"/>
  <c r="G13"/>
  <c r="AD13" s="1"/>
  <c r="AK12"/>
  <c r="AI12"/>
  <c r="AH12"/>
  <c r="AG12"/>
  <c r="AF12"/>
  <c r="AE12"/>
  <c r="AD12"/>
  <c r="AC12"/>
  <c r="AB12"/>
  <c r="AA12"/>
  <c r="Z12"/>
  <c r="U12"/>
  <c r="S12"/>
  <c r="R12"/>
  <c r="Q12"/>
  <c r="P12"/>
  <c r="O12"/>
  <c r="N12"/>
  <c r="M12"/>
  <c r="L12"/>
  <c r="K12"/>
  <c r="J12"/>
  <c r="H12"/>
  <c r="T12" s="1"/>
  <c r="G12"/>
  <c r="AJ12" s="1"/>
  <c r="AK11"/>
  <c r="AJ11"/>
  <c r="AI11"/>
  <c r="AH11"/>
  <c r="AG11"/>
  <c r="AE11"/>
  <c r="AD11"/>
  <c r="AC11"/>
  <c r="AB11"/>
  <c r="AA11"/>
  <c r="Z11"/>
  <c r="U11"/>
  <c r="T11"/>
  <c r="S11"/>
  <c r="R11"/>
  <c r="Q11"/>
  <c r="O11"/>
  <c r="N11"/>
  <c r="M11"/>
  <c r="L11"/>
  <c r="K11"/>
  <c r="J11"/>
  <c r="H11"/>
  <c r="P11" s="1"/>
  <c r="G11"/>
  <c r="AF11" s="1"/>
  <c r="AK10"/>
  <c r="AJ10"/>
  <c r="AI10"/>
  <c r="AG10"/>
  <c r="AF10"/>
  <c r="AE10"/>
  <c r="AD10"/>
  <c r="AC10"/>
  <c r="AB10"/>
  <c r="AA10"/>
  <c r="Z10"/>
  <c r="U10"/>
  <c r="T10"/>
  <c r="S10"/>
  <c r="Q10"/>
  <c r="P10"/>
  <c r="O10"/>
  <c r="N10"/>
  <c r="M10"/>
  <c r="L10"/>
  <c r="K10"/>
  <c r="J10"/>
  <c r="H10"/>
  <c r="R10" s="1"/>
  <c r="G10"/>
  <c r="AH10" s="1"/>
  <c r="AK9"/>
  <c r="AJ9"/>
  <c r="AI9"/>
  <c r="AG9"/>
  <c r="AF9"/>
  <c r="AE9"/>
  <c r="AD9"/>
  <c r="AC9"/>
  <c r="AB9"/>
  <c r="AA9"/>
  <c r="Z9"/>
  <c r="U9"/>
  <c r="T9"/>
  <c r="S9"/>
  <c r="Q9"/>
  <c r="P9"/>
  <c r="O9"/>
  <c r="N9"/>
  <c r="M9"/>
  <c r="L9"/>
  <c r="K9"/>
  <c r="J9"/>
  <c r="H9"/>
  <c r="R9" s="1"/>
  <c r="G9"/>
  <c r="AH9" s="1"/>
  <c r="AK8"/>
  <c r="AJ8"/>
  <c r="AI8"/>
  <c r="AG8"/>
  <c r="AF8"/>
  <c r="AE8"/>
  <c r="AD8"/>
  <c r="AC8"/>
  <c r="AB8"/>
  <c r="AA8"/>
  <c r="Z8"/>
  <c r="U8"/>
  <c r="T8"/>
  <c r="S8"/>
  <c r="Q8"/>
  <c r="P8"/>
  <c r="O8"/>
  <c r="N8"/>
  <c r="M8"/>
  <c r="L8"/>
  <c r="K8"/>
  <c r="J8"/>
  <c r="H8"/>
  <c r="R8" s="1"/>
  <c r="G8"/>
  <c r="AH8" s="1"/>
  <c r="AK7"/>
  <c r="AJ7"/>
  <c r="AI7"/>
  <c r="AG7"/>
  <c r="AF7"/>
  <c r="AE7"/>
  <c r="AD7"/>
  <c r="AC7"/>
  <c r="AB7"/>
  <c r="AA7"/>
  <c r="Z7"/>
  <c r="U7"/>
  <c r="T7"/>
  <c r="S7"/>
  <c r="Q7"/>
  <c r="P7"/>
  <c r="O7"/>
  <c r="N7"/>
  <c r="M7"/>
  <c r="L7"/>
  <c r="K7"/>
  <c r="J7"/>
  <c r="H7"/>
  <c r="R7" s="1"/>
  <c r="G7"/>
  <c r="AH7" s="1"/>
  <c r="AK6"/>
  <c r="AJ6"/>
  <c r="AI6"/>
  <c r="AG6"/>
  <c r="AF6"/>
  <c r="AE6"/>
  <c r="AD6"/>
  <c r="AC6"/>
  <c r="AB6"/>
  <c r="AA6"/>
  <c r="Z6"/>
  <c r="U6"/>
  <c r="T6"/>
  <c r="S6"/>
  <c r="Q6"/>
  <c r="P6"/>
  <c r="O6"/>
  <c r="N6"/>
  <c r="M6"/>
  <c r="L6"/>
  <c r="K6"/>
  <c r="J6"/>
  <c r="H6"/>
  <c r="R6" s="1"/>
  <c r="G6"/>
  <c r="AH6" s="1"/>
  <c r="AK5"/>
  <c r="AI5"/>
  <c r="AH5"/>
  <c r="AG5"/>
  <c r="AF5"/>
  <c r="AE5"/>
  <c r="AD5"/>
  <c r="AC5"/>
  <c r="AB5"/>
  <c r="AA5"/>
  <c r="Z5"/>
  <c r="U5"/>
  <c r="S5"/>
  <c r="R5"/>
  <c r="Q5"/>
  <c r="P5"/>
  <c r="O5"/>
  <c r="N5"/>
  <c r="M5"/>
  <c r="L5"/>
  <c r="K5"/>
  <c r="J5"/>
  <c r="H5"/>
  <c r="T5" s="1"/>
  <c r="G5"/>
  <c r="AJ5" s="1"/>
  <c r="AK4"/>
  <c r="AJ4"/>
  <c r="AI4"/>
  <c r="AH4"/>
  <c r="AF4"/>
  <c r="AE4"/>
  <c r="AD4"/>
  <c r="AC4"/>
  <c r="AB4"/>
  <c r="AA4"/>
  <c r="Z4"/>
  <c r="U4"/>
  <c r="T4"/>
  <c r="S4"/>
  <c r="R4"/>
  <c r="P4"/>
  <c r="O4"/>
  <c r="N4"/>
  <c r="M4"/>
  <c r="L4"/>
  <c r="K4"/>
  <c r="J4"/>
  <c r="H4"/>
  <c r="Q4" s="1"/>
  <c r="G4"/>
  <c r="AG4" s="1"/>
  <c r="AK3"/>
  <c r="AJ3"/>
  <c r="AI3"/>
  <c r="AG3"/>
  <c r="AF3"/>
  <c r="AE3"/>
  <c r="AD3"/>
  <c r="AC3"/>
  <c r="AB3"/>
  <c r="AA3"/>
  <c r="Z3"/>
  <c r="U3"/>
  <c r="T3"/>
  <c r="S3"/>
  <c r="Q3"/>
  <c r="P3"/>
  <c r="O3"/>
  <c r="N3"/>
  <c r="M3"/>
  <c r="L3"/>
  <c r="K3"/>
  <c r="J3"/>
  <c r="H3"/>
  <c r="R3" s="1"/>
  <c r="G3"/>
  <c r="O31" i="1"/>
  <c r="O32"/>
  <c r="O33"/>
  <c r="O34"/>
  <c r="O21"/>
  <c r="O22"/>
  <c r="O23"/>
  <c r="O24"/>
  <c r="O25"/>
  <c r="O26"/>
  <c r="O27"/>
  <c r="O28"/>
  <c r="O29"/>
  <c r="O30"/>
  <c r="O12"/>
  <c r="O13"/>
  <c r="O14"/>
  <c r="Y68"/>
  <c r="G63" i="2" l="1"/>
  <c r="M63"/>
  <c r="AT5" s="1"/>
  <c r="Q63"/>
  <c r="AT9" s="1"/>
  <c r="AR14"/>
  <c r="AR16"/>
  <c r="K63"/>
  <c r="AT3" s="1"/>
  <c r="O63"/>
  <c r="AT7" s="1"/>
  <c r="AK63"/>
  <c r="AS13" s="1"/>
  <c r="U63"/>
  <c r="AT13" s="1"/>
  <c r="AR15"/>
  <c r="BJ297" i="18"/>
  <c r="BG298" s="1"/>
  <c r="AR13" i="3"/>
  <c r="AR3"/>
  <c r="AR9"/>
  <c r="AR5"/>
  <c r="AR2"/>
  <c r="AR12"/>
  <c r="AR11"/>
  <c r="AT17"/>
  <c r="AR8"/>
  <c r="AR10"/>
  <c r="AR4"/>
  <c r="AR7"/>
  <c r="AS17"/>
  <c r="AR6"/>
  <c r="L63" i="2"/>
  <c r="AT4" s="1"/>
  <c r="AR4" s="1"/>
  <c r="AB63"/>
  <c r="AS4" s="1"/>
  <c r="Z63"/>
  <c r="AS2" s="1"/>
  <c r="AC63"/>
  <c r="AS5" s="1"/>
  <c r="AG63"/>
  <c r="AS9" s="1"/>
  <c r="AR9" s="1"/>
  <c r="T63"/>
  <c r="AT12" s="1"/>
  <c r="J63"/>
  <c r="AT2" s="1"/>
  <c r="AR2" s="1"/>
  <c r="N63"/>
  <c r="AT6" s="1"/>
  <c r="R63"/>
  <c r="AT10" s="1"/>
  <c r="AD63"/>
  <c r="AS6" s="1"/>
  <c r="AF63"/>
  <c r="AS8" s="1"/>
  <c r="P63"/>
  <c r="AT8" s="1"/>
  <c r="S63"/>
  <c r="AT11" s="1"/>
  <c r="AA63"/>
  <c r="AS3" s="1"/>
  <c r="AE63"/>
  <c r="AS7" s="1"/>
  <c r="AR7" s="1"/>
  <c r="AJ63"/>
  <c r="AS12" s="1"/>
  <c r="AR12" s="1"/>
  <c r="AI63"/>
  <c r="AS11" s="1"/>
  <c r="AR13"/>
  <c r="H63"/>
  <c r="AH3"/>
  <c r="AH63" s="1"/>
  <c r="AS10" s="1"/>
  <c r="AR5" l="1"/>
  <c r="AR3"/>
  <c r="BJ298" i="18"/>
  <c r="BG299" s="1"/>
  <c r="AR17" i="3"/>
  <c r="AR6" i="2"/>
  <c r="AT17"/>
  <c r="AR8"/>
  <c r="AR11"/>
  <c r="AS17"/>
  <c r="AR10"/>
  <c r="BJ299" i="18" l="1"/>
  <c r="BG300" s="1"/>
  <c r="AR17" i="2"/>
  <c r="E13" i="16"/>
  <c r="BJ300" i="18" l="1"/>
  <c r="BG301" s="1"/>
  <c r="R60" i="1"/>
  <c r="U68"/>
  <c r="U69" s="1"/>
  <c r="U64"/>
  <c r="U67" s="1"/>
  <c r="BJ301" i="18" l="1"/>
  <c r="BG302" s="1"/>
  <c r="O42" i="1"/>
  <c r="O40"/>
  <c r="O41"/>
  <c r="BJ302" i="18" l="1"/>
  <c r="BG303" s="1"/>
  <c r="O64" i="1"/>
  <c r="O65"/>
  <c r="O66"/>
  <c r="O59"/>
  <c r="O60"/>
  <c r="O61"/>
  <c r="O62"/>
  <c r="O63"/>
  <c r="O67"/>
  <c r="O68"/>
  <c r="O69"/>
  <c r="D70"/>
  <c r="E70"/>
  <c r="F70"/>
  <c r="G70"/>
  <c r="H70"/>
  <c r="I70"/>
  <c r="J70"/>
  <c r="K70"/>
  <c r="N70"/>
  <c r="BJ303" i="18" l="1"/>
  <c r="BG304" s="1"/>
  <c r="C70" i="1"/>
  <c r="O71"/>
  <c r="BJ304" i="18" l="1"/>
  <c r="BG305" s="1"/>
  <c r="O38" i="1"/>
  <c r="O19"/>
  <c r="O20"/>
  <c r="O36"/>
  <c r="O37"/>
  <c r="O15"/>
  <c r="O18"/>
  <c r="O17"/>
  <c r="O8"/>
  <c r="O9"/>
  <c r="O10"/>
  <c r="O11"/>
  <c r="O7"/>
  <c r="O6"/>
  <c r="D43"/>
  <c r="E43"/>
  <c r="F43"/>
  <c r="G43"/>
  <c r="H43"/>
  <c r="H47" s="1"/>
  <c r="I43"/>
  <c r="J43"/>
  <c r="J44" s="1"/>
  <c r="J46" s="1"/>
  <c r="K43"/>
  <c r="N43"/>
  <c r="O43"/>
  <c r="C43"/>
  <c r="R39" l="1"/>
  <c r="C44"/>
  <c r="C46" s="1"/>
  <c r="C45"/>
  <c r="D45" s="1"/>
  <c r="E45" s="1"/>
  <c r="F45" s="1"/>
  <c r="BJ305" i="18"/>
  <c r="BG306" s="1"/>
  <c r="N44" i="1"/>
  <c r="N46" s="1"/>
  <c r="K47"/>
  <c r="I44"/>
  <c r="I46" s="1"/>
  <c r="F44"/>
  <c r="F46" s="1"/>
  <c r="E47"/>
  <c r="D44"/>
  <c r="D46" s="1"/>
  <c r="N47"/>
  <c r="I47"/>
  <c r="K44"/>
  <c r="K46" s="1"/>
  <c r="J47"/>
  <c r="H44"/>
  <c r="H46" s="1"/>
  <c r="F47"/>
  <c r="E44"/>
  <c r="E46" s="1"/>
  <c r="D47"/>
  <c r="C47"/>
  <c r="BJ306" i="18" l="1"/>
  <c r="BG307" s="1"/>
  <c r="BJ307" l="1"/>
  <c r="BG308" s="1"/>
  <c r="BJ308" l="1"/>
  <c r="BG309" s="1"/>
  <c r="BJ309" l="1"/>
  <c r="BG310" s="1"/>
  <c r="BJ310" l="1"/>
  <c r="BG311" s="1"/>
  <c r="BJ311" l="1"/>
  <c r="BG312" s="1"/>
  <c r="BJ312" l="1"/>
  <c r="BG313" s="1"/>
  <c r="BJ313" l="1"/>
  <c r="BG314" s="1"/>
  <c r="BJ314" l="1"/>
  <c r="BG315" s="1"/>
  <c r="BJ315" l="1"/>
  <c r="BG316" s="1"/>
  <c r="BJ316" l="1"/>
  <c r="BG317" s="1"/>
  <c r="BJ317" l="1"/>
  <c r="BG318" s="1"/>
  <c r="BJ318" l="1"/>
  <c r="BG319" s="1"/>
  <c r="BJ319" l="1"/>
  <c r="BG320" s="1"/>
  <c r="BJ320" l="1"/>
  <c r="BG321" s="1"/>
  <c r="BJ321" l="1"/>
  <c r="BG322" s="1"/>
  <c r="BJ322" l="1"/>
  <c r="BG323" s="1"/>
  <c r="BJ323" l="1"/>
  <c r="BG324" s="1"/>
  <c r="BJ324" l="1"/>
  <c r="BG325" s="1"/>
  <c r="BJ325" l="1"/>
  <c r="BG326" s="1"/>
  <c r="BJ326" l="1"/>
  <c r="BG327" s="1"/>
  <c r="BJ327" l="1"/>
  <c r="BG328" s="1"/>
  <c r="BJ328" l="1"/>
  <c r="BG329" s="1"/>
  <c r="BJ329" l="1"/>
  <c r="BG330" s="1"/>
  <c r="BJ330" l="1"/>
  <c r="BG331" s="1"/>
  <c r="BJ331" l="1"/>
  <c r="BG332" s="1"/>
  <c r="BJ332" l="1"/>
  <c r="BG333" s="1"/>
  <c r="BJ333" l="1"/>
  <c r="BG334" s="1"/>
  <c r="BJ334" l="1"/>
  <c r="BG335" s="1"/>
  <c r="BJ335" l="1"/>
  <c r="BG336" s="1"/>
  <c r="BJ336" l="1"/>
  <c r="BG337" s="1"/>
  <c r="BJ337" l="1"/>
  <c r="BG338" s="1"/>
  <c r="BJ338" l="1"/>
  <c r="BG339" s="1"/>
  <c r="BJ339" l="1"/>
  <c r="BG340" s="1"/>
  <c r="BJ340" l="1"/>
  <c r="BG341" s="1"/>
  <c r="BJ341" l="1"/>
  <c r="BG342" s="1"/>
  <c r="BJ342" l="1"/>
  <c r="BG343" s="1"/>
  <c r="BJ343" l="1"/>
  <c r="BG344" s="1"/>
  <c r="BJ344" l="1"/>
  <c r="BG345" s="1"/>
  <c r="BJ345" l="1"/>
  <c r="BG346" s="1"/>
  <c r="BJ346" l="1"/>
  <c r="BG347" s="1"/>
  <c r="BJ347" l="1"/>
  <c r="BG348" s="1"/>
  <c r="BJ348" l="1"/>
  <c r="BG349" s="1"/>
  <c r="BN10" l="1"/>
  <c r="BJ349"/>
  <c r="BO10" s="1"/>
  <c r="BG350" l="1"/>
  <c r="BJ350" l="1"/>
  <c r="BG351" s="1"/>
  <c r="BJ351" l="1"/>
  <c r="BG352" s="1"/>
  <c r="BJ352" l="1"/>
  <c r="BG353" s="1"/>
  <c r="BJ353" l="1"/>
  <c r="BG354" s="1"/>
  <c r="BJ354" l="1"/>
  <c r="BG355" s="1"/>
  <c r="BJ355" l="1"/>
  <c r="BG356" s="1"/>
  <c r="BJ356" l="1"/>
  <c r="BG357" s="1"/>
  <c r="BJ357" l="1"/>
  <c r="BG358" s="1"/>
  <c r="BJ358" l="1"/>
  <c r="BG359" s="1"/>
  <c r="BJ359" l="1"/>
  <c r="BG360" s="1"/>
  <c r="BJ360" l="1"/>
  <c r="BG361" s="1"/>
  <c r="BJ361" l="1"/>
  <c r="BG362" s="1"/>
  <c r="BJ362" l="1"/>
  <c r="BG363" s="1"/>
  <c r="BJ363" l="1"/>
  <c r="BG364" s="1"/>
  <c r="BJ364" l="1"/>
  <c r="BG365" s="1"/>
  <c r="BJ365" l="1"/>
  <c r="BG366" s="1"/>
  <c r="BJ366" l="1"/>
  <c r="BG367" s="1"/>
  <c r="BJ367" l="1"/>
  <c r="BG368" s="1"/>
  <c r="BJ368" l="1"/>
  <c r="BG369" s="1"/>
  <c r="BJ369" l="1"/>
  <c r="BG370" s="1"/>
  <c r="BJ370" l="1"/>
  <c r="BG371" s="1"/>
  <c r="BJ371" l="1"/>
  <c r="BG372" s="1"/>
  <c r="BJ372" l="1"/>
  <c r="BG373" s="1"/>
  <c r="BJ373" l="1"/>
  <c r="BG374" s="1"/>
  <c r="BJ374" l="1"/>
  <c r="BG375" s="1"/>
  <c r="BJ375" l="1"/>
  <c r="BG376" s="1"/>
  <c r="BJ376" l="1"/>
  <c r="BG377" s="1"/>
  <c r="BJ377" l="1"/>
  <c r="BG378" s="1"/>
  <c r="BJ378" l="1"/>
  <c r="BG379" s="1"/>
  <c r="BJ379" l="1"/>
  <c r="BG380" s="1"/>
  <c r="BJ380" l="1"/>
  <c r="BG381" s="1"/>
  <c r="BJ381" l="1"/>
  <c r="BG382" s="1"/>
  <c r="BJ382" l="1"/>
  <c r="BG383" s="1"/>
  <c r="BJ383" l="1"/>
  <c r="BG384" s="1"/>
  <c r="BJ384" l="1"/>
  <c r="BG385" s="1"/>
  <c r="BJ385" l="1"/>
  <c r="BG386" s="1"/>
  <c r="BJ386" l="1"/>
  <c r="BG387" s="1"/>
  <c r="BJ387" l="1"/>
  <c r="BG388" s="1"/>
  <c r="BJ388" l="1"/>
  <c r="BG389" s="1"/>
  <c r="BJ389" l="1"/>
  <c r="BG390" s="1"/>
  <c r="BJ390" l="1"/>
  <c r="BG391" s="1"/>
  <c r="BJ391" l="1"/>
  <c r="BG392" s="1"/>
  <c r="BJ392" l="1"/>
  <c r="BG393" s="1"/>
  <c r="BJ393" l="1"/>
  <c r="BG394" s="1"/>
  <c r="BJ394" l="1"/>
  <c r="BG395" s="1"/>
  <c r="BJ395" l="1"/>
  <c r="BG396" s="1"/>
  <c r="BJ396" l="1"/>
  <c r="BG397" s="1"/>
  <c r="BJ397" l="1"/>
  <c r="BG398" s="1"/>
  <c r="BJ398" l="1"/>
  <c r="BG399" s="1"/>
  <c r="BJ399" l="1"/>
  <c r="BG400" s="1"/>
  <c r="BJ400" l="1"/>
  <c r="BG401" s="1"/>
  <c r="BJ401" l="1"/>
  <c r="BG402" s="1"/>
  <c r="BJ402" l="1"/>
  <c r="BG403" s="1"/>
  <c r="BJ403" l="1"/>
  <c r="BG404" s="1"/>
  <c r="BJ404" l="1"/>
  <c r="BG405" s="1"/>
  <c r="BJ405" l="1"/>
  <c r="BG406" s="1"/>
  <c r="BJ406" l="1"/>
  <c r="BG407" s="1"/>
  <c r="BJ407" l="1"/>
  <c r="BG408" s="1"/>
  <c r="BJ408" l="1"/>
  <c r="BG409" s="1"/>
  <c r="BN11" l="1"/>
  <c r="BJ409"/>
  <c r="BO11" s="1"/>
  <c r="BG410" l="1"/>
  <c r="BJ410" l="1"/>
  <c r="BG411" s="1"/>
  <c r="BJ411" l="1"/>
  <c r="BG412" s="1"/>
  <c r="BJ412" l="1"/>
  <c r="BG413" s="1"/>
  <c r="BJ413" l="1"/>
  <c r="BG414" s="1"/>
  <c r="BJ414" l="1"/>
  <c r="BG415" s="1"/>
  <c r="BJ415" l="1"/>
  <c r="BG416" s="1"/>
  <c r="BJ416" l="1"/>
  <c r="BG417" s="1"/>
  <c r="BJ417" l="1"/>
  <c r="BG418" s="1"/>
  <c r="BJ418" l="1"/>
  <c r="BG419" s="1"/>
  <c r="BJ419" l="1"/>
  <c r="BG420" s="1"/>
  <c r="BJ420" l="1"/>
  <c r="BG421" s="1"/>
  <c r="BJ421" l="1"/>
  <c r="BG422" s="1"/>
  <c r="BJ422" l="1"/>
  <c r="BG423" s="1"/>
  <c r="BJ423" l="1"/>
  <c r="BG424" s="1"/>
  <c r="BJ424" l="1"/>
  <c r="BG425" s="1"/>
  <c r="BJ425" l="1"/>
  <c r="BG426" s="1"/>
  <c r="BJ426" l="1"/>
  <c r="BG427" s="1"/>
  <c r="BJ427" l="1"/>
  <c r="BG428" s="1"/>
  <c r="BJ428" l="1"/>
  <c r="BG429" s="1"/>
  <c r="BJ429" l="1"/>
  <c r="BG430" s="1"/>
  <c r="BJ430" l="1"/>
  <c r="BG431" s="1"/>
  <c r="BJ431" l="1"/>
  <c r="BG432" s="1"/>
  <c r="BJ432" l="1"/>
  <c r="BG433" s="1"/>
  <c r="BJ433" l="1"/>
  <c r="BG434" s="1"/>
  <c r="BJ434" l="1"/>
  <c r="BG435" s="1"/>
  <c r="BJ435" l="1"/>
  <c r="BG436" s="1"/>
  <c r="BJ436" l="1"/>
  <c r="BG437" s="1"/>
  <c r="BJ437" l="1"/>
  <c r="BG438" s="1"/>
  <c r="BJ438" l="1"/>
  <c r="BG439" s="1"/>
  <c r="BJ439" l="1"/>
  <c r="BG440" s="1"/>
  <c r="BJ440" l="1"/>
  <c r="BG441" s="1"/>
  <c r="BJ441" l="1"/>
  <c r="BG442" s="1"/>
  <c r="BJ442" l="1"/>
  <c r="BG443" s="1"/>
  <c r="BJ443" l="1"/>
  <c r="BG444" s="1"/>
  <c r="BJ444" l="1"/>
  <c r="BG445" s="1"/>
  <c r="BJ445" l="1"/>
  <c r="BG446" s="1"/>
  <c r="BJ446" l="1"/>
  <c r="BG447" s="1"/>
  <c r="BJ447" l="1"/>
  <c r="BG448" s="1"/>
  <c r="BJ448" l="1"/>
  <c r="BG449" s="1"/>
  <c r="BJ449" l="1"/>
  <c r="BG450" s="1"/>
  <c r="BJ450" l="1"/>
  <c r="BG451" s="1"/>
  <c r="BJ451" l="1"/>
  <c r="BG452" s="1"/>
  <c r="BJ452" l="1"/>
  <c r="BG453" s="1"/>
  <c r="BJ453" l="1"/>
  <c r="BG454" s="1"/>
  <c r="BJ454" l="1"/>
  <c r="BG455" s="1"/>
  <c r="BJ455" l="1"/>
  <c r="BG456" s="1"/>
  <c r="BJ456" l="1"/>
  <c r="BG457" s="1"/>
  <c r="BJ457" l="1"/>
  <c r="BG458" s="1"/>
  <c r="BJ458" l="1"/>
  <c r="BG459" s="1"/>
  <c r="BJ459" l="1"/>
  <c r="BG460" s="1"/>
  <c r="BJ460" l="1"/>
  <c r="BG461" s="1"/>
  <c r="BJ461" l="1"/>
  <c r="BG462" s="1"/>
  <c r="BJ462" l="1"/>
  <c r="BG463" s="1"/>
  <c r="BJ463" l="1"/>
  <c r="BG464" s="1"/>
  <c r="BJ464" l="1"/>
  <c r="BG465" s="1"/>
  <c r="BJ465" l="1"/>
  <c r="BG466" s="1"/>
  <c r="BJ466" l="1"/>
  <c r="BG467" s="1"/>
  <c r="BJ467" l="1"/>
  <c r="BG468" s="1"/>
  <c r="BJ468" l="1"/>
  <c r="BG469" s="1"/>
  <c r="BN12" l="1"/>
  <c r="BJ469"/>
  <c r="BO12" s="1"/>
  <c r="BG470" l="1"/>
  <c r="BJ470" s="1"/>
  <c r="BG471" s="1"/>
  <c r="BJ471" l="1"/>
  <c r="BG472" s="1"/>
  <c r="BJ472" l="1"/>
  <c r="BG473" s="1"/>
  <c r="BJ473" l="1"/>
  <c r="BG474" s="1"/>
  <c r="BJ474" l="1"/>
  <c r="BG475" s="1"/>
  <c r="BJ475" l="1"/>
  <c r="BG476" s="1"/>
  <c r="BJ476" l="1"/>
  <c r="BG477" s="1"/>
  <c r="BJ477" l="1"/>
  <c r="BG478" s="1"/>
  <c r="BJ478" l="1"/>
  <c r="BG479" s="1"/>
  <c r="BJ479" l="1"/>
  <c r="BG480" s="1"/>
  <c r="BJ480" l="1"/>
  <c r="BG481" s="1"/>
  <c r="BJ481" l="1"/>
  <c r="BG482" s="1"/>
  <c r="BJ482" l="1"/>
  <c r="BG483" s="1"/>
  <c r="BJ483" l="1"/>
  <c r="BG484" s="1"/>
  <c r="BJ484" l="1"/>
  <c r="BG485" s="1"/>
  <c r="BJ485" l="1"/>
  <c r="BG486" s="1"/>
  <c r="BJ486" l="1"/>
  <c r="BG487" s="1"/>
  <c r="BJ487" l="1"/>
  <c r="BG488" s="1"/>
  <c r="BJ488" l="1"/>
  <c r="BG489" s="1"/>
  <c r="BJ489" l="1"/>
  <c r="BG490" s="1"/>
  <c r="BJ490" l="1"/>
  <c r="BG491" s="1"/>
  <c r="BJ491" l="1"/>
  <c r="BG492" s="1"/>
  <c r="BJ492" l="1"/>
  <c r="BG493" s="1"/>
  <c r="BJ493" l="1"/>
  <c r="BG494" s="1"/>
  <c r="BJ494" l="1"/>
  <c r="BG495" s="1"/>
  <c r="BJ495" l="1"/>
  <c r="BG496" s="1"/>
  <c r="BJ496" l="1"/>
  <c r="BG497" s="1"/>
  <c r="BJ497" l="1"/>
  <c r="BG498" s="1"/>
  <c r="BJ498" l="1"/>
  <c r="BG499" s="1"/>
  <c r="BJ499" l="1"/>
  <c r="BG500" s="1"/>
  <c r="BJ500" l="1"/>
  <c r="BG501" s="1"/>
  <c r="BJ501" l="1"/>
  <c r="BG502" s="1"/>
  <c r="BJ502" l="1"/>
  <c r="BG503" s="1"/>
  <c r="BJ503" l="1"/>
  <c r="BG504" s="1"/>
  <c r="BJ504" l="1"/>
  <c r="BG505" s="1"/>
  <c r="BJ505" l="1"/>
  <c r="BG506" s="1"/>
  <c r="BJ506" l="1"/>
  <c r="BG507" s="1"/>
  <c r="BJ507" l="1"/>
  <c r="BG508" s="1"/>
  <c r="BJ508" l="1"/>
  <c r="BG509" s="1"/>
  <c r="BJ509" l="1"/>
  <c r="BG510" s="1"/>
  <c r="BJ510" l="1"/>
  <c r="BG511" s="1"/>
  <c r="BJ511" l="1"/>
  <c r="BG512" s="1"/>
  <c r="BJ512" l="1"/>
  <c r="BG513" s="1"/>
  <c r="BJ513" l="1"/>
  <c r="BG514" s="1"/>
  <c r="BJ514" l="1"/>
  <c r="BG515" s="1"/>
  <c r="BJ515" l="1"/>
  <c r="BG516" s="1"/>
  <c r="BJ516" l="1"/>
  <c r="BG517" s="1"/>
  <c r="BJ517" l="1"/>
  <c r="BG518" s="1"/>
  <c r="BJ518" l="1"/>
  <c r="BG519" s="1"/>
  <c r="BJ519" l="1"/>
  <c r="BG520" s="1"/>
  <c r="BJ520" l="1"/>
  <c r="BG521" s="1"/>
  <c r="BJ521" l="1"/>
  <c r="BG522" s="1"/>
  <c r="BJ522" l="1"/>
  <c r="BG523" s="1"/>
  <c r="BJ523" l="1"/>
  <c r="BG524" s="1"/>
  <c r="BJ524" l="1"/>
  <c r="BG525" s="1"/>
  <c r="BJ525" l="1"/>
  <c r="BG526" s="1"/>
  <c r="BJ526" l="1"/>
  <c r="BG527" s="1"/>
  <c r="BJ527" l="1"/>
  <c r="BG528" s="1"/>
  <c r="BJ528" l="1"/>
  <c r="BG529" s="1"/>
  <c r="BN13" l="1"/>
  <c r="BJ529"/>
  <c r="BO13" s="1"/>
  <c r="BG530" l="1"/>
  <c r="BJ530" s="1"/>
  <c r="BG531" s="1"/>
  <c r="BJ531" l="1"/>
  <c r="BG532" s="1"/>
  <c r="BJ532" l="1"/>
  <c r="BG533" s="1"/>
  <c r="BJ533" l="1"/>
  <c r="BG534" s="1"/>
  <c r="BJ534" l="1"/>
  <c r="BG535" s="1"/>
  <c r="BJ535" l="1"/>
  <c r="BG536" s="1"/>
  <c r="BJ536" l="1"/>
  <c r="BG537" s="1"/>
  <c r="BJ537" l="1"/>
  <c r="BG538" s="1"/>
  <c r="BJ538" l="1"/>
  <c r="BG539" s="1"/>
  <c r="BJ539" l="1"/>
  <c r="BG540" s="1"/>
  <c r="BJ540" l="1"/>
  <c r="BG541" s="1"/>
  <c r="BJ541" l="1"/>
  <c r="BG542" s="1"/>
  <c r="BJ542" l="1"/>
  <c r="BG543" s="1"/>
  <c r="BJ543" l="1"/>
  <c r="BG544" s="1"/>
  <c r="BJ544" l="1"/>
  <c r="BG545" s="1"/>
  <c r="BJ545" l="1"/>
  <c r="BG546" s="1"/>
  <c r="BJ546" l="1"/>
  <c r="BG547" s="1"/>
  <c r="BJ547" l="1"/>
  <c r="BG548" s="1"/>
  <c r="BJ548" l="1"/>
  <c r="BG549" s="1"/>
  <c r="BJ549" l="1"/>
  <c r="BG550" s="1"/>
  <c r="BJ550" l="1"/>
  <c r="BG551" s="1"/>
  <c r="BJ551" l="1"/>
  <c r="BG552" s="1"/>
  <c r="BJ552" l="1"/>
  <c r="BG553" s="1"/>
  <c r="BJ553" l="1"/>
  <c r="BG554" s="1"/>
  <c r="BJ554" l="1"/>
  <c r="BG555" s="1"/>
  <c r="BJ555" l="1"/>
  <c r="BG556" s="1"/>
  <c r="BJ556" l="1"/>
  <c r="BG557" s="1"/>
  <c r="BJ557" l="1"/>
  <c r="BG558" s="1"/>
  <c r="BJ558" l="1"/>
  <c r="BG559" s="1"/>
  <c r="BJ559" l="1"/>
  <c r="BG560" s="1"/>
  <c r="BJ560" l="1"/>
  <c r="BG561" s="1"/>
  <c r="BJ561" l="1"/>
  <c r="BG562" s="1"/>
  <c r="BJ562" l="1"/>
  <c r="BG563" s="1"/>
  <c r="BJ563" l="1"/>
  <c r="BG564" s="1"/>
  <c r="BJ564" l="1"/>
  <c r="BG565" s="1"/>
  <c r="BJ565" l="1"/>
  <c r="BG566" s="1"/>
  <c r="BJ566" l="1"/>
  <c r="BG567" s="1"/>
  <c r="BJ567" l="1"/>
  <c r="BG568" s="1"/>
  <c r="BJ568" l="1"/>
  <c r="BG569" s="1"/>
  <c r="BJ569" l="1"/>
  <c r="BG570" s="1"/>
  <c r="BJ570" l="1"/>
  <c r="BG571" s="1"/>
  <c r="BJ571" l="1"/>
  <c r="BG572" s="1"/>
  <c r="BJ572" l="1"/>
  <c r="BG573" s="1"/>
  <c r="BJ573" l="1"/>
  <c r="BG574" s="1"/>
  <c r="BJ574" l="1"/>
  <c r="BG575" s="1"/>
  <c r="BJ575" l="1"/>
  <c r="BG576" s="1"/>
  <c r="BJ576" l="1"/>
  <c r="BG577" s="1"/>
  <c r="BJ577" l="1"/>
  <c r="BG578" s="1"/>
  <c r="BJ578" l="1"/>
  <c r="BG579" s="1"/>
  <c r="BJ579" l="1"/>
  <c r="BG580" s="1"/>
  <c r="BJ580" l="1"/>
  <c r="BG581" s="1"/>
  <c r="BJ581" l="1"/>
  <c r="BG582" s="1"/>
  <c r="BJ582" l="1"/>
  <c r="BG583" s="1"/>
  <c r="BJ583" l="1"/>
  <c r="BG584" s="1"/>
  <c r="BJ584" l="1"/>
  <c r="BG585" s="1"/>
  <c r="BJ585" l="1"/>
  <c r="BG586" s="1"/>
  <c r="BJ586" l="1"/>
  <c r="BG587" s="1"/>
  <c r="BJ587" l="1"/>
  <c r="BG588" s="1"/>
  <c r="BJ588" l="1"/>
  <c r="BG589" s="1"/>
  <c r="BN14" l="1"/>
  <c r="BJ589"/>
  <c r="BO14" s="1"/>
  <c r="BG590" l="1"/>
  <c r="BJ590" l="1"/>
  <c r="BG591" s="1"/>
  <c r="BJ591" l="1"/>
  <c r="BG592" s="1"/>
  <c r="BJ592" l="1"/>
  <c r="BG593" s="1"/>
  <c r="BJ593" l="1"/>
  <c r="BG594" s="1"/>
  <c r="BJ594" l="1"/>
  <c r="BG595" s="1"/>
  <c r="BJ595" l="1"/>
  <c r="BG596" s="1"/>
  <c r="BJ596" l="1"/>
  <c r="BG597" s="1"/>
  <c r="BJ597" l="1"/>
  <c r="BG598" s="1"/>
  <c r="BJ598" l="1"/>
  <c r="BG599" s="1"/>
  <c r="BJ599" l="1"/>
  <c r="BG600" s="1"/>
  <c r="BJ600" l="1"/>
  <c r="BG601" s="1"/>
  <c r="BJ601" l="1"/>
  <c r="BG602" s="1"/>
  <c r="BJ602" l="1"/>
  <c r="BG603" s="1"/>
  <c r="BJ603" l="1"/>
  <c r="BG604" s="1"/>
  <c r="BJ604" l="1"/>
  <c r="BG605" s="1"/>
  <c r="BJ605" l="1"/>
  <c r="BG606" s="1"/>
  <c r="BJ606" l="1"/>
  <c r="BG607" s="1"/>
  <c r="BJ607" l="1"/>
  <c r="BG608" s="1"/>
  <c r="BJ608" l="1"/>
  <c r="BG609" s="1"/>
  <c r="BJ609" l="1"/>
  <c r="BG610" s="1"/>
  <c r="BJ610" l="1"/>
  <c r="BG611" s="1"/>
  <c r="BJ611" l="1"/>
  <c r="BG612" s="1"/>
  <c r="BJ612" l="1"/>
  <c r="BG613" s="1"/>
  <c r="BJ613" l="1"/>
  <c r="BG614" s="1"/>
  <c r="BJ614" l="1"/>
  <c r="BG615" s="1"/>
  <c r="BJ615" l="1"/>
  <c r="BG616" s="1"/>
  <c r="BJ616" l="1"/>
  <c r="BG617" s="1"/>
  <c r="BJ617" l="1"/>
  <c r="BG618" s="1"/>
  <c r="BJ618" l="1"/>
  <c r="BG619" s="1"/>
  <c r="BJ619" l="1"/>
  <c r="BG620" s="1"/>
  <c r="BJ620" l="1"/>
  <c r="BG621" s="1"/>
  <c r="BJ621" l="1"/>
  <c r="BG622" s="1"/>
  <c r="BJ622" l="1"/>
  <c r="BG623" s="1"/>
  <c r="BJ623" l="1"/>
  <c r="BG624" s="1"/>
  <c r="BJ624" l="1"/>
  <c r="BG625" s="1"/>
  <c r="BJ625" l="1"/>
  <c r="BG626" s="1"/>
  <c r="BJ626" l="1"/>
  <c r="BG627" s="1"/>
  <c r="BJ627" l="1"/>
  <c r="BG628" s="1"/>
  <c r="BJ628" l="1"/>
  <c r="BG629" s="1"/>
  <c r="BJ629" l="1"/>
  <c r="BG630" s="1"/>
  <c r="BJ630" l="1"/>
  <c r="BG631" s="1"/>
  <c r="BJ631" l="1"/>
  <c r="BG632" s="1"/>
  <c r="BJ632" l="1"/>
  <c r="BG633" s="1"/>
  <c r="BJ633" l="1"/>
  <c r="BG634" s="1"/>
  <c r="BJ634" l="1"/>
  <c r="BG635" s="1"/>
  <c r="BJ635" l="1"/>
  <c r="BG636" s="1"/>
  <c r="BJ636" l="1"/>
  <c r="BG637" s="1"/>
  <c r="BJ637" l="1"/>
  <c r="BG638" s="1"/>
  <c r="BJ638" l="1"/>
  <c r="BG639" s="1"/>
  <c r="BJ639" l="1"/>
  <c r="BG640" s="1"/>
  <c r="BJ640" l="1"/>
  <c r="BG641" s="1"/>
  <c r="BJ641" l="1"/>
  <c r="BG642" s="1"/>
  <c r="BJ642" l="1"/>
  <c r="BG643" s="1"/>
  <c r="BJ643" l="1"/>
  <c r="BG644" s="1"/>
  <c r="BJ644" l="1"/>
  <c r="BG645" s="1"/>
  <c r="BJ645" l="1"/>
  <c r="BG646" s="1"/>
  <c r="BJ646" l="1"/>
  <c r="BG647" s="1"/>
  <c r="BJ647" l="1"/>
  <c r="BG648" s="1"/>
  <c r="BJ648" l="1"/>
  <c r="BG649" s="1"/>
  <c r="BN15" l="1"/>
  <c r="BJ649"/>
  <c r="BO15" s="1"/>
  <c r="BG650" l="1"/>
  <c r="BJ650" s="1"/>
  <c r="BG651" s="1"/>
  <c r="BJ651" l="1"/>
  <c r="BG652" s="1"/>
  <c r="BJ652" l="1"/>
  <c r="BG653" s="1"/>
  <c r="BJ653" l="1"/>
  <c r="BG654" s="1"/>
  <c r="BJ654" l="1"/>
  <c r="BG655" s="1"/>
  <c r="BJ655" l="1"/>
  <c r="BG656" s="1"/>
  <c r="BJ656" l="1"/>
  <c r="BG657" s="1"/>
  <c r="BJ657" l="1"/>
  <c r="BG658" s="1"/>
  <c r="BJ658" l="1"/>
  <c r="BG659" s="1"/>
  <c r="BJ659" l="1"/>
  <c r="BG660" s="1"/>
  <c r="BJ660" l="1"/>
  <c r="BG661" s="1"/>
  <c r="BJ661" l="1"/>
  <c r="BG662" s="1"/>
  <c r="BJ662" l="1"/>
  <c r="BG663" s="1"/>
  <c r="BJ663" l="1"/>
  <c r="BG664" s="1"/>
  <c r="BJ664" l="1"/>
  <c r="BG665" s="1"/>
  <c r="BJ665" l="1"/>
  <c r="BG666" s="1"/>
  <c r="BJ666" l="1"/>
  <c r="BG667" s="1"/>
  <c r="BJ667" l="1"/>
  <c r="BG668" s="1"/>
  <c r="BJ668" l="1"/>
  <c r="BG669" s="1"/>
  <c r="BJ669" l="1"/>
  <c r="BG670" s="1"/>
  <c r="BJ670" l="1"/>
  <c r="BG671" s="1"/>
  <c r="BJ671" l="1"/>
  <c r="BG672" s="1"/>
  <c r="BJ672" l="1"/>
  <c r="BG673" s="1"/>
  <c r="BJ673" l="1"/>
  <c r="BG674" s="1"/>
  <c r="BJ674" l="1"/>
  <c r="BG675" s="1"/>
  <c r="BJ675" l="1"/>
  <c r="BG676" s="1"/>
  <c r="BJ676" l="1"/>
  <c r="BG677" s="1"/>
  <c r="BJ677" l="1"/>
  <c r="BG678" s="1"/>
  <c r="BJ678" l="1"/>
  <c r="BG679" s="1"/>
  <c r="BJ679" l="1"/>
  <c r="BG680" s="1"/>
  <c r="BJ680" l="1"/>
  <c r="BG681" s="1"/>
  <c r="BJ681" l="1"/>
  <c r="BG682" s="1"/>
  <c r="BJ682" l="1"/>
  <c r="BG683" s="1"/>
  <c r="BJ683" l="1"/>
  <c r="BG684" s="1"/>
  <c r="BJ684" l="1"/>
  <c r="BG685" s="1"/>
  <c r="BJ685" l="1"/>
  <c r="BG686" s="1"/>
  <c r="BJ686" l="1"/>
  <c r="BG687" s="1"/>
  <c r="BJ687" l="1"/>
  <c r="BG688" s="1"/>
  <c r="BJ688" l="1"/>
  <c r="BG689" s="1"/>
  <c r="BJ689" l="1"/>
  <c r="BG690" s="1"/>
  <c r="BJ690" l="1"/>
  <c r="BG691" s="1"/>
  <c r="BJ691" l="1"/>
  <c r="BG692" s="1"/>
  <c r="BJ692" l="1"/>
  <c r="BG693" s="1"/>
  <c r="BJ693" l="1"/>
  <c r="BG694" s="1"/>
  <c r="BJ694" l="1"/>
  <c r="BG695" s="1"/>
  <c r="BJ695" l="1"/>
  <c r="BG696" s="1"/>
  <c r="BJ696" l="1"/>
  <c r="BG697" s="1"/>
  <c r="BJ697" l="1"/>
  <c r="BG698" s="1"/>
  <c r="BJ698" l="1"/>
  <c r="BG699" s="1"/>
  <c r="BJ699" l="1"/>
  <c r="BG700" s="1"/>
  <c r="BJ700" l="1"/>
  <c r="BG701" s="1"/>
  <c r="BJ701" l="1"/>
  <c r="BG702" s="1"/>
  <c r="BJ702" l="1"/>
  <c r="BG703" s="1"/>
  <c r="BJ703" l="1"/>
  <c r="BG704" s="1"/>
  <c r="BJ704" l="1"/>
  <c r="BG705" s="1"/>
  <c r="BJ705" l="1"/>
  <c r="BG706" s="1"/>
  <c r="BJ706" l="1"/>
  <c r="BG707" s="1"/>
  <c r="BJ707" l="1"/>
  <c r="BG708" s="1"/>
  <c r="BJ708" l="1"/>
  <c r="BG709" s="1"/>
  <c r="BJ709" l="1"/>
  <c r="BG710" s="1"/>
  <c r="BJ710" l="1"/>
  <c r="BG711" s="1"/>
  <c r="BJ711" l="1"/>
  <c r="BG712" s="1"/>
  <c r="BJ712" l="1"/>
  <c r="BG713" s="1"/>
  <c r="BJ713" l="1"/>
  <c r="BG714" s="1"/>
  <c r="BJ714" l="1"/>
  <c r="BG715" s="1"/>
  <c r="BJ715" l="1"/>
  <c r="BG716" s="1"/>
  <c r="BJ716" l="1"/>
  <c r="BG717" s="1"/>
  <c r="BJ717" l="1"/>
  <c r="BG718" s="1"/>
  <c r="BJ718" l="1"/>
  <c r="BG719" s="1"/>
  <c r="BJ719" l="1"/>
  <c r="BG720" s="1"/>
  <c r="BJ720" l="1"/>
  <c r="BG721" s="1"/>
  <c r="BJ721" l="1"/>
  <c r="BG722" s="1"/>
  <c r="BJ722" l="1"/>
  <c r="BG723" s="1"/>
  <c r="BJ723" l="1"/>
  <c r="BG724" s="1"/>
  <c r="BJ724" l="1"/>
  <c r="BG725" s="1"/>
  <c r="BJ725" l="1"/>
  <c r="BG726" s="1"/>
  <c r="BJ726" l="1"/>
  <c r="BG727" s="1"/>
  <c r="BJ727" l="1"/>
  <c r="BG728" s="1"/>
  <c r="BJ728" l="1"/>
  <c r="BG729" s="1"/>
  <c r="BJ729" l="1"/>
  <c r="BG730" s="1"/>
  <c r="BJ730" l="1"/>
  <c r="BG731" s="1"/>
  <c r="BJ731" l="1"/>
  <c r="BG732" s="1"/>
  <c r="BJ732" l="1"/>
  <c r="BG733" s="1"/>
  <c r="BJ733" l="1"/>
  <c r="BG734" s="1"/>
  <c r="BJ734" l="1"/>
  <c r="BG735" s="1"/>
  <c r="BJ735" l="1"/>
  <c r="BG736" s="1"/>
  <c r="BJ736" l="1"/>
  <c r="BG737" s="1"/>
  <c r="BJ737" l="1"/>
  <c r="BG738" s="1"/>
  <c r="BJ738" l="1"/>
  <c r="BG739" s="1"/>
  <c r="BJ739" l="1"/>
  <c r="BG740" s="1"/>
  <c r="BJ740" l="1"/>
  <c r="BG741" s="1"/>
  <c r="BJ741" l="1"/>
  <c r="BG742" s="1"/>
  <c r="BJ742" l="1"/>
  <c r="BG743" s="1"/>
  <c r="BJ743" l="1"/>
  <c r="BG744" s="1"/>
  <c r="BJ744" l="1"/>
  <c r="BG745" s="1"/>
  <c r="BJ745" l="1"/>
  <c r="BG746" s="1"/>
  <c r="BJ746" l="1"/>
  <c r="BG747" s="1"/>
  <c r="BJ747" l="1"/>
  <c r="BG748" s="1"/>
  <c r="BJ748" l="1"/>
  <c r="BG749" s="1"/>
  <c r="BJ749" l="1"/>
  <c r="BG750" s="1"/>
  <c r="BJ750" l="1"/>
  <c r="BG751" s="1"/>
  <c r="BJ751" l="1"/>
  <c r="BG752" s="1"/>
  <c r="BJ752" l="1"/>
  <c r="BG753" s="1"/>
  <c r="BJ753" l="1"/>
  <c r="BG754" s="1"/>
  <c r="BJ754" l="1"/>
  <c r="BG755" s="1"/>
  <c r="BJ755" l="1"/>
  <c r="BG756" s="1"/>
  <c r="BJ756" l="1"/>
  <c r="BG757" s="1"/>
  <c r="BJ757" l="1"/>
  <c r="BG758" s="1"/>
  <c r="BJ758" l="1"/>
  <c r="BG759" s="1"/>
  <c r="BJ759" l="1"/>
  <c r="BG760" s="1"/>
  <c r="BJ760" l="1"/>
  <c r="BG761" s="1"/>
  <c r="BJ761" l="1"/>
  <c r="BG762" s="1"/>
  <c r="BJ762" l="1"/>
  <c r="BG763" s="1"/>
  <c r="BJ763" l="1"/>
  <c r="BG764" s="1"/>
  <c r="BJ764" l="1"/>
  <c r="BG765" s="1"/>
  <c r="BJ765" l="1"/>
  <c r="BG766" s="1"/>
  <c r="BJ766" l="1"/>
  <c r="BG767" s="1"/>
  <c r="BJ767" l="1"/>
  <c r="BG768" s="1"/>
  <c r="BJ768" l="1"/>
  <c r="BG769" s="1"/>
  <c r="BJ769" l="1"/>
  <c r="BG770" s="1"/>
  <c r="BJ770" l="1"/>
  <c r="BG771" s="1"/>
  <c r="BJ771" l="1"/>
  <c r="BG772" s="1"/>
  <c r="BJ772" l="1"/>
  <c r="BG773" s="1"/>
  <c r="BJ773" l="1"/>
  <c r="BG774" s="1"/>
  <c r="BJ774" l="1"/>
  <c r="BG775" s="1"/>
  <c r="BJ775" l="1"/>
  <c r="BG776" s="1"/>
  <c r="BJ776" l="1"/>
  <c r="BG777" s="1"/>
  <c r="BJ777" l="1"/>
  <c r="BG778" s="1"/>
  <c r="BJ778" l="1"/>
  <c r="BG779" s="1"/>
  <c r="BJ779" l="1"/>
  <c r="BG780" s="1"/>
  <c r="BJ780" l="1"/>
  <c r="BG781" s="1"/>
  <c r="BJ781" l="1"/>
  <c r="BG782" s="1"/>
  <c r="BJ782" l="1"/>
  <c r="BG783" s="1"/>
  <c r="BJ783" l="1"/>
  <c r="BG784" s="1"/>
  <c r="BJ784" l="1"/>
  <c r="BG785" s="1"/>
  <c r="BJ785" l="1"/>
  <c r="BG786" s="1"/>
  <c r="BJ786" l="1"/>
  <c r="BG787" s="1"/>
  <c r="BJ787" l="1"/>
  <c r="BG788" s="1"/>
  <c r="BJ788" l="1"/>
  <c r="BG789" s="1"/>
  <c r="BJ789" l="1"/>
  <c r="BG790" s="1"/>
  <c r="BJ790" l="1"/>
  <c r="BG791" s="1"/>
  <c r="BJ791" l="1"/>
  <c r="BG792" s="1"/>
  <c r="BJ792" l="1"/>
  <c r="BG793" s="1"/>
  <c r="BJ793" l="1"/>
  <c r="BG794" s="1"/>
  <c r="BJ794" l="1"/>
  <c r="BG795" s="1"/>
  <c r="BJ795" l="1"/>
  <c r="BG796" s="1"/>
  <c r="BJ796" l="1"/>
  <c r="BG797" s="1"/>
  <c r="BJ797" l="1"/>
  <c r="BG798" s="1"/>
  <c r="BJ798" l="1"/>
  <c r="BG799" s="1"/>
  <c r="BJ799" l="1"/>
  <c r="BG800" s="1"/>
  <c r="BJ800" l="1"/>
  <c r="BG801" s="1"/>
  <c r="BJ801" l="1"/>
  <c r="BG802" s="1"/>
  <c r="BJ802" l="1"/>
  <c r="BG803" s="1"/>
  <c r="BJ803" l="1"/>
  <c r="BG804" s="1"/>
  <c r="BJ804" l="1"/>
  <c r="BG805" s="1"/>
  <c r="BJ805" l="1"/>
  <c r="BG806" s="1"/>
  <c r="BJ806" l="1"/>
  <c r="BG807" s="1"/>
  <c r="BJ807" l="1"/>
  <c r="BG808" s="1"/>
  <c r="BJ808" l="1"/>
  <c r="BG809" s="1"/>
  <c r="BJ809" l="1"/>
  <c r="BG810" s="1"/>
  <c r="BJ810" l="1"/>
  <c r="BG811" s="1"/>
  <c r="BJ811" l="1"/>
  <c r="BG812" s="1"/>
  <c r="BJ812" l="1"/>
  <c r="BG813" s="1"/>
  <c r="BJ813" l="1"/>
  <c r="BG814" s="1"/>
  <c r="BJ814" l="1"/>
  <c r="BG815" s="1"/>
  <c r="BJ815" l="1"/>
  <c r="BG816" s="1"/>
  <c r="BJ816" l="1"/>
  <c r="BG817" s="1"/>
  <c r="BJ817" l="1"/>
  <c r="BG818" s="1"/>
  <c r="BJ818" l="1"/>
  <c r="BG819" s="1"/>
  <c r="BJ819" l="1"/>
  <c r="BG820" s="1"/>
  <c r="BJ820" l="1"/>
  <c r="BG821" s="1"/>
  <c r="BJ821" l="1"/>
  <c r="BG822" s="1"/>
  <c r="BJ822" l="1"/>
  <c r="BG823" s="1"/>
  <c r="BJ823" l="1"/>
  <c r="BG824" s="1"/>
  <c r="BJ824" l="1"/>
  <c r="BG825" s="1"/>
  <c r="BJ825" l="1"/>
  <c r="BG826" s="1"/>
  <c r="BJ826" l="1"/>
  <c r="BG827" s="1"/>
  <c r="BJ827" l="1"/>
  <c r="BG828" s="1"/>
  <c r="BJ828" l="1"/>
  <c r="BG829" s="1"/>
  <c r="BJ829" l="1"/>
  <c r="BG830" s="1"/>
  <c r="BJ830" l="1"/>
  <c r="BG831" s="1"/>
  <c r="BJ831" l="1"/>
  <c r="BG832" s="1"/>
  <c r="BJ832" l="1"/>
  <c r="BG833" s="1"/>
  <c r="BJ833" l="1"/>
  <c r="BG834" s="1"/>
  <c r="BJ834" l="1"/>
  <c r="BG835" s="1"/>
  <c r="BJ835" l="1"/>
  <c r="BG836" s="1"/>
  <c r="BJ836" l="1"/>
  <c r="BG837" s="1"/>
  <c r="BJ837" l="1"/>
  <c r="BG838" s="1"/>
  <c r="BJ838" l="1"/>
  <c r="BG839" s="1"/>
  <c r="BJ839" l="1"/>
  <c r="BG840" s="1"/>
  <c r="BJ840" l="1"/>
  <c r="BG841" s="1"/>
  <c r="BJ841" l="1"/>
  <c r="BG842" s="1"/>
  <c r="BJ842" l="1"/>
  <c r="BG843" s="1"/>
  <c r="BJ843" l="1"/>
  <c r="BG844" s="1"/>
  <c r="BJ844" l="1"/>
  <c r="BG845" s="1"/>
  <c r="BJ845" l="1"/>
  <c r="BG846" s="1"/>
  <c r="BJ846" l="1"/>
  <c r="BG847" s="1"/>
  <c r="BJ847" l="1"/>
  <c r="BG848" s="1"/>
  <c r="BJ848" l="1"/>
  <c r="BG849" s="1"/>
  <c r="BJ849" l="1"/>
  <c r="BG850" s="1"/>
  <c r="BJ850" l="1"/>
  <c r="BG851" s="1"/>
  <c r="BJ851" l="1"/>
  <c r="BG852" s="1"/>
  <c r="BJ852" l="1"/>
  <c r="BG853" s="1"/>
  <c r="BJ853" l="1"/>
  <c r="BG854" s="1"/>
  <c r="BJ854" l="1"/>
  <c r="BG855" s="1"/>
  <c r="BJ855" l="1"/>
  <c r="BG856" s="1"/>
  <c r="BJ856" l="1"/>
  <c r="BG857" s="1"/>
  <c r="BJ857" l="1"/>
  <c r="BG858" s="1"/>
  <c r="BJ858" l="1"/>
  <c r="BG859" s="1"/>
  <c r="BJ859" l="1"/>
  <c r="BG860" s="1"/>
  <c r="BJ860" l="1"/>
  <c r="BG861" s="1"/>
  <c r="BJ861" l="1"/>
  <c r="BG862" s="1"/>
  <c r="BJ862" l="1"/>
  <c r="BG863" s="1"/>
  <c r="BJ863" l="1"/>
  <c r="BG864" s="1"/>
  <c r="BJ864" l="1"/>
  <c r="BG865" s="1"/>
  <c r="BJ865" l="1"/>
  <c r="BG866" s="1"/>
  <c r="BJ866" l="1"/>
  <c r="BG867" s="1"/>
  <c r="BJ867" l="1"/>
  <c r="BG868" s="1"/>
  <c r="BJ868" l="1"/>
  <c r="BG869" s="1"/>
  <c r="BJ869" l="1"/>
  <c r="BG870" s="1"/>
  <c r="BJ870" l="1"/>
  <c r="BG871" s="1"/>
  <c r="BJ871" l="1"/>
  <c r="BG872" s="1"/>
  <c r="BJ872" l="1"/>
  <c r="BG873" s="1"/>
  <c r="BJ873" l="1"/>
  <c r="BG874" s="1"/>
  <c r="BJ874" l="1"/>
  <c r="BG875" s="1"/>
  <c r="BJ875" l="1"/>
  <c r="BG876" s="1"/>
  <c r="BJ876" l="1"/>
  <c r="BG877" s="1"/>
  <c r="BJ877" l="1"/>
  <c r="BG878" s="1"/>
  <c r="BJ878" l="1"/>
  <c r="BG879" s="1"/>
  <c r="BJ879" l="1"/>
  <c r="BG880" s="1"/>
  <c r="BJ880" l="1"/>
  <c r="BG881" s="1"/>
  <c r="BJ881" l="1"/>
  <c r="BG882" s="1"/>
  <c r="BJ882" l="1"/>
  <c r="BG883" s="1"/>
  <c r="BJ883" l="1"/>
  <c r="BG884" s="1"/>
  <c r="BJ884" l="1"/>
  <c r="BG885" s="1"/>
  <c r="BJ885" l="1"/>
  <c r="BG886" s="1"/>
  <c r="BJ886" l="1"/>
  <c r="BG887" s="1"/>
  <c r="BJ887" l="1"/>
  <c r="BG888" s="1"/>
  <c r="BJ888" l="1"/>
  <c r="BG889" s="1"/>
  <c r="BJ889" l="1"/>
  <c r="BG890" s="1"/>
  <c r="BJ890" l="1"/>
  <c r="BG891" s="1"/>
  <c r="BJ891" l="1"/>
  <c r="BG892" s="1"/>
  <c r="BJ892" l="1"/>
  <c r="BG893" s="1"/>
  <c r="BJ893" l="1"/>
  <c r="BG894" s="1"/>
  <c r="BJ894" l="1"/>
  <c r="BG895" s="1"/>
  <c r="BJ895" l="1"/>
  <c r="BG896" s="1"/>
  <c r="BJ896" l="1"/>
  <c r="BG897" s="1"/>
  <c r="BJ897" l="1"/>
  <c r="BG898" s="1"/>
  <c r="BJ898" l="1"/>
  <c r="BG899" s="1"/>
  <c r="BJ899" l="1"/>
  <c r="BG900" s="1"/>
  <c r="BJ900" l="1"/>
  <c r="BG901" s="1"/>
  <c r="BJ901" l="1"/>
  <c r="BG902" s="1"/>
  <c r="BJ902" l="1"/>
  <c r="BG903" s="1"/>
  <c r="BJ903" l="1"/>
  <c r="BG904" s="1"/>
  <c r="BJ904" l="1"/>
  <c r="BG905" s="1"/>
  <c r="BJ905" l="1"/>
  <c r="BG906" s="1"/>
  <c r="BJ906" l="1"/>
  <c r="BG907" s="1"/>
  <c r="BJ907" l="1"/>
  <c r="BG908" s="1"/>
  <c r="BJ908" l="1"/>
  <c r="BG909" s="1"/>
  <c r="BJ909" l="1"/>
  <c r="BG910" s="1"/>
  <c r="BJ910" l="1"/>
  <c r="BG911" s="1"/>
  <c r="BJ911" l="1"/>
  <c r="BG912" s="1"/>
  <c r="BJ912" l="1"/>
  <c r="BG913" s="1"/>
  <c r="BJ913" l="1"/>
  <c r="BG914" s="1"/>
  <c r="BJ914" l="1"/>
  <c r="BG915" s="1"/>
  <c r="BJ915" l="1"/>
  <c r="BG916" s="1"/>
  <c r="BJ916" l="1"/>
  <c r="BG917" s="1"/>
  <c r="BJ917" l="1"/>
  <c r="BG918" s="1"/>
  <c r="BJ918" l="1"/>
  <c r="BG919" s="1"/>
  <c r="BJ919" l="1"/>
  <c r="BG920" s="1"/>
  <c r="BJ920" l="1"/>
  <c r="BG921" s="1"/>
  <c r="BJ921" l="1"/>
  <c r="BG922" s="1"/>
  <c r="BJ922" l="1"/>
  <c r="BG923" s="1"/>
  <c r="BJ923" l="1"/>
  <c r="BG924" s="1"/>
  <c r="BJ924" l="1"/>
  <c r="BG925" s="1"/>
  <c r="BJ925" l="1"/>
  <c r="BG926" s="1"/>
  <c r="BJ926" l="1"/>
  <c r="BG927" s="1"/>
  <c r="BJ927" l="1"/>
  <c r="BG928" s="1"/>
  <c r="BJ928" l="1"/>
  <c r="BG929" s="1"/>
  <c r="BJ929" l="1"/>
  <c r="BG930" s="1"/>
  <c r="BJ930" l="1"/>
  <c r="BG931" s="1"/>
  <c r="BJ931" l="1"/>
  <c r="BG932" s="1"/>
  <c r="BJ932" l="1"/>
  <c r="BG933" s="1"/>
  <c r="BJ933" l="1"/>
  <c r="BG934" s="1"/>
  <c r="BJ934" l="1"/>
  <c r="BG935" s="1"/>
  <c r="BJ935" l="1"/>
  <c r="BG936" s="1"/>
  <c r="BJ936" l="1"/>
  <c r="BG937" s="1"/>
  <c r="BJ937" l="1"/>
  <c r="BG938" s="1"/>
  <c r="BJ938" l="1"/>
  <c r="BG939" s="1"/>
  <c r="BJ939" l="1"/>
  <c r="BG940" s="1"/>
  <c r="BJ940" l="1"/>
  <c r="BG941" s="1"/>
  <c r="BJ941" l="1"/>
  <c r="BG942" s="1"/>
  <c r="BJ942" l="1"/>
  <c r="BG943" s="1"/>
  <c r="BJ943" l="1"/>
  <c r="BG944" s="1"/>
  <c r="BJ944" l="1"/>
  <c r="BG945" s="1"/>
  <c r="BJ945" l="1"/>
  <c r="BG946" s="1"/>
  <c r="BJ946" l="1"/>
  <c r="BG947" s="1"/>
  <c r="BJ947" l="1"/>
  <c r="BG948" s="1"/>
  <c r="BJ948" l="1"/>
  <c r="BG949" s="1"/>
  <c r="BJ949" l="1"/>
  <c r="BG950" s="1"/>
  <c r="BI19"/>
  <c r="BI20" s="1"/>
  <c r="BJ950" l="1"/>
  <c r="BG951" s="1"/>
  <c r="BI21"/>
  <c r="BI22"/>
  <c r="BJ951" l="1"/>
  <c r="BG952" s="1"/>
  <c r="BJ952" l="1"/>
  <c r="BG953" s="1"/>
  <c r="BJ953" l="1"/>
  <c r="BG954" s="1"/>
  <c r="BJ954" l="1"/>
  <c r="BG955" s="1"/>
  <c r="BJ955" l="1"/>
  <c r="BG956" s="1"/>
  <c r="BJ956" l="1"/>
  <c r="BG957" s="1"/>
  <c r="BJ957" l="1"/>
  <c r="BG958" s="1"/>
  <c r="BJ958" l="1"/>
  <c r="BG959" s="1"/>
  <c r="BJ959" l="1"/>
  <c r="BG960" s="1"/>
  <c r="BJ960" l="1"/>
  <c r="BG961" s="1"/>
  <c r="BJ961" l="1"/>
  <c r="BG962" s="1"/>
  <c r="BJ962" l="1"/>
  <c r="BG963" s="1"/>
  <c r="BJ963" l="1"/>
  <c r="BG964" s="1"/>
  <c r="BJ964" l="1"/>
  <c r="BG965" s="1"/>
  <c r="BJ965" l="1"/>
  <c r="BG966" s="1"/>
  <c r="BJ966" l="1"/>
  <c r="BG967" s="1"/>
  <c r="BJ967" l="1"/>
  <c r="BG968" s="1"/>
  <c r="BJ968" l="1"/>
  <c r="BG969" s="1"/>
  <c r="BJ969" l="1"/>
  <c r="BG970" s="1"/>
  <c r="BJ970" l="1"/>
  <c r="BG971" s="1"/>
  <c r="BJ971" l="1"/>
  <c r="BG972" s="1"/>
  <c r="BJ972" l="1"/>
  <c r="BG973" s="1"/>
  <c r="BJ973" l="1"/>
  <c r="BG974" s="1"/>
  <c r="BJ974" l="1"/>
  <c r="BG975" s="1"/>
  <c r="BJ975" l="1"/>
  <c r="BG976" s="1"/>
  <c r="BJ976" l="1"/>
  <c r="BG977" s="1"/>
  <c r="BJ977" l="1"/>
  <c r="BG978" s="1"/>
  <c r="BJ978" l="1"/>
  <c r="BG979" s="1"/>
  <c r="BJ979" l="1"/>
  <c r="BG980" s="1"/>
  <c r="BJ980" l="1"/>
  <c r="BG981" s="1"/>
  <c r="BJ981" l="1"/>
  <c r="BG982" s="1"/>
  <c r="BJ982" l="1"/>
  <c r="BG983" s="1"/>
  <c r="BJ983" l="1"/>
  <c r="BG984" s="1"/>
  <c r="BJ984" l="1"/>
  <c r="BG985" s="1"/>
  <c r="BJ985" l="1"/>
  <c r="BG986" s="1"/>
  <c r="BJ986" l="1"/>
  <c r="BG987" s="1"/>
  <c r="BJ987" l="1"/>
  <c r="BG988" s="1"/>
  <c r="BJ988" l="1"/>
  <c r="BG989" s="1"/>
  <c r="BJ989" l="1"/>
  <c r="BG990" s="1"/>
  <c r="BJ990" l="1"/>
  <c r="BG991" s="1"/>
  <c r="BJ991" l="1"/>
  <c r="BG992" s="1"/>
  <c r="BJ992" l="1"/>
  <c r="BG993" s="1"/>
  <c r="BJ993" l="1"/>
  <c r="BG994" s="1"/>
  <c r="BJ994" l="1"/>
  <c r="BG995" s="1"/>
  <c r="BJ995" l="1"/>
  <c r="BG996" s="1"/>
  <c r="BJ996" l="1"/>
  <c r="BG997" s="1"/>
  <c r="BJ997" l="1"/>
  <c r="BG998" s="1"/>
  <c r="BJ998" l="1"/>
  <c r="BG999" s="1"/>
  <c r="BJ999" l="1"/>
  <c r="BG1000" s="1"/>
  <c r="BJ1000" l="1"/>
  <c r="BG1001" s="1"/>
  <c r="BJ1001" l="1"/>
  <c r="BG1002" s="1"/>
  <c r="BJ1002" l="1"/>
  <c r="BG1003" s="1"/>
  <c r="BJ1003" l="1"/>
  <c r="BG1004" s="1"/>
  <c r="BJ1004" l="1"/>
  <c r="BG1005" s="1"/>
  <c r="BJ1005" l="1"/>
  <c r="BG1006" s="1"/>
  <c r="BJ1006" l="1"/>
  <c r="BG1007" s="1"/>
  <c r="BJ1007" l="1"/>
  <c r="BG1008" s="1"/>
  <c r="BJ1008" l="1"/>
  <c r="BG1009" s="1"/>
  <c r="BJ1009" l="1"/>
  <c r="BG1010" s="1"/>
  <c r="BJ1010" l="1"/>
  <c r="BG1011" s="1"/>
  <c r="BJ1011" l="1"/>
  <c r="BG1012" s="1"/>
  <c r="BJ1012" l="1"/>
  <c r="BG1013" s="1"/>
  <c r="BJ1013" l="1"/>
  <c r="BG1014" s="1"/>
  <c r="BJ1014" l="1"/>
  <c r="BG1015" s="1"/>
  <c r="BJ1015" l="1"/>
  <c r="BG1016" s="1"/>
  <c r="BJ1016" l="1"/>
  <c r="BG1017" s="1"/>
  <c r="BJ1017" l="1"/>
  <c r="BG1018" s="1"/>
  <c r="BJ1018" l="1"/>
  <c r="BG1019" s="1"/>
  <c r="BJ1019" l="1"/>
  <c r="BG1020" s="1"/>
  <c r="BJ1020" l="1"/>
  <c r="BG1021" s="1"/>
  <c r="BJ1021" l="1"/>
  <c r="BG1022" s="1"/>
  <c r="BJ1022" l="1"/>
  <c r="BG1023" s="1"/>
  <c r="BJ1023" l="1"/>
  <c r="BG1024" s="1"/>
  <c r="BJ1024" l="1"/>
  <c r="BG1025" s="1"/>
  <c r="BJ1025" l="1"/>
  <c r="BG1026" s="1"/>
  <c r="BJ1026" l="1"/>
  <c r="BG1027" s="1"/>
  <c r="BJ1027" l="1"/>
  <c r="BG1028" s="1"/>
  <c r="BJ1028" l="1"/>
  <c r="BG1029" s="1"/>
  <c r="BJ1029" l="1"/>
  <c r="BG1030" s="1"/>
  <c r="BJ1030" l="1"/>
  <c r="BG1031" s="1"/>
  <c r="BJ1031" l="1"/>
  <c r="BG1032" s="1"/>
  <c r="BJ1032" l="1"/>
  <c r="BG1033" s="1"/>
  <c r="BJ1033" l="1"/>
  <c r="BG1034" s="1"/>
  <c r="BJ1034" l="1"/>
  <c r="BG1035" s="1"/>
  <c r="BJ1035" l="1"/>
  <c r="BG1036" s="1"/>
  <c r="BJ1036" l="1"/>
  <c r="BG1037" s="1"/>
  <c r="BJ1037" l="1"/>
  <c r="BG1038" s="1"/>
  <c r="BJ1038" l="1"/>
  <c r="BG1039" s="1"/>
  <c r="BJ1039" l="1"/>
  <c r="BG1040" s="1"/>
  <c r="BJ1040" l="1"/>
  <c r="BG1041" s="1"/>
  <c r="BJ1041" l="1"/>
  <c r="BG1042" s="1"/>
  <c r="BJ1042" l="1"/>
  <c r="BG1043" s="1"/>
  <c r="BJ1043" l="1"/>
  <c r="BG1044" s="1"/>
  <c r="BJ1044" l="1"/>
  <c r="BG1045" s="1"/>
  <c r="BJ1045" l="1"/>
  <c r="BG1046" s="1"/>
  <c r="BJ1046" l="1"/>
  <c r="BG1047" s="1"/>
  <c r="BJ1047" l="1"/>
  <c r="BG1048" s="1"/>
  <c r="BJ1048" l="1"/>
  <c r="BG1049" s="1"/>
  <c r="BJ1049" l="1"/>
  <c r="BG1050" s="1"/>
  <c r="BJ1050" l="1"/>
  <c r="BG1051" s="1"/>
  <c r="BJ1051" l="1"/>
  <c r="BG1052" s="1"/>
  <c r="BJ1052" l="1"/>
  <c r="BG1053" s="1"/>
  <c r="BJ1053" l="1"/>
  <c r="BG1054" s="1"/>
  <c r="BJ1054" l="1"/>
  <c r="BG1055" s="1"/>
  <c r="BJ1055" l="1"/>
  <c r="BG1056" s="1"/>
  <c r="BJ1056" l="1"/>
  <c r="BG1057" s="1"/>
  <c r="BJ1057" l="1"/>
  <c r="BG1058" s="1"/>
  <c r="BJ1058" l="1"/>
  <c r="BG1059" s="1"/>
  <c r="BJ1059" l="1"/>
  <c r="BG1060" s="1"/>
  <c r="BJ1060" l="1"/>
  <c r="BG1061" s="1"/>
  <c r="BJ1061" l="1"/>
  <c r="BG1062" s="1"/>
  <c r="BJ1062" l="1"/>
  <c r="BG1063" s="1"/>
  <c r="BJ1063" l="1"/>
  <c r="BG1064" s="1"/>
  <c r="BJ1064" l="1"/>
  <c r="BG1065" s="1"/>
  <c r="BJ1065" l="1"/>
  <c r="BG1066" s="1"/>
  <c r="BJ1066" l="1"/>
  <c r="BG1067" s="1"/>
  <c r="BJ1067" l="1"/>
  <c r="BG1068" s="1"/>
  <c r="BJ1068" l="1"/>
  <c r="BG1069" s="1"/>
  <c r="BJ1069" l="1"/>
  <c r="BG1070" s="1"/>
  <c r="BJ1070" l="1"/>
  <c r="BG1071" s="1"/>
  <c r="BJ1071" l="1"/>
  <c r="BG1072" s="1"/>
  <c r="BJ1072" l="1"/>
  <c r="BG1073" s="1"/>
  <c r="BJ1073" l="1"/>
  <c r="BG1074" s="1"/>
  <c r="BJ1074" l="1"/>
  <c r="BG1075" s="1"/>
  <c r="BJ1075" l="1"/>
  <c r="BG1076" s="1"/>
  <c r="BJ1076" l="1"/>
  <c r="BG1077" s="1"/>
  <c r="BJ1077" l="1"/>
  <c r="BG1078" s="1"/>
  <c r="BJ1078" l="1"/>
  <c r="BG1079" s="1"/>
  <c r="BJ1079" l="1"/>
  <c r="BG1080" s="1"/>
  <c r="BJ1080" l="1"/>
  <c r="BG1081" s="1"/>
  <c r="BJ1081" l="1"/>
  <c r="BG1082" s="1"/>
  <c r="BJ1082" l="1"/>
  <c r="BG1083" s="1"/>
  <c r="BJ1083" l="1"/>
  <c r="BG1084" s="1"/>
  <c r="BJ1084" l="1"/>
  <c r="BG1085" s="1"/>
  <c r="BJ1085" l="1"/>
  <c r="BG1086" s="1"/>
  <c r="BJ1086" l="1"/>
  <c r="BG1087" s="1"/>
  <c r="BJ1087" l="1"/>
  <c r="BG1088" s="1"/>
  <c r="BJ1088" l="1"/>
  <c r="BG1089" s="1"/>
  <c r="BJ1089" l="1"/>
  <c r="BG1090" s="1"/>
  <c r="BJ1090" l="1"/>
  <c r="BG1091" s="1"/>
  <c r="BJ1091" l="1"/>
  <c r="BG1092" s="1"/>
  <c r="BJ1092" l="1"/>
  <c r="BG1093" s="1"/>
  <c r="BJ1093" l="1"/>
  <c r="BG1094" s="1"/>
  <c r="BJ1094" l="1"/>
  <c r="BG1095" s="1"/>
  <c r="BJ1095" l="1"/>
  <c r="BG1096" s="1"/>
  <c r="BJ1096" l="1"/>
  <c r="BG1097" s="1"/>
  <c r="BJ1097" l="1"/>
  <c r="BG1098" s="1"/>
  <c r="BJ1098" l="1"/>
  <c r="BG1099" s="1"/>
  <c r="BJ1099" l="1"/>
  <c r="BG1100" s="1"/>
  <c r="BJ1100" l="1"/>
  <c r="BG1101" s="1"/>
  <c r="BJ1101" l="1"/>
  <c r="BG1102" s="1"/>
  <c r="BJ1102" l="1"/>
  <c r="BG1103" s="1"/>
  <c r="BJ1103" l="1"/>
  <c r="BG1104" s="1"/>
  <c r="BJ1104" l="1"/>
  <c r="BG1105" s="1"/>
  <c r="BJ1105" l="1"/>
  <c r="BG1106" s="1"/>
  <c r="BJ1106" l="1"/>
  <c r="BG1107" s="1"/>
  <c r="BJ1107" l="1"/>
  <c r="BG1108" s="1"/>
  <c r="BJ1108" l="1"/>
  <c r="BG1109" s="1"/>
  <c r="BJ1109" l="1"/>
  <c r="BG1110" s="1"/>
  <c r="BJ1110" l="1"/>
  <c r="BG1111" s="1"/>
  <c r="BJ1111" l="1"/>
  <c r="BG1112" s="1"/>
  <c r="BJ1112" l="1"/>
  <c r="BG1113" s="1"/>
  <c r="BJ1113" l="1"/>
  <c r="BG1114" s="1"/>
  <c r="BJ1114" l="1"/>
  <c r="BG1115" s="1"/>
  <c r="BJ1115" l="1"/>
  <c r="BG1116" s="1"/>
  <c r="BJ1116" l="1"/>
  <c r="BG1117" s="1"/>
  <c r="BJ1117" l="1"/>
  <c r="BG1118" s="1"/>
  <c r="BJ1118" l="1"/>
  <c r="BG1119" s="1"/>
  <c r="BJ1119" l="1"/>
  <c r="BG1120" s="1"/>
  <c r="BJ1120" l="1"/>
  <c r="BG1121" s="1"/>
  <c r="BJ1121" l="1"/>
  <c r="BG1122" s="1"/>
  <c r="BJ1122" l="1"/>
  <c r="BG1123" s="1"/>
  <c r="BJ1123" l="1"/>
  <c r="BG1124" s="1"/>
  <c r="BJ1124" l="1"/>
  <c r="BG1125" s="1"/>
  <c r="BJ1125" l="1"/>
  <c r="BG1126" s="1"/>
  <c r="BJ1126" l="1"/>
  <c r="BG1127" s="1"/>
  <c r="BJ1127" l="1"/>
  <c r="BG1128" s="1"/>
  <c r="BJ1128" l="1"/>
  <c r="BG1129" s="1"/>
  <c r="BJ1129" l="1"/>
  <c r="BG1130" s="1"/>
  <c r="BJ1130" l="1"/>
  <c r="BG1131" s="1"/>
  <c r="BJ1131" l="1"/>
  <c r="BG1132" s="1"/>
  <c r="BJ1132" l="1"/>
  <c r="BG1133" s="1"/>
  <c r="BJ1133" l="1"/>
  <c r="BG1134" s="1"/>
  <c r="BJ1134" l="1"/>
  <c r="BG1135" s="1"/>
  <c r="BJ1135" l="1"/>
  <c r="BG1136" s="1"/>
  <c r="BJ1136" l="1"/>
  <c r="BG1137" s="1"/>
  <c r="BJ1137" l="1"/>
  <c r="BG1138" s="1"/>
  <c r="BJ1138" l="1"/>
  <c r="BG1139" s="1"/>
  <c r="BJ1139" l="1"/>
  <c r="BG1140" s="1"/>
  <c r="BJ1140" l="1"/>
  <c r="BG1141" s="1"/>
  <c r="BJ1141" l="1"/>
  <c r="BG1142" s="1"/>
  <c r="BJ1142" l="1"/>
  <c r="BG1143" s="1"/>
  <c r="BJ1143" l="1"/>
  <c r="BG1144" s="1"/>
  <c r="BJ1144" l="1"/>
  <c r="BG1145" s="1"/>
  <c r="BJ1145" l="1"/>
  <c r="BG1146" s="1"/>
  <c r="BJ1146" l="1"/>
  <c r="BG1147" s="1"/>
  <c r="BJ1147" l="1"/>
  <c r="BG1148" s="1"/>
  <c r="BJ1148" l="1"/>
  <c r="BG1149" s="1"/>
  <c r="BJ1149" l="1"/>
  <c r="BG1150" s="1"/>
  <c r="BJ1150" l="1"/>
  <c r="BG1151" s="1"/>
  <c r="BJ1151" l="1"/>
  <c r="BG1152" s="1"/>
  <c r="BJ1152" l="1"/>
  <c r="BG1153" s="1"/>
  <c r="BJ1153" l="1"/>
  <c r="BG1154" s="1"/>
  <c r="BJ1154" l="1"/>
  <c r="BG1155" s="1"/>
  <c r="BJ1155" l="1"/>
  <c r="BG1156" s="1"/>
  <c r="BJ1156" l="1"/>
  <c r="BG1157" s="1"/>
  <c r="BJ1157" l="1"/>
  <c r="BG1158" s="1"/>
  <c r="BJ1158" l="1"/>
  <c r="BG1159" s="1"/>
  <c r="BJ1159" l="1"/>
  <c r="BG1160" s="1"/>
  <c r="BJ1160" l="1"/>
  <c r="BG1161" s="1"/>
  <c r="BJ1161" l="1"/>
  <c r="BG1162" s="1"/>
  <c r="BJ1162" l="1"/>
  <c r="BG1163" s="1"/>
  <c r="BJ1163" l="1"/>
  <c r="BG1164" s="1"/>
  <c r="BJ1164" l="1"/>
  <c r="BG1165" s="1"/>
  <c r="BJ1165" l="1"/>
  <c r="BG1166" s="1"/>
  <c r="BJ1166" l="1"/>
  <c r="BG1167" s="1"/>
  <c r="BJ1167" l="1"/>
  <c r="BG1168" s="1"/>
  <c r="BJ1168" l="1"/>
  <c r="BG1169" s="1"/>
  <c r="BJ1169" l="1"/>
  <c r="BG1170" s="1"/>
  <c r="BJ1170" l="1"/>
  <c r="BG1171" s="1"/>
  <c r="BJ1171" l="1"/>
  <c r="BG1172" s="1"/>
  <c r="BJ1172" l="1"/>
  <c r="BG1173" s="1"/>
  <c r="BJ1173" l="1"/>
  <c r="BG1174" s="1"/>
  <c r="BJ1174" l="1"/>
  <c r="BG1175" s="1"/>
  <c r="BJ1175" l="1"/>
  <c r="BG1176" s="1"/>
  <c r="BJ1176" l="1"/>
  <c r="BG1177" s="1"/>
  <c r="BJ1177" l="1"/>
  <c r="BG1178" s="1"/>
  <c r="BJ1178" l="1"/>
  <c r="BG1179" s="1"/>
  <c r="BJ1179" l="1"/>
  <c r="BG1180" s="1"/>
  <c r="BJ1180" l="1"/>
  <c r="BG1181" s="1"/>
  <c r="BJ1181" l="1"/>
  <c r="BG1182" s="1"/>
  <c r="BJ1182" l="1"/>
  <c r="BG1183" s="1"/>
  <c r="BJ1183" l="1"/>
  <c r="BG1184" s="1"/>
  <c r="BJ1184" l="1"/>
  <c r="BG1185" s="1"/>
  <c r="BJ1185" l="1"/>
  <c r="BG1186" s="1"/>
  <c r="BJ1186" l="1"/>
  <c r="BG1187" s="1"/>
  <c r="BJ1187" l="1"/>
  <c r="BG1188" s="1"/>
  <c r="BJ1188" l="1"/>
  <c r="BG1189" s="1"/>
  <c r="BJ1189" l="1"/>
  <c r="BG1190" s="1"/>
  <c r="BJ1190" l="1"/>
  <c r="BG1191" s="1"/>
  <c r="BJ1191" l="1"/>
  <c r="BG1192" s="1"/>
  <c r="BJ1192" l="1"/>
  <c r="BG1193" s="1"/>
  <c r="BJ1193" l="1"/>
  <c r="BG1194" s="1"/>
  <c r="BJ1194" l="1"/>
  <c r="BG1195" s="1"/>
  <c r="BJ1195" l="1"/>
  <c r="BG1196" s="1"/>
  <c r="BJ1196" l="1"/>
  <c r="BG1197" s="1"/>
  <c r="BJ1197" l="1"/>
  <c r="BG1198" s="1"/>
  <c r="BJ1198" l="1"/>
  <c r="BG1199" s="1"/>
  <c r="BJ1199" l="1"/>
  <c r="BG1200" s="1"/>
  <c r="BJ1200" l="1"/>
  <c r="BG1201" s="1"/>
  <c r="BJ1201" l="1"/>
  <c r="BG1202" s="1"/>
  <c r="BJ1202" l="1"/>
  <c r="BG1203" s="1"/>
  <c r="BJ1203" l="1"/>
  <c r="BG1204" s="1"/>
  <c r="BJ1204" l="1"/>
  <c r="BG1205" s="1"/>
  <c r="BJ1205" l="1"/>
  <c r="BG1206" s="1"/>
  <c r="BJ1206" l="1"/>
  <c r="BG1207" s="1"/>
  <c r="BJ1207" l="1"/>
  <c r="BG1208" s="1"/>
  <c r="BJ1208" l="1"/>
  <c r="BG1209" s="1"/>
  <c r="BJ1209" l="1"/>
  <c r="BG1210" s="1"/>
  <c r="BJ1210" l="1"/>
  <c r="BG1211" s="1"/>
  <c r="BJ1211" l="1"/>
  <c r="BG1212" s="1"/>
  <c r="BJ1212" l="1"/>
  <c r="BG1213" s="1"/>
  <c r="BJ1213" l="1"/>
  <c r="BG1214" s="1"/>
  <c r="BJ1214" l="1"/>
  <c r="BG1215" s="1"/>
  <c r="BJ1215" l="1"/>
  <c r="BG1216" s="1"/>
  <c r="BJ1216" l="1"/>
  <c r="BG1217" s="1"/>
  <c r="BJ1217" l="1"/>
  <c r="BG1218" s="1"/>
  <c r="BJ1218" l="1"/>
  <c r="BG1219" s="1"/>
  <c r="BJ1219" l="1"/>
  <c r="BG1220" s="1"/>
  <c r="BJ1220" l="1"/>
  <c r="BG1221" s="1"/>
  <c r="BJ1221" l="1"/>
  <c r="BG1222" s="1"/>
  <c r="BJ1222" l="1"/>
  <c r="BG1223" s="1"/>
  <c r="BJ1223" l="1"/>
  <c r="BG1224" s="1"/>
  <c r="BJ1224" l="1"/>
  <c r="BG1225" s="1"/>
  <c r="BJ1225" l="1"/>
  <c r="BG1226" s="1"/>
  <c r="BJ1226" l="1"/>
  <c r="BG1227" s="1"/>
  <c r="BJ1227" l="1"/>
  <c r="BG1228" s="1"/>
  <c r="BJ1228" l="1"/>
  <c r="BG1229" s="1"/>
  <c r="BJ1229" l="1"/>
  <c r="BG1230" s="1"/>
  <c r="BJ1230" l="1"/>
  <c r="BG1231" s="1"/>
  <c r="BJ1231" l="1"/>
  <c r="BG1232" s="1"/>
  <c r="BJ1232" l="1"/>
  <c r="BG1233" s="1"/>
  <c r="BJ1233" l="1"/>
  <c r="BG1234" s="1"/>
  <c r="BJ1234" l="1"/>
  <c r="BG1235" s="1"/>
  <c r="BJ1235" l="1"/>
  <c r="BG1236" s="1"/>
  <c r="BJ1236" l="1"/>
  <c r="BG1237" s="1"/>
  <c r="BJ1237" l="1"/>
  <c r="BG1238" s="1"/>
  <c r="BJ1238" l="1"/>
  <c r="BG1239" s="1"/>
  <c r="BJ1239" l="1"/>
  <c r="BG1240" s="1"/>
  <c r="BJ1240" l="1"/>
  <c r="BG1241" s="1"/>
  <c r="BJ1241" l="1"/>
  <c r="BG1242" s="1"/>
  <c r="BJ1242" l="1"/>
  <c r="BG1243" s="1"/>
  <c r="BJ1243" l="1"/>
  <c r="BG1244" s="1"/>
  <c r="BJ1244" l="1"/>
  <c r="BG1245" s="1"/>
  <c r="BJ1245" l="1"/>
  <c r="BG1246" s="1"/>
  <c r="BJ1246" l="1"/>
  <c r="BG1247" s="1"/>
  <c r="BJ1247" l="1"/>
  <c r="BG1248" s="1"/>
  <c r="BJ1248" l="1"/>
  <c r="BG1249" s="1"/>
  <c r="BJ1249" s="1"/>
  <c r="G35" i="23"/>
  <c r="E35"/>
  <c r="H35"/>
  <c r="AT34" i="8"/>
  <c r="AZ28"/>
  <c r="AR28"/>
  <c r="AR31"/>
  <c r="AR34" s="1"/>
  <c r="AZ30" l="1"/>
  <c r="AZ34" s="1"/>
  <c r="G63"/>
  <c r="E63"/>
  <c r="H63"/>
  <c r="O35" i="1"/>
  <c r="G48"/>
  <c r="G45" s="1"/>
  <c r="G39"/>
  <c r="G44" s="1"/>
  <c r="G46" s="1"/>
  <c r="H45" l="1"/>
  <c r="O39"/>
  <c r="G47"/>
  <c r="I45" l="1"/>
  <c r="O44"/>
  <c r="O46" s="1"/>
  <c r="O47"/>
  <c r="H63" i="7"/>
  <c r="E63"/>
  <c r="G63"/>
  <c r="J45" i="1" l="1"/>
  <c r="K45" l="1"/>
  <c r="L11" i="27"/>
  <c r="L45" i="1" l="1"/>
  <c r="M45" s="1"/>
  <c r="N45" s="1"/>
  <c r="R45" s="1"/>
  <c r="T29" s="1"/>
  <c r="L16" i="27"/>
  <c r="T31" i="1" l="1"/>
  <c r="S39"/>
</calcChain>
</file>

<file path=xl/comments1.xml><?xml version="1.0" encoding="utf-8"?>
<comments xmlns="http://schemas.openxmlformats.org/spreadsheetml/2006/main">
  <authors>
    <author>luciano.escobar_ext</author>
  </authors>
  <commentList>
    <comment ref="AZ26" authorId="0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80,00 da Ração</t>
        </r>
      </text>
    </comment>
  </commentList>
</comments>
</file>

<file path=xl/comments2.xml><?xml version="1.0" encoding="utf-8"?>
<comments xmlns="http://schemas.openxmlformats.org/spreadsheetml/2006/main">
  <authors>
    <author>luciano.escobar_ext</author>
  </authors>
  <commentList>
    <comment ref="AZ27" authorId="0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internet</t>
        </r>
      </text>
    </comment>
  </commentList>
</comments>
</file>

<file path=xl/comments3.xml><?xml version="1.0" encoding="utf-8"?>
<comments xmlns="http://schemas.openxmlformats.org/spreadsheetml/2006/main">
  <authors>
    <author>luciano dutra</author>
  </authors>
  <commentList>
    <comment ref="AR27" authorId="0">
      <text>
        <r>
          <rPr>
            <b/>
            <sz val="9"/>
            <color indexed="81"/>
            <rFont val="Tahoma"/>
            <family val="2"/>
          </rPr>
          <t>luciano dutra:</t>
        </r>
        <r>
          <rPr>
            <sz val="9"/>
            <color indexed="81"/>
            <rFont val="Tahoma"/>
            <family val="2"/>
          </rPr>
          <t xml:space="preserve">
Ração 150,00
Ração 130,00</t>
        </r>
      </text>
    </comment>
  </commentList>
</comments>
</file>

<file path=xl/comments4.xml><?xml version="1.0" encoding="utf-8"?>
<comments xmlns="http://schemas.openxmlformats.org/spreadsheetml/2006/main">
  <authors>
    <author>Luciano Escobar</author>
    <author>luciano.escobar_ext</author>
    <author>luciano dutra</author>
  </authors>
  <commentList>
    <comment ref="M11" authorId="0">
      <text>
        <r>
          <rPr>
            <b/>
            <sz val="9"/>
            <color indexed="81"/>
            <rFont val="Tahoma"/>
            <family val="2"/>
          </rPr>
          <t>Luciano Escobar:</t>
        </r>
        <r>
          <rPr>
            <sz val="9"/>
            <color indexed="81"/>
            <rFont val="Tahoma"/>
            <family val="2"/>
          </rPr>
          <t xml:space="preserve">
339,52 - CARRO 1de3
181,20 - MOTO 1de3</t>
        </r>
      </text>
    </comment>
    <comment ref="F12" authorId="1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EMPRÉSTIMO MALU
IPVA 2022 = 9x260,85</t>
        </r>
      </text>
    </comment>
    <comment ref="G12" authorId="1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EMPRÉSTIMO MALU
IPVA 2022 = 9x260,85</t>
        </r>
      </text>
    </comment>
    <comment ref="H12" authorId="1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EMPRÉSTIMO MALU
IPVA 2022 = 9x260,85</t>
        </r>
      </text>
    </comment>
    <comment ref="I12" authorId="1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EMPRÉSTIMO MALU
IPVA 2022 = 9x260,85</t>
        </r>
      </text>
    </comment>
    <comment ref="J12" authorId="1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EMPRÉSTIMO MALU
IPVA 2022 = 9x260,85</t>
        </r>
      </text>
    </comment>
    <comment ref="K12" authorId="1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EMPRÉSTIMO MALU
IPVA 2022 = 9x260,85</t>
        </r>
      </text>
    </comment>
    <comment ref="L12" authorId="1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EMPRÉSTIMO MALU
IPVA 2022 = 9x260,85</t>
        </r>
      </text>
    </comment>
    <comment ref="M12" authorId="1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EMPRÉSTIMO MALU
IPVA 2022 = 9x260,85</t>
        </r>
      </text>
    </comment>
    <comment ref="N12" authorId="1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EMPRÉSTIMO MALU
IPVA 2022 = 9x260,85</t>
        </r>
      </text>
    </comment>
    <comment ref="L13" authorId="0">
      <text>
        <r>
          <rPr>
            <b/>
            <sz val="9"/>
            <color indexed="81"/>
            <rFont val="Tahoma"/>
            <family val="2"/>
          </rPr>
          <t>Luciano Escobar:</t>
        </r>
        <r>
          <rPr>
            <sz val="9"/>
            <color indexed="81"/>
            <rFont val="Tahoma"/>
            <family val="2"/>
          </rPr>
          <t xml:space="preserve">
VÁLIDO POR 3 MESES
VENCIMENTO EM
17/01/2023</t>
        </r>
      </text>
    </comment>
    <comment ref="D20" authorId="2">
      <text>
        <r>
          <rPr>
            <b/>
            <sz val="9"/>
            <color indexed="81"/>
            <rFont val="Tahoma"/>
            <family val="2"/>
          </rPr>
          <t>luciano dutra:</t>
        </r>
        <r>
          <rPr>
            <sz val="9"/>
            <color indexed="81"/>
            <rFont val="Tahoma"/>
            <family val="2"/>
          </rPr>
          <t xml:space="preserve">
IPVA MOTO = 566,08
TX CRLV MOTO = 99,65
MULTAS MOTO = 517,89
IPVA+MULTA+CRLV CARRO = 121,30
</t>
        </r>
      </text>
    </comment>
    <comment ref="N20" authorId="2">
      <text>
        <r>
          <rPr>
            <b/>
            <sz val="9"/>
            <color indexed="81"/>
            <rFont val="Tahoma"/>
            <family val="2"/>
          </rPr>
          <t>luciano dutra:</t>
        </r>
        <r>
          <rPr>
            <sz val="9"/>
            <color indexed="81"/>
            <rFont val="Tahoma"/>
            <family val="2"/>
          </rPr>
          <t xml:space="preserve">
8,52 - Reconhecimento de firma</t>
        </r>
      </text>
    </comment>
    <comment ref="N23" authorId="2">
      <text>
        <r>
          <rPr>
            <b/>
            <sz val="9"/>
            <color indexed="81"/>
            <rFont val="Tahoma"/>
            <family val="2"/>
          </rPr>
          <t>luciano dutra:</t>
        </r>
        <r>
          <rPr>
            <sz val="9"/>
            <color indexed="81"/>
            <rFont val="Tahoma"/>
            <family val="2"/>
          </rPr>
          <t xml:space="preserve">
35,00 - Corte cabelo</t>
        </r>
      </text>
    </comment>
    <comment ref="N25" authorId="2">
      <text>
        <r>
          <rPr>
            <b/>
            <sz val="9"/>
            <color indexed="81"/>
            <rFont val="Tahoma"/>
            <family val="2"/>
          </rPr>
          <t>luciano dutra:</t>
        </r>
        <r>
          <rPr>
            <sz val="9"/>
            <color indexed="81"/>
            <rFont val="Tahoma"/>
            <family val="2"/>
          </rPr>
          <t xml:space="preserve">
180,80 - Sushi</t>
        </r>
      </text>
    </comment>
    <comment ref="J26" authorId="0">
      <text>
        <r>
          <rPr>
            <b/>
            <sz val="9"/>
            <color indexed="81"/>
            <rFont val="Tahoma"/>
            <family val="2"/>
          </rPr>
          <t>Luciano Escobar:</t>
        </r>
        <r>
          <rPr>
            <sz val="9"/>
            <color indexed="81"/>
            <rFont val="Tahoma"/>
            <family val="2"/>
          </rPr>
          <t xml:space="preserve">
Produtos químicos casa
e sítio.</t>
        </r>
      </text>
    </comment>
    <comment ref="L26" authorId="0">
      <text>
        <r>
          <rPr>
            <b/>
            <sz val="9"/>
            <color indexed="81"/>
            <rFont val="Tahoma"/>
            <family val="2"/>
          </rPr>
          <t>Luciano Escobar:</t>
        </r>
        <r>
          <rPr>
            <sz val="9"/>
            <color indexed="81"/>
            <rFont val="Tahoma"/>
            <family val="2"/>
          </rPr>
          <t xml:space="preserve">
Resistência chuveiro</t>
        </r>
      </text>
    </comment>
    <comment ref="N26" authorId="2">
      <text>
        <r>
          <rPr>
            <b/>
            <sz val="9"/>
            <color indexed="81"/>
            <rFont val="Tahoma"/>
            <family val="2"/>
          </rPr>
          <t>luciano dutra:</t>
        </r>
        <r>
          <rPr>
            <sz val="9"/>
            <color indexed="81"/>
            <rFont val="Tahoma"/>
            <family val="2"/>
          </rPr>
          <t xml:space="preserve">
1000,00 - Cameras e alarme Sítio</t>
        </r>
      </text>
    </comment>
    <comment ref="H27" authorId="1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Pintura carenagem moto</t>
        </r>
      </text>
    </comment>
    <comment ref="J27" authorId="0">
      <text>
        <r>
          <rPr>
            <b/>
            <sz val="9"/>
            <color indexed="81"/>
            <rFont val="Tahoma"/>
            <family val="2"/>
          </rPr>
          <t>Luciano Escobar:</t>
        </r>
        <r>
          <rPr>
            <sz val="9"/>
            <color indexed="81"/>
            <rFont val="Tahoma"/>
            <family val="2"/>
          </rPr>
          <t xml:space="preserve">
92,40 Produtos de limpeza
70,00 Mão Obra Relação Moto</t>
        </r>
      </text>
    </comment>
    <comment ref="L27" authorId="0">
      <text>
        <r>
          <rPr>
            <b/>
            <sz val="9"/>
            <color indexed="81"/>
            <rFont val="Tahoma"/>
            <family val="2"/>
          </rPr>
          <t>Luciano Escobar:</t>
        </r>
        <r>
          <rPr>
            <sz val="9"/>
            <color indexed="81"/>
            <rFont val="Tahoma"/>
            <family val="2"/>
          </rPr>
          <t xml:space="preserve">
Multas da CG150 = 939,09
Conserto CG150 = 120,00
DUTI CG150 = 261,16
tarifa detran cg150 = 18,20</t>
        </r>
      </text>
    </comment>
    <comment ref="M27" authorId="0">
      <text>
        <r>
          <rPr>
            <b/>
            <sz val="9"/>
            <color indexed="81"/>
            <rFont val="Tahoma"/>
            <family val="2"/>
          </rPr>
          <t>Luciano Escobar:</t>
        </r>
        <r>
          <rPr>
            <sz val="9"/>
            <color indexed="81"/>
            <rFont val="Tahoma"/>
            <family val="2"/>
          </rPr>
          <t xml:space="preserve">
170,00 - Parafusos freio moto
1524,60 - Pneus moto</t>
        </r>
      </text>
    </comment>
    <comment ref="N27" authorId="2">
      <text>
        <r>
          <rPr>
            <b/>
            <sz val="9"/>
            <color indexed="81"/>
            <rFont val="Tahoma"/>
            <family val="2"/>
          </rPr>
          <t>luciano dutra:</t>
        </r>
        <r>
          <rPr>
            <sz val="9"/>
            <color indexed="81"/>
            <rFont val="Tahoma"/>
            <family val="2"/>
          </rPr>
          <t xml:space="preserve">
75,00 - Piscas moto
40,00 - Troca pneus
335,95 - Suporte placa+pisca+adapt.</t>
        </r>
      </text>
    </comment>
    <comment ref="D29" authorId="2">
      <text>
        <r>
          <rPr>
            <b/>
            <sz val="9"/>
            <color indexed="81"/>
            <rFont val="Tahoma"/>
            <family val="2"/>
          </rPr>
          <t>luciano dutra:</t>
        </r>
        <r>
          <rPr>
            <sz val="9"/>
            <color indexed="81"/>
            <rFont val="Tahoma"/>
            <family val="2"/>
          </rPr>
          <t xml:space="preserve">
CUSTO BAHIA = 716,43
CUSTO AMETISTA = 357,97
</t>
        </r>
      </text>
    </comment>
    <comment ref="F29" authorId="1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capacete moto = 100
chocolate mae = 34
chocolate crianças = 56
Pizza Navegantes = 40</t>
        </r>
      </text>
    </comment>
    <comment ref="G29" authorId="1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55,00 - compra do gás
86,99 - Quebra de caixa, não sei o que aconteceu..
16/05/23</t>
        </r>
      </text>
    </comment>
    <comment ref="H29" authorId="1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Presente Marcia</t>
        </r>
      </text>
    </comment>
    <comment ref="I29" authorId="1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Presente Marcia</t>
        </r>
      </text>
    </comment>
    <comment ref="J29" authorId="0">
      <text>
        <r>
          <rPr>
            <b/>
            <sz val="9"/>
            <color indexed="81"/>
            <rFont val="Tahoma"/>
            <family val="2"/>
          </rPr>
          <t>Luciano Escobar:</t>
        </r>
        <r>
          <rPr>
            <sz val="9"/>
            <color indexed="81"/>
            <rFont val="Tahoma"/>
            <family val="2"/>
          </rPr>
          <t xml:space="preserve">
205,00 = Devo Marcia
670,00 = Devo Malu</t>
        </r>
      </text>
    </comment>
    <comment ref="K29" authorId="0">
      <text>
        <r>
          <rPr>
            <b/>
            <sz val="9"/>
            <color indexed="81"/>
            <rFont val="Tahoma"/>
            <family val="2"/>
          </rPr>
          <t>Luciano Escobar:</t>
        </r>
        <r>
          <rPr>
            <sz val="9"/>
            <color indexed="81"/>
            <rFont val="Tahoma"/>
            <family val="2"/>
          </rPr>
          <t xml:space="preserve">
28,76 - Não sei o que é
dia 9/9 às 21:41</t>
        </r>
      </text>
    </comment>
    <comment ref="L29" authorId="0">
      <text>
        <r>
          <rPr>
            <b/>
            <sz val="9"/>
            <color indexed="81"/>
            <rFont val="Tahoma"/>
            <family val="2"/>
          </rPr>
          <t>Luciano Escobar:</t>
        </r>
        <r>
          <rPr>
            <sz val="9"/>
            <color indexed="81"/>
            <rFont val="Tahoma"/>
            <family val="2"/>
          </rPr>
          <t xml:space="preserve">
Lavanderia roupas</t>
        </r>
      </text>
    </comment>
    <comment ref="M29" authorId="0">
      <text>
        <r>
          <rPr>
            <b/>
            <sz val="9"/>
            <color indexed="81"/>
            <rFont val="Tahoma"/>
            <family val="2"/>
          </rPr>
          <t>Luciano Escobar:</t>
        </r>
        <r>
          <rPr>
            <sz val="9"/>
            <color indexed="81"/>
            <rFont val="Tahoma"/>
            <family val="2"/>
          </rPr>
          <t xml:space="preserve">
10,00 - Paçoca igreja
150,00 - Ração Dogs
20,00 - Lavagem roupas
70,00 - Saldo de NF para mãe</t>
        </r>
      </text>
    </comment>
    <comment ref="N29" authorId="2">
      <text>
        <r>
          <rPr>
            <b/>
            <sz val="9"/>
            <color indexed="81"/>
            <rFont val="Tahoma"/>
            <family val="2"/>
          </rPr>
          <t>luciano dutra:</t>
        </r>
        <r>
          <rPr>
            <sz val="9"/>
            <color indexed="81"/>
            <rFont val="Tahoma"/>
            <family val="2"/>
          </rPr>
          <t xml:space="preserve">
15,00 - Estacionamento Centro (exame demissional)
20,50 - Veneno Rato
500,00 - Devolução Caixinha da Engeporto</t>
        </r>
      </text>
    </comment>
    <comment ref="N30" authorId="2">
      <text>
        <r>
          <rPr>
            <b/>
            <sz val="9"/>
            <color indexed="81"/>
            <rFont val="Tahoma"/>
            <family val="2"/>
          </rPr>
          <t>luciano dutra:</t>
        </r>
        <r>
          <rPr>
            <sz val="9"/>
            <color indexed="81"/>
            <rFont val="Tahoma"/>
            <family val="2"/>
          </rPr>
          <t xml:space="preserve">
95,19 - Tala+Ombreira</t>
        </r>
      </text>
    </comment>
    <comment ref="F34" authorId="1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COMPRA DE DOLAR
USD 20 = 101,43
+ 0,39 IOF</t>
        </r>
      </text>
    </comment>
    <comment ref="G34" authorId="1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COMPRA DE DOLAR
USD 20 = 100,59
+ 0,38 IOF
0,96 Venda Dolar IOF
2,81 = Compra 100 USD</t>
        </r>
      </text>
    </comment>
    <comment ref="J35" authorId="0">
      <text>
        <r>
          <rPr>
            <b/>
            <sz val="9"/>
            <color indexed="81"/>
            <rFont val="Tahoma"/>
            <family val="2"/>
          </rPr>
          <t>Luciano Escobar:</t>
        </r>
        <r>
          <rPr>
            <sz val="9"/>
            <color indexed="81"/>
            <rFont val="Tahoma"/>
            <family val="2"/>
          </rPr>
          <t xml:space="preserve">
Almoço Luciano, Mailson = 102,00</t>
        </r>
      </text>
    </comment>
    <comment ref="L35" authorId="0">
      <text>
        <r>
          <rPr>
            <b/>
            <sz val="9"/>
            <color indexed="81"/>
            <rFont val="Tahoma"/>
            <family val="2"/>
          </rPr>
          <t>Luciano Escobar:</t>
        </r>
        <r>
          <rPr>
            <sz val="9"/>
            <color indexed="81"/>
            <rFont val="Tahoma"/>
            <family val="2"/>
          </rPr>
          <t xml:space="preserve">
52,00 - Ferramenta válvula gás (Fabiana)
22,67 - Parafusos e bucha</t>
        </r>
      </text>
    </comment>
    <comment ref="L36" authorId="0">
      <text>
        <r>
          <rPr>
            <b/>
            <sz val="9"/>
            <color indexed="81"/>
            <rFont val="Tahoma"/>
            <family val="2"/>
          </rPr>
          <t>Luciano Escobar:</t>
        </r>
        <r>
          <rPr>
            <sz val="9"/>
            <color indexed="81"/>
            <rFont val="Tahoma"/>
            <family val="2"/>
          </rPr>
          <t xml:space="preserve">
Emprestado para Daieni
pagamento dia 5/12/23</t>
        </r>
      </text>
    </comment>
    <comment ref="L38" authorId="0">
      <text>
        <r>
          <rPr>
            <b/>
            <sz val="9"/>
            <color indexed="81"/>
            <rFont val="Tahoma"/>
            <family val="2"/>
          </rPr>
          <t>Luciano Escobar:</t>
        </r>
        <r>
          <rPr>
            <sz val="9"/>
            <color indexed="81"/>
            <rFont val="Tahoma"/>
            <family val="2"/>
          </rPr>
          <t xml:space="preserve">
1000,00 Pagamaneto Marcia</t>
        </r>
      </text>
    </comment>
    <comment ref="D42" authorId="2">
      <text>
        <r>
          <rPr>
            <b/>
            <sz val="9"/>
            <color indexed="81"/>
            <rFont val="Tahoma"/>
            <family val="2"/>
          </rPr>
          <t>luciano dutra:</t>
        </r>
        <r>
          <rPr>
            <sz val="9"/>
            <color indexed="81"/>
            <rFont val="Tahoma"/>
            <family val="2"/>
          </rPr>
          <t xml:space="preserve">
Férias e CashBack
1704,00 (Férias vendidas 10 Dias)</t>
        </r>
      </text>
    </comment>
    <comment ref="E42" authorId="1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valores a receber = 229,25</t>
        </r>
      </text>
    </comment>
    <comment ref="F42" authorId="1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Rendimento InvestMais de 4,65
Cashback fatura cartão de 1,90
Trabalho com Mailson de 1000,00
</t>
        </r>
      </text>
    </comment>
    <comment ref="G42" authorId="1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2,00 CashBack gasolina
1,46 CashBack cartão crédito
1,01 CashBack gasolina
253,16 Venda de Dolar
1,37 CashBack gasolina
0,90 CashBack gasolina
1,46 CashBack cartão crédito
1,29 CashBack gasolina
6,5k Cerca elétrica</t>
        </r>
      </text>
    </comment>
    <comment ref="H42" authorId="1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CASHBACK 1,43 DE GASOLINA 71,28</t>
        </r>
      </text>
    </comment>
    <comment ref="I42" authorId="1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Serviço elétrica NEGO CAROL</t>
        </r>
      </text>
    </comment>
    <comment ref="J42" authorId="0">
      <text>
        <r>
          <rPr>
            <b/>
            <sz val="9"/>
            <color indexed="81"/>
            <rFont val="Tahoma"/>
            <family val="2"/>
          </rPr>
          <t>Luciano Escobar:</t>
        </r>
        <r>
          <rPr>
            <sz val="9"/>
            <color indexed="81"/>
            <rFont val="Tahoma"/>
            <family val="2"/>
          </rPr>
          <t xml:space="preserve">
2343,70 = IRRF 2022
800,00 = SERVIÇO PIQUET</t>
        </r>
      </text>
    </comment>
    <comment ref="K42" authorId="0">
      <text>
        <r>
          <rPr>
            <b/>
            <sz val="9"/>
            <color indexed="81"/>
            <rFont val="Tahoma"/>
            <family val="2"/>
          </rPr>
          <t>Luciano Escobar:</t>
        </r>
        <r>
          <rPr>
            <sz val="9"/>
            <color indexed="81"/>
            <rFont val="Tahoma"/>
            <family val="2"/>
          </rPr>
          <t xml:space="preserve">
4500,00 = Serviço interfones (750,00 Mailson)
500,00 = Serviço Jane
250,00 = Serviço Fabi Humaitá
</t>
        </r>
      </text>
    </comment>
    <comment ref="L42" authorId="0">
      <text>
        <r>
          <rPr>
            <b/>
            <sz val="9"/>
            <color indexed="81"/>
            <rFont val="Tahoma"/>
            <family val="2"/>
          </rPr>
          <t>Luciano Escobar:</t>
        </r>
        <r>
          <rPr>
            <sz val="9"/>
            <color indexed="81"/>
            <rFont val="Tahoma"/>
            <family val="2"/>
          </rPr>
          <t xml:space="preserve">
Serviço na Fabiana Humaitá = 130,00
Serviço Ed. Lili = 1050,00
Serviço mármore Fabiana = 232,00</t>
        </r>
      </text>
    </comment>
    <comment ref="M42" authorId="0">
      <text>
        <r>
          <rPr>
            <b/>
            <sz val="9"/>
            <color indexed="81"/>
            <rFont val="Tahoma"/>
            <family val="2"/>
          </rPr>
          <t>Luciano Escobar:</t>
        </r>
        <r>
          <rPr>
            <sz val="9"/>
            <color indexed="81"/>
            <rFont val="Tahoma"/>
            <family val="2"/>
          </rPr>
          <t xml:space="preserve">
270,00 - Fabiana Humaitá
65,25 - ArCond. Gele
188,6 - Jane HotDog
3152,00 - 13 Salario</t>
        </r>
      </text>
    </comment>
    <comment ref="N42" authorId="2">
      <text>
        <r>
          <rPr>
            <b/>
            <sz val="9"/>
            <color indexed="81"/>
            <rFont val="Tahoma"/>
            <family val="2"/>
          </rPr>
          <t>luciano dutra:</t>
        </r>
        <r>
          <rPr>
            <sz val="9"/>
            <color indexed="81"/>
            <rFont val="Tahoma"/>
            <family val="2"/>
          </rPr>
          <t xml:space="preserve">
80,00 - Serviço na Ani (vizinha mãe)
162,50 - Serviço na Fabi Humaitá
14836,00 - Recisão Engeporto</t>
        </r>
      </text>
    </comment>
    <comment ref="R45" authorId="1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DINHEIRO NO MERCADO PAGO</t>
        </r>
      </text>
    </comment>
  </commentList>
</comments>
</file>

<file path=xl/comments5.xml><?xml version="1.0" encoding="utf-8"?>
<comments xmlns="http://schemas.openxmlformats.org/spreadsheetml/2006/main">
  <authors>
    <author>Autor</author>
    <author>luciano.escobar_ext</author>
  </authors>
  <commentList>
    <comment ref="BI23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Quanto de renda para viver?</t>
        </r>
      </text>
    </comment>
    <comment ref="BI24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Quanto de aporte mensal?
</t>
        </r>
      </text>
    </comment>
    <comment ref="K25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 valor total na minha carteira neste mês</t>
        </r>
      </text>
    </comment>
    <comment ref="L26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A data em que foi registrado o valor total da minha carteira.</t>
        </r>
      </text>
    </comment>
    <comment ref="M27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Quanto subiu em percentual de JAN para FEV..</t>
        </r>
      </text>
    </comment>
    <comment ref="Q27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Quanto subiu em percentual de FEV para MAR..</t>
        </r>
      </text>
    </comment>
    <comment ref="BI27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Valor atual na carteira</t>
        </r>
      </text>
    </comment>
    <comment ref="BI28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Rendimento atual em percentual
</t>
        </r>
      </text>
    </comment>
    <comment ref="Q34" authorId="1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DY mês da minha
carteira</t>
        </r>
      </text>
    </comment>
    <comment ref="R34" authorId="1">
      <text>
        <r>
          <rPr>
            <b/>
            <sz val="9"/>
            <color indexed="81"/>
            <rFont val="Tahoma"/>
            <family val="2"/>
          </rPr>
          <t xml:space="preserve">luciano.escobar_ext:
</t>
        </r>
        <r>
          <rPr>
            <sz val="9"/>
            <color indexed="81"/>
            <rFont val="Tahoma"/>
            <family val="2"/>
          </rPr>
          <t>Cópia de rendimentos deste mês</t>
        </r>
      </text>
    </comment>
    <comment ref="AE34" authorId="1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Qtde de cotas necessárias </t>
        </r>
        <r>
          <rPr>
            <b/>
            <sz val="9"/>
            <color indexed="81"/>
            <rFont val="Tahoma"/>
            <family val="2"/>
          </rPr>
          <t>A COMPRAR</t>
        </r>
        <r>
          <rPr>
            <sz val="9"/>
            <color indexed="81"/>
            <rFont val="Tahoma"/>
            <family val="2"/>
          </rPr>
          <t xml:space="preserve"> para os rendimentos se comprarem sozinhos</t>
        </r>
      </text>
    </comment>
    <comment ref="AF34" authorId="1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Qtde de cotas necessárias </t>
        </r>
        <r>
          <rPr>
            <b/>
            <sz val="9"/>
            <color indexed="81"/>
            <rFont val="Tahoma"/>
            <family val="2"/>
          </rPr>
          <t xml:space="preserve">A OBTER </t>
        </r>
        <r>
          <rPr>
            <sz val="9"/>
            <color indexed="81"/>
            <rFont val="Tahoma"/>
            <family val="2"/>
          </rPr>
          <t xml:space="preserve"> para os rendimentos se comprarem sozinhos 
</t>
        </r>
        <r>
          <rPr>
            <b/>
            <sz val="9"/>
            <color indexed="81"/>
            <rFont val="Tahoma"/>
            <family val="2"/>
          </rPr>
          <t>|ATUALIZAR A CADA MÊS|</t>
        </r>
      </text>
    </comment>
    <comment ref="AG34" authorId="1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Valor atual da cota</t>
        </r>
      </text>
    </comment>
    <comment ref="AH34" authorId="1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Total necessário para o investimento se </t>
        </r>
        <r>
          <rPr>
            <b/>
            <sz val="9"/>
            <color indexed="81"/>
            <rFont val="Tahoma"/>
            <family val="2"/>
          </rPr>
          <t>AUTO</t>
        </r>
        <r>
          <rPr>
            <sz val="9"/>
            <color indexed="81"/>
            <rFont val="Tahoma"/>
            <family val="2"/>
          </rPr>
          <t xml:space="preserve"> investir</t>
        </r>
      </text>
    </comment>
    <comment ref="AI34" authorId="1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Quanto falta comprar para a cota se auto investir</t>
        </r>
      </text>
    </comment>
    <comment ref="AJ34" authorId="1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Relação entre 
</t>
        </r>
        <r>
          <rPr>
            <b/>
            <sz val="9"/>
            <color indexed="81"/>
            <rFont val="Tahoma"/>
            <family val="2"/>
          </rPr>
          <t>PAGAMENTO DIVIDENDO</t>
        </r>
        <r>
          <rPr>
            <sz val="9"/>
            <color indexed="81"/>
            <rFont val="Tahoma"/>
            <family val="2"/>
          </rPr>
          <t xml:space="preserve"> e
</t>
        </r>
        <r>
          <rPr>
            <b/>
            <sz val="9"/>
            <color indexed="81"/>
            <rFont val="Tahoma"/>
            <family val="2"/>
          </rPr>
          <t xml:space="preserve">VALOR DA COTA.
</t>
        </r>
        <r>
          <rPr>
            <sz val="9"/>
            <color indexed="81"/>
            <rFont val="Tahoma"/>
            <family val="2"/>
          </rPr>
          <t xml:space="preserve">Quanto </t>
        </r>
        <r>
          <rPr>
            <b/>
            <sz val="9"/>
            <color indexed="81"/>
            <rFont val="Tahoma"/>
            <family val="2"/>
          </rPr>
          <t xml:space="preserve">MAIOR </t>
        </r>
        <r>
          <rPr>
            <sz val="9"/>
            <color indexed="81"/>
            <rFont val="Tahoma"/>
            <family val="2"/>
          </rPr>
          <t>melhor!</t>
        </r>
      </text>
    </comment>
    <comment ref="X51" authorId="1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Total de rendimentos no ano em relação ao valor total de cotas</t>
        </r>
      </text>
    </comment>
  </commentList>
</comments>
</file>

<file path=xl/comments6.xml><?xml version="1.0" encoding="utf-8"?>
<comments xmlns="http://schemas.openxmlformats.org/spreadsheetml/2006/main">
  <authors>
    <author>Luciano Escobar</author>
  </authors>
  <commentList>
    <comment ref="H11" authorId="0">
      <text>
        <r>
          <rPr>
            <b/>
            <sz val="9"/>
            <color indexed="81"/>
            <rFont val="Tahoma"/>
            <family val="2"/>
          </rPr>
          <t>Luciano Escobar:</t>
        </r>
        <r>
          <rPr>
            <sz val="9"/>
            <color indexed="81"/>
            <rFont val="Tahoma"/>
            <family val="2"/>
          </rPr>
          <t xml:space="preserve">
VALOR HEREC</t>
        </r>
      </text>
    </comment>
    <comment ref="D27" authorId="0">
      <text>
        <r>
          <rPr>
            <b/>
            <sz val="9"/>
            <color indexed="81"/>
            <rFont val="Tahoma"/>
            <family val="2"/>
          </rPr>
          <t>Luciano Escobar:</t>
        </r>
        <r>
          <rPr>
            <sz val="9"/>
            <color indexed="81"/>
            <rFont val="Tahoma"/>
            <family val="2"/>
          </rPr>
          <t xml:space="preserve">
Diferença entre 
vINVESTIDO e vATUAL</t>
        </r>
      </text>
    </comment>
    <comment ref="H32" authorId="0">
      <text>
        <r>
          <rPr>
            <b/>
            <sz val="9"/>
            <color indexed="81"/>
            <rFont val="Tahoma"/>
            <family val="2"/>
          </rPr>
          <t>Luciano Escobar:</t>
        </r>
        <r>
          <rPr>
            <sz val="9"/>
            <color indexed="81"/>
            <rFont val="Tahoma"/>
            <family val="2"/>
          </rPr>
          <t xml:space="preserve">
MAXI RENCI</t>
        </r>
      </text>
    </comment>
    <comment ref="H33" authorId="0">
      <text>
        <r>
          <rPr>
            <b/>
            <sz val="9"/>
            <color indexed="81"/>
            <rFont val="Tahoma"/>
            <family val="2"/>
          </rPr>
          <t>Luciano Escobar:</t>
        </r>
        <r>
          <rPr>
            <sz val="9"/>
            <color indexed="81"/>
            <rFont val="Tahoma"/>
            <family val="2"/>
          </rPr>
          <t xml:space="preserve">
BRIO ME CI ER</t>
        </r>
      </text>
    </comment>
    <comment ref="H34" authorId="0">
      <text>
        <r>
          <rPr>
            <b/>
            <sz val="9"/>
            <color indexed="81"/>
            <rFont val="Tahoma"/>
            <family val="2"/>
          </rPr>
          <t>Luciano Escobar:</t>
        </r>
        <r>
          <rPr>
            <sz val="9"/>
            <color indexed="81"/>
            <rFont val="Tahoma"/>
            <family val="2"/>
          </rPr>
          <t xml:space="preserve">
TG ATIVOCI</t>
        </r>
      </text>
    </comment>
    <comment ref="H36" authorId="0">
      <text>
        <r>
          <rPr>
            <b/>
            <sz val="9"/>
            <color indexed="81"/>
            <rFont val="Tahoma"/>
            <family val="2"/>
          </rPr>
          <t>Luciano Escobar:</t>
        </r>
        <r>
          <rPr>
            <sz val="9"/>
            <color indexed="81"/>
            <rFont val="Tahoma"/>
            <family val="2"/>
          </rPr>
          <t xml:space="preserve">
AUTONOMYCI ER</t>
        </r>
      </text>
    </comment>
    <comment ref="H38" authorId="0">
      <text>
        <r>
          <rPr>
            <b/>
            <sz val="9"/>
            <color indexed="81"/>
            <rFont val="Tahoma"/>
            <family val="2"/>
          </rPr>
          <t>Luciano Escobar:</t>
        </r>
        <r>
          <rPr>
            <sz val="9"/>
            <color indexed="81"/>
            <rFont val="Tahoma"/>
            <family val="2"/>
          </rPr>
          <t xml:space="preserve">
VALOR HECI ER - VGHF11
VALOR HEREC - VGHF13</t>
        </r>
      </text>
    </comment>
    <comment ref="H39" authorId="0">
      <text>
        <r>
          <rPr>
            <b/>
            <sz val="9"/>
            <color indexed="81"/>
            <rFont val="Tahoma"/>
            <family val="2"/>
          </rPr>
          <t>Luciano Escobar:</t>
        </r>
        <r>
          <rPr>
            <sz val="9"/>
            <color indexed="81"/>
            <rFont val="Tahoma"/>
            <family val="2"/>
          </rPr>
          <t xml:space="preserve">
URCA RENCI</t>
        </r>
      </text>
    </comment>
    <comment ref="H40" authorId="0">
      <text>
        <r>
          <rPr>
            <b/>
            <sz val="9"/>
            <color indexed="81"/>
            <rFont val="Tahoma"/>
            <family val="2"/>
          </rPr>
          <t>Luciano Escobar:</t>
        </r>
        <r>
          <rPr>
            <sz val="9"/>
            <color indexed="81"/>
            <rFont val="Tahoma"/>
            <family val="2"/>
          </rPr>
          <t xml:space="preserve">
XP CACI</t>
        </r>
      </text>
    </comment>
    <comment ref="H41" authorId="0">
      <text>
        <r>
          <rPr>
            <b/>
            <sz val="9"/>
            <color indexed="81"/>
            <rFont val="Tahoma"/>
            <family val="2"/>
          </rPr>
          <t>Luciano Escobar:</t>
        </r>
        <r>
          <rPr>
            <sz val="9"/>
            <color indexed="81"/>
            <rFont val="Tahoma"/>
            <family val="2"/>
          </rPr>
          <t xml:space="preserve">
FIAGRO VGIA CI ER</t>
        </r>
      </text>
    </comment>
    <comment ref="H44" authorId="0">
      <text>
        <r>
          <rPr>
            <b/>
            <sz val="9"/>
            <color indexed="81"/>
            <rFont val="Tahoma"/>
            <family val="2"/>
          </rPr>
          <t>Luciano Escobar:</t>
        </r>
        <r>
          <rPr>
            <sz val="9"/>
            <color indexed="81"/>
            <rFont val="Tahoma"/>
            <family val="2"/>
          </rPr>
          <t xml:space="preserve">
FIAGRO FGA CI ER</t>
        </r>
      </text>
    </comment>
    <comment ref="BG66" authorId="0">
      <text>
        <r>
          <rPr>
            <b/>
            <sz val="9"/>
            <color indexed="81"/>
            <rFont val="Tahoma"/>
            <family val="2"/>
          </rPr>
          <t>Luciano Escobar:</t>
        </r>
        <r>
          <rPr>
            <sz val="9"/>
            <color indexed="81"/>
            <rFont val="Tahoma"/>
            <family val="2"/>
          </rPr>
          <t xml:space="preserve">
VALOR INVESTIDO APRESENTADO NO APP</t>
        </r>
      </text>
    </comment>
    <comment ref="BH66" authorId="0">
      <text>
        <r>
          <rPr>
            <b/>
            <sz val="9"/>
            <color indexed="81"/>
            <rFont val="Tahoma"/>
            <family val="2"/>
          </rPr>
          <t>Luciano Escobar:</t>
        </r>
        <r>
          <rPr>
            <sz val="9"/>
            <color indexed="81"/>
            <rFont val="Tahoma"/>
            <family val="2"/>
          </rPr>
          <t xml:space="preserve">
LUCRO/DESPESA
DAS COTAS ATUAIS</t>
        </r>
      </text>
    </comment>
    <comment ref="BI66" authorId="0">
      <text>
        <r>
          <rPr>
            <b/>
            <sz val="9"/>
            <color indexed="81"/>
            <rFont val="Tahoma"/>
            <family val="2"/>
          </rPr>
          <t>Luciano Escobar:</t>
        </r>
        <r>
          <rPr>
            <sz val="9"/>
            <color indexed="81"/>
            <rFont val="Tahoma"/>
            <family val="2"/>
          </rPr>
          <t xml:space="preserve">
VALOR RENDIMENTOS
NA CARTEIRA</t>
        </r>
      </text>
    </comment>
    <comment ref="S133" authorId="0">
      <text>
        <r>
          <rPr>
            <b/>
            <sz val="9"/>
            <color indexed="81"/>
            <rFont val="Tahoma"/>
            <family val="2"/>
          </rPr>
          <t>Luciano Escobar:</t>
        </r>
        <r>
          <rPr>
            <sz val="9"/>
            <color indexed="81"/>
            <rFont val="Tahoma"/>
            <family val="2"/>
          </rPr>
          <t xml:space="preserve">
AINDA NÃO FOI VENDIDO</t>
        </r>
      </text>
    </comment>
  </commentList>
</comments>
</file>

<file path=xl/comments7.xml><?xml version="1.0" encoding="utf-8"?>
<comments xmlns="http://schemas.openxmlformats.org/spreadsheetml/2006/main">
  <authors>
    <author>luciano.escobar_ext</author>
    <author>Luciano Escobar</author>
  </authors>
  <commentList>
    <comment ref="B3" authorId="0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Total Comprado
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Total investido
</t>
        </r>
      </text>
    </comment>
    <comment ref="B6" authorId="0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Diferença entre valor que a instituição financeira ou casa de câmbiopaga pela compra da moeda estrangeira e o valor que recebe por essa mesma moeda no momento da venda ou empréstimo dessa quantia</t>
        </r>
      </text>
    </comment>
    <comment ref="B9" authorId="0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Imposto sobre operações financeiras, cobrado pela receita federal</t>
        </r>
      </text>
    </comment>
    <comment ref="B10" authorId="0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Valor referente a repasse do custo de uma transação internacional. Esses custos são referentes ao SWIFT e ao banco intermediário</t>
        </r>
      </text>
    </comment>
    <comment ref="B11" authorId="0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Valor Efetivo Total (VET)
Representa o custo de uma operação de câmbio em reais por moeda estrangeira, incluindo a taxa de câmbio, as tarifas e tributos incidentes sobre essa operação</t>
        </r>
      </text>
    </comment>
    <comment ref="B16" authorId="0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Total Vendido</t>
        </r>
      </text>
    </comment>
    <comment ref="C16" authorId="0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Total recebido
</t>
        </r>
      </text>
    </comment>
    <comment ref="B19" authorId="0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Diferença entre valor que a instituição financeira ou casa de câmbiopaga pela compra da moeda estrangeira e o valor que recebe por essa mesma moeda no momento da venda ou empréstimo dessa quantia</t>
        </r>
      </text>
    </comment>
    <comment ref="B22" authorId="0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Imposto sobre operações financeiras, cobrado pela receita federal</t>
        </r>
      </text>
    </comment>
    <comment ref="B23" authorId="0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Valor referente a repasse do custo de uma transação internacional. Esses custos são referentes ao SWIFT e ao banco intermediário</t>
        </r>
      </text>
    </comment>
    <comment ref="B24" authorId="0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Valor Efetivo Total (VET)
Representa o custo de uma operação de câmbio em reais por moeda estrangeira, incluindo a taxa de câmbio, as tarifas e tributos incidentes sobre essa operação</t>
        </r>
      </text>
    </comment>
    <comment ref="AE31" authorId="1">
      <text>
        <r>
          <rPr>
            <b/>
            <sz val="9"/>
            <color indexed="81"/>
            <rFont val="Tahoma"/>
            <family val="2"/>
          </rPr>
          <t xml:space="preserve">Luciano Escobar:
</t>
        </r>
        <r>
          <rPr>
            <sz val="9"/>
            <color indexed="81"/>
            <rFont val="Tahoma"/>
            <family val="2"/>
          </rPr>
          <t>Valor do Dollar</t>
        </r>
      </text>
    </comment>
    <comment ref="AD33" authorId="1">
      <text>
        <r>
          <rPr>
            <b/>
            <sz val="9"/>
            <color indexed="81"/>
            <rFont val="Tahoma"/>
            <family val="2"/>
          </rPr>
          <t>Luciano Escobar:</t>
        </r>
        <r>
          <rPr>
            <sz val="9"/>
            <color indexed="81"/>
            <rFont val="Tahoma"/>
            <family val="2"/>
          </rPr>
          <t xml:space="preserve">
Quantidade de cotas</t>
        </r>
      </text>
    </comment>
    <comment ref="AD34" authorId="1">
      <text>
        <r>
          <rPr>
            <b/>
            <sz val="9"/>
            <color indexed="81"/>
            <rFont val="Tahoma"/>
            <family val="2"/>
          </rPr>
          <t>Luciano Escobar:</t>
        </r>
        <r>
          <rPr>
            <sz val="9"/>
            <color indexed="81"/>
            <rFont val="Tahoma"/>
            <family val="2"/>
          </rPr>
          <t xml:space="preserve">
Valor de compra</t>
        </r>
      </text>
    </comment>
    <comment ref="AF34" authorId="1">
      <text>
        <r>
          <rPr>
            <b/>
            <sz val="9"/>
            <color indexed="81"/>
            <rFont val="Tahoma"/>
            <family val="2"/>
          </rPr>
          <t>Luciano Escobar:</t>
        </r>
        <r>
          <rPr>
            <sz val="9"/>
            <color indexed="81"/>
            <rFont val="Tahoma"/>
            <family val="2"/>
          </rPr>
          <t xml:space="preserve">
Valor de venda</t>
        </r>
      </text>
    </comment>
    <comment ref="AE37" authorId="1">
      <text>
        <r>
          <rPr>
            <b/>
            <sz val="9"/>
            <color indexed="81"/>
            <rFont val="Tahoma"/>
            <family val="2"/>
          </rPr>
          <t>Luciano Escobar:</t>
        </r>
        <r>
          <rPr>
            <sz val="9"/>
            <color indexed="81"/>
            <rFont val="Tahoma"/>
            <family val="2"/>
          </rPr>
          <t xml:space="preserve">
Percentual lucro obtido</t>
        </r>
      </text>
    </comment>
  </commentList>
</comments>
</file>

<file path=xl/comments8.xml><?xml version="1.0" encoding="utf-8"?>
<comments xmlns="http://schemas.openxmlformats.org/spreadsheetml/2006/main">
  <authors>
    <author>Luciano Escobar</author>
  </authors>
  <commentList>
    <comment ref="H11" authorId="0">
      <text>
        <r>
          <rPr>
            <b/>
            <sz val="9"/>
            <color indexed="81"/>
            <rFont val="Tahoma"/>
            <family val="2"/>
          </rPr>
          <t>Luciano Escobar:</t>
        </r>
        <r>
          <rPr>
            <sz val="9"/>
            <color indexed="81"/>
            <rFont val="Tahoma"/>
            <family val="2"/>
          </rPr>
          <t xml:space="preserve">
VALOR HEREC</t>
        </r>
      </text>
    </comment>
    <comment ref="D27" authorId="0">
      <text>
        <r>
          <rPr>
            <b/>
            <sz val="9"/>
            <color indexed="81"/>
            <rFont val="Tahoma"/>
            <family val="2"/>
          </rPr>
          <t>Luciano Escobar:</t>
        </r>
        <r>
          <rPr>
            <sz val="9"/>
            <color indexed="81"/>
            <rFont val="Tahoma"/>
            <family val="2"/>
          </rPr>
          <t xml:space="preserve">
Diferença entre 
vINVESTIDO e vATUAL</t>
        </r>
      </text>
    </comment>
    <comment ref="H32" authorId="0">
      <text>
        <r>
          <rPr>
            <b/>
            <sz val="9"/>
            <color indexed="81"/>
            <rFont val="Tahoma"/>
            <family val="2"/>
          </rPr>
          <t>Luciano Escobar:</t>
        </r>
        <r>
          <rPr>
            <sz val="9"/>
            <color indexed="81"/>
            <rFont val="Tahoma"/>
            <family val="2"/>
          </rPr>
          <t xml:space="preserve">
MAXI RENCI</t>
        </r>
      </text>
    </comment>
    <comment ref="H33" authorId="0">
      <text>
        <r>
          <rPr>
            <b/>
            <sz val="9"/>
            <color indexed="81"/>
            <rFont val="Tahoma"/>
            <family val="2"/>
          </rPr>
          <t>Luciano Escobar:</t>
        </r>
        <r>
          <rPr>
            <sz val="9"/>
            <color indexed="81"/>
            <rFont val="Tahoma"/>
            <family val="2"/>
          </rPr>
          <t xml:space="preserve">
BRIO ME CI ER</t>
        </r>
      </text>
    </comment>
    <comment ref="H34" authorId="0">
      <text>
        <r>
          <rPr>
            <b/>
            <sz val="9"/>
            <color indexed="81"/>
            <rFont val="Tahoma"/>
            <family val="2"/>
          </rPr>
          <t>Luciano Escobar:</t>
        </r>
        <r>
          <rPr>
            <sz val="9"/>
            <color indexed="81"/>
            <rFont val="Tahoma"/>
            <family val="2"/>
          </rPr>
          <t xml:space="preserve">
TG ATIVOCI</t>
        </r>
      </text>
    </comment>
    <comment ref="H36" authorId="0">
      <text>
        <r>
          <rPr>
            <b/>
            <sz val="9"/>
            <color indexed="81"/>
            <rFont val="Tahoma"/>
            <family val="2"/>
          </rPr>
          <t>Luciano Escobar:</t>
        </r>
        <r>
          <rPr>
            <sz val="9"/>
            <color indexed="81"/>
            <rFont val="Tahoma"/>
            <family val="2"/>
          </rPr>
          <t xml:space="preserve">
AUTONOMYCI ER</t>
        </r>
      </text>
    </comment>
    <comment ref="H38" authorId="0">
      <text>
        <r>
          <rPr>
            <b/>
            <sz val="9"/>
            <color indexed="81"/>
            <rFont val="Tahoma"/>
            <family val="2"/>
          </rPr>
          <t>Luciano Escobar:</t>
        </r>
        <r>
          <rPr>
            <sz val="9"/>
            <color indexed="81"/>
            <rFont val="Tahoma"/>
            <family val="2"/>
          </rPr>
          <t xml:space="preserve">
VALOR HECI ER - VGHF11
VALOR HEREC - VGHF13</t>
        </r>
      </text>
    </comment>
    <comment ref="H39" authorId="0">
      <text>
        <r>
          <rPr>
            <b/>
            <sz val="9"/>
            <color indexed="81"/>
            <rFont val="Tahoma"/>
            <family val="2"/>
          </rPr>
          <t>Luciano Escobar:</t>
        </r>
        <r>
          <rPr>
            <sz val="9"/>
            <color indexed="81"/>
            <rFont val="Tahoma"/>
            <family val="2"/>
          </rPr>
          <t xml:space="preserve">
URCA RENCI</t>
        </r>
      </text>
    </comment>
    <comment ref="H40" authorId="0">
      <text>
        <r>
          <rPr>
            <b/>
            <sz val="9"/>
            <color indexed="81"/>
            <rFont val="Tahoma"/>
            <family val="2"/>
          </rPr>
          <t>Luciano Escobar:</t>
        </r>
        <r>
          <rPr>
            <sz val="9"/>
            <color indexed="81"/>
            <rFont val="Tahoma"/>
            <family val="2"/>
          </rPr>
          <t xml:space="preserve">
XP CACI</t>
        </r>
      </text>
    </comment>
    <comment ref="H41" authorId="0">
      <text>
        <r>
          <rPr>
            <b/>
            <sz val="9"/>
            <color indexed="81"/>
            <rFont val="Tahoma"/>
            <family val="2"/>
          </rPr>
          <t>Luciano Escobar:</t>
        </r>
        <r>
          <rPr>
            <sz val="9"/>
            <color indexed="81"/>
            <rFont val="Tahoma"/>
            <family val="2"/>
          </rPr>
          <t xml:space="preserve">
FIAGRO VGIA CI ER</t>
        </r>
      </text>
    </comment>
    <comment ref="H44" authorId="0">
      <text>
        <r>
          <rPr>
            <b/>
            <sz val="9"/>
            <color indexed="81"/>
            <rFont val="Tahoma"/>
            <family val="2"/>
          </rPr>
          <t>Luciano Escobar:</t>
        </r>
        <r>
          <rPr>
            <sz val="9"/>
            <color indexed="81"/>
            <rFont val="Tahoma"/>
            <family val="2"/>
          </rPr>
          <t xml:space="preserve">
FIAGRO FGA CI ER</t>
        </r>
      </text>
    </comment>
    <comment ref="S133" authorId="0">
      <text>
        <r>
          <rPr>
            <b/>
            <sz val="9"/>
            <color indexed="81"/>
            <rFont val="Tahoma"/>
            <family val="2"/>
          </rPr>
          <t>Luciano Escobar:</t>
        </r>
        <r>
          <rPr>
            <sz val="9"/>
            <color indexed="81"/>
            <rFont val="Tahoma"/>
            <family val="2"/>
          </rPr>
          <t xml:space="preserve">
AINDA NÃO FOI VENDIDO</t>
        </r>
      </text>
    </comment>
  </commentList>
</comments>
</file>

<file path=xl/sharedStrings.xml><?xml version="1.0" encoding="utf-8"?>
<sst xmlns="http://schemas.openxmlformats.org/spreadsheetml/2006/main" count="3936" uniqueCount="710">
  <si>
    <t>Descrição</t>
  </si>
  <si>
    <t>Data</t>
  </si>
  <si>
    <t>Total</t>
  </si>
  <si>
    <t>Marcia</t>
  </si>
  <si>
    <t>Luciano</t>
  </si>
  <si>
    <t>CONTAS A PAGAR</t>
  </si>
  <si>
    <t>TOTAL ANUAL</t>
  </si>
  <si>
    <t>VENCIMENTOS</t>
  </si>
  <si>
    <t>Descricão</t>
  </si>
  <si>
    <t>FIXAS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</si>
  <si>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</si>
  <si>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</si>
  <si>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</si>
  <si>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</si>
  <si>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</si>
  <si>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</si>
  <si>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</si>
  <si>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</si>
  <si>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</si>
  <si>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</si>
  <si>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</si>
  <si>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</si>
  <si>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MOTO</t>
  </si>
  <si>
    <t>2 DE 2</t>
  </si>
  <si>
    <t>ALUGUEL</t>
  </si>
  <si>
    <t>ÁGUA</t>
  </si>
  <si>
    <t>DIA 10</t>
  </si>
  <si>
    <t>FACULDADE</t>
  </si>
  <si>
    <t>ESCOLA FILHO</t>
  </si>
  <si>
    <t>Faculdade JAN/22</t>
  </si>
  <si>
    <t>DIA 20</t>
  </si>
  <si>
    <t>CELULAR</t>
  </si>
  <si>
    <t>CARTÃO CRÉDITO</t>
  </si>
  <si>
    <t>LUZ</t>
  </si>
  <si>
    <t>DIA 28</t>
  </si>
  <si>
    <t>VARIÁVEIS</t>
  </si>
  <si>
    <t>GASOLINA</t>
  </si>
  <si>
    <t>DESPESA MENSAL</t>
  </si>
  <si>
    <t>ADIANTAMENTO</t>
  </si>
  <si>
    <t>SALÁRIO</t>
  </si>
  <si>
    <t>OUTROS</t>
  </si>
  <si>
    <t>RECEITA MENSAL</t>
  </si>
  <si>
    <t>LUCRO MENSAL</t>
  </si>
  <si>
    <t>LUCRO</t>
  </si>
  <si>
    <t>GASTOS</t>
  </si>
  <si>
    <t>TOTAL</t>
  </si>
  <si>
    <t>INTERNET</t>
  </si>
  <si>
    <t>DIA 3</t>
  </si>
  <si>
    <t>Ceee JAN/22</t>
  </si>
  <si>
    <t>Aluguel + Água JAN/22</t>
  </si>
  <si>
    <t>Internet JAN/22</t>
  </si>
  <si>
    <t>ANIMAIS</t>
  </si>
  <si>
    <t>TRANSPORTE</t>
  </si>
  <si>
    <t>MANUT. IMÓVEL</t>
  </si>
  <si>
    <t>MANUT. VEICULAR</t>
  </si>
  <si>
    <t>PLANOS</t>
  </si>
  <si>
    <t>LAZER</t>
  </si>
  <si>
    <t>ALIMENTAÇÃO</t>
  </si>
  <si>
    <t>SAÚDE</t>
  </si>
  <si>
    <t>MÓVEIS</t>
  </si>
  <si>
    <t>3 DE 4</t>
  </si>
  <si>
    <t>7 DE 10</t>
  </si>
  <si>
    <t>IMPOSTOS</t>
  </si>
  <si>
    <t>Tipo</t>
  </si>
  <si>
    <t>Pagamento</t>
  </si>
  <si>
    <t>LUCIANO</t>
  </si>
  <si>
    <t>AMBOS</t>
  </si>
  <si>
    <t>MARCIA</t>
  </si>
  <si>
    <t>8 DE 10</t>
  </si>
  <si>
    <t>3 DE 6</t>
  </si>
  <si>
    <t>4 DE 6</t>
  </si>
  <si>
    <t>C&amp;A (CEL MAE)</t>
  </si>
  <si>
    <t>4 DE 10</t>
  </si>
  <si>
    <t>3 DE 10</t>
  </si>
  <si>
    <t>Sofá</t>
  </si>
  <si>
    <t>Internet</t>
  </si>
  <si>
    <t>Luz</t>
  </si>
  <si>
    <t>Aluguel</t>
  </si>
  <si>
    <t>Água</t>
  </si>
  <si>
    <t>PostoAlgarve</t>
  </si>
  <si>
    <t>POR 2</t>
  </si>
  <si>
    <t>PostoAgronomia</t>
  </si>
  <si>
    <t>SublimeAcademia</t>
  </si>
  <si>
    <t>Krai(Tênis Filho)</t>
  </si>
  <si>
    <t>RoupasFilho</t>
  </si>
  <si>
    <t>SEGUROS</t>
  </si>
  <si>
    <t>CARRO</t>
  </si>
  <si>
    <t>SEGURADORA</t>
  </si>
  <si>
    <t>DATA INÍCIO</t>
  </si>
  <si>
    <t>DATA FINAL</t>
  </si>
  <si>
    <t>CONDIÇÕES</t>
  </si>
  <si>
    <t>DESCRIÇÃO</t>
  </si>
  <si>
    <t>MITSUI</t>
  </si>
  <si>
    <t>N° APOLICE</t>
  </si>
  <si>
    <t>COBERTURA</t>
  </si>
  <si>
    <t>INDENIZAÇÃO</t>
  </si>
  <si>
    <t>100% FIPE</t>
  </si>
  <si>
    <t>FRANQUIA</t>
  </si>
  <si>
    <t>CORRETORA</t>
  </si>
  <si>
    <t>1+5</t>
  </si>
  <si>
    <t>VALOR PROPOSTA</t>
  </si>
  <si>
    <t>CRISTINA</t>
  </si>
  <si>
    <t>SUHAI</t>
  </si>
  <si>
    <t>ROUBO/FURTO</t>
  </si>
  <si>
    <t>3x</t>
  </si>
  <si>
    <t>2021/2022</t>
  </si>
  <si>
    <t>2022/2023</t>
  </si>
  <si>
    <t>MóveisAirmax</t>
  </si>
  <si>
    <t>MercadoPago</t>
  </si>
  <si>
    <t>TvFilho</t>
  </si>
  <si>
    <r>
      <rPr>
        <b/>
        <i/>
        <u/>
        <sz val="11"/>
        <color theme="1"/>
        <rFont val="Calibri"/>
        <family val="2"/>
        <scheme val="minor"/>
      </rPr>
      <t>VGHF</t>
    </r>
    <r>
      <rPr>
        <sz val="11"/>
        <color theme="1"/>
        <rFont val="Calibri"/>
        <family val="2"/>
        <scheme val="minor"/>
      </rPr>
      <t xml:space="preserve"> É O INSS DA MARCINHA</t>
    </r>
  </si>
  <si>
    <t>Bellenzier</t>
  </si>
  <si>
    <t>AtacadãoRação</t>
  </si>
  <si>
    <t>B12Mercado</t>
  </si>
  <si>
    <t>3 DE 12</t>
  </si>
  <si>
    <t>Espetão</t>
  </si>
  <si>
    <t>AlbertoBins</t>
  </si>
  <si>
    <t>ViaCalçados</t>
  </si>
  <si>
    <t>BazarBizz</t>
  </si>
  <si>
    <t>MESES DE 2023</t>
  </si>
  <si>
    <t>FILHO</t>
  </si>
  <si>
    <t>RENDA FIXA</t>
  </si>
  <si>
    <t>RENDA VARIÁVEL</t>
  </si>
  <si>
    <t>MANUT. IMÓVEIS</t>
  </si>
  <si>
    <t>DIA 19</t>
  </si>
  <si>
    <t>MANUT. MÓVEL</t>
  </si>
  <si>
    <t>JulioCesar</t>
  </si>
  <si>
    <t>1 DE 4</t>
  </si>
  <si>
    <t>CRÉDITO BTG</t>
  </si>
  <si>
    <t>CRÉDITO INTER</t>
  </si>
  <si>
    <t>CARTÃO LUCIANO</t>
  </si>
  <si>
    <t>CARTÃO MARCIA</t>
  </si>
  <si>
    <t>CARTÃO DE TODOS</t>
  </si>
  <si>
    <t>CARTÕES DE CRÉDITO</t>
  </si>
  <si>
    <t>CONTAS</t>
  </si>
  <si>
    <t>AmazonPrime</t>
  </si>
  <si>
    <t>9 DE 10</t>
  </si>
  <si>
    <t>5 DE 6</t>
  </si>
  <si>
    <t>5 DE 10</t>
  </si>
  <si>
    <t>4 DE 12</t>
  </si>
  <si>
    <t>4 DE 4</t>
  </si>
  <si>
    <t>2 DE 4</t>
  </si>
  <si>
    <t>LaFesta</t>
  </si>
  <si>
    <t>ESTUDOS</t>
  </si>
  <si>
    <t>TaxaEmbarque</t>
  </si>
  <si>
    <t>AzulPassagens</t>
  </si>
  <si>
    <t>LatamPassagens</t>
  </si>
  <si>
    <t>Gasolina</t>
  </si>
  <si>
    <t>1 DE 10</t>
  </si>
  <si>
    <t>10 DE 10</t>
  </si>
  <si>
    <t>6 DE 6</t>
  </si>
  <si>
    <t>5 DE 12</t>
  </si>
  <si>
    <t>6 DE 10</t>
  </si>
  <si>
    <t>LivrosFilho</t>
  </si>
  <si>
    <t>1 DE 5</t>
  </si>
  <si>
    <t>1 DE 2</t>
  </si>
  <si>
    <t>2 DE 5</t>
  </si>
  <si>
    <t>2 DE 10</t>
  </si>
  <si>
    <t>CARTEIRA</t>
  </si>
  <si>
    <t>LivrosDidáticosFilho</t>
  </si>
  <si>
    <t>TAXA A.A</t>
  </si>
  <si>
    <t>PERÍODO</t>
  </si>
  <si>
    <t>IR</t>
  </si>
  <si>
    <t>CDI</t>
  </si>
  <si>
    <t>CDB PRÉ</t>
  </si>
  <si>
    <t>CDB PÓS</t>
  </si>
  <si>
    <t>LCI PRÉ</t>
  </si>
  <si>
    <t>LCI PÓS</t>
  </si>
  <si>
    <t xml:space="preserve">Percentual </t>
  </si>
  <si>
    <t>Tx a.a</t>
  </si>
  <si>
    <t>181-360</t>
  </si>
  <si>
    <t>Tx a.m</t>
  </si>
  <si>
    <t>361-720</t>
  </si>
  <si>
    <t>Rendimento Real</t>
  </si>
  <si>
    <t>Valor Presente</t>
  </si>
  <si>
    <t>Rentabilidade</t>
  </si>
  <si>
    <t>Inflação</t>
  </si>
  <si>
    <t>CDB</t>
  </si>
  <si>
    <t>Tempo anos</t>
  </si>
  <si>
    <t>IR no período</t>
  </si>
  <si>
    <t>Valor Futuro</t>
  </si>
  <si>
    <t>Valor de IR</t>
  </si>
  <si>
    <t>Valor Real</t>
  </si>
  <si>
    <t>Rend. No Períod.</t>
  </si>
  <si>
    <t>Tx bruta</t>
  </si>
  <si>
    <t>Imposto Renda</t>
  </si>
  <si>
    <t>Aportes</t>
  </si>
  <si>
    <t>Rendimento</t>
  </si>
  <si>
    <t>Juros</t>
  </si>
  <si>
    <t>Mês</t>
  </si>
  <si>
    <t>Valor Total</t>
  </si>
  <si>
    <t>Atual Carteira</t>
  </si>
  <si>
    <t>Montante</t>
  </si>
  <si>
    <t>Renda</t>
  </si>
  <si>
    <t>Ano Aprox.</t>
  </si>
  <si>
    <t>Idade Aprox.</t>
  </si>
  <si>
    <t>TOTAL DE RENDIM.</t>
  </si>
  <si>
    <t>REND. DA CARTEIRA</t>
  </si>
  <si>
    <t>TOTAL DE COTAS</t>
  </si>
  <si>
    <t>Anos Rest.</t>
  </si>
  <si>
    <t>Meses Rest.</t>
  </si>
  <si>
    <t>Data Atual</t>
  </si>
  <si>
    <t>Aposentadoria FII</t>
  </si>
  <si>
    <t>FUNDO DE TIJOLO</t>
  </si>
  <si>
    <t>FUNDO DE PAPEL</t>
  </si>
  <si>
    <t>Anos</t>
  </si>
  <si>
    <t>Rend. Tot</t>
  </si>
  <si>
    <t>Rend/cota</t>
  </si>
  <si>
    <t>Cotas</t>
  </si>
  <si>
    <t>Ticker</t>
  </si>
  <si>
    <t>QT</t>
  </si>
  <si>
    <t>REND.</t>
  </si>
  <si>
    <t>COTAS</t>
  </si>
  <si>
    <t>Segmento</t>
  </si>
  <si>
    <t>PLANEJAMENTO FUTURO COM FUNDOS IMOBILIÁRIOS</t>
  </si>
  <si>
    <t>Dezembro</t>
  </si>
  <si>
    <t>Novembro</t>
  </si>
  <si>
    <t>Outubro</t>
  </si>
  <si>
    <t>Setembro</t>
  </si>
  <si>
    <t>Agosto</t>
  </si>
  <si>
    <t>Julho</t>
  </si>
  <si>
    <t>Junho</t>
  </si>
  <si>
    <t>Maio</t>
  </si>
  <si>
    <t>Abril</t>
  </si>
  <si>
    <t>Março</t>
  </si>
  <si>
    <t>Fevereiro</t>
  </si>
  <si>
    <t>Janeiro</t>
  </si>
  <si>
    <t>Fundos imobiliarios</t>
  </si>
  <si>
    <t>VENDA</t>
  </si>
  <si>
    <t>total</t>
  </si>
  <si>
    <t>V. Total</t>
  </si>
  <si>
    <t>V. Cota</t>
  </si>
  <si>
    <t>Qtd COTA</t>
  </si>
  <si>
    <t>Valor</t>
  </si>
  <si>
    <t>URPR11</t>
  </si>
  <si>
    <t>CPTS11</t>
  </si>
  <si>
    <t>BIME11</t>
  </si>
  <si>
    <t>IRDM11</t>
  </si>
  <si>
    <t>BBPO11</t>
  </si>
  <si>
    <t>XPLG11</t>
  </si>
  <si>
    <t>VGHF11</t>
  </si>
  <si>
    <t>RZAK11</t>
  </si>
  <si>
    <t>KISU11</t>
  </si>
  <si>
    <t>MXRF11</t>
  </si>
  <si>
    <t>XPCM11</t>
  </si>
  <si>
    <t>GALPÃO LOGÍSTICO</t>
  </si>
  <si>
    <t>QUANTIDADE MENSAL DE COTAS</t>
  </si>
  <si>
    <t>RENDIMENTO MENSAL DOS FUNDOS</t>
  </si>
  <si>
    <t>CIELO</t>
  </si>
  <si>
    <t>DIVERSIFICAÇÃO RENDIMENTOS DA CARTEIRA</t>
  </si>
  <si>
    <t>RENDIMENTO MENSAL TOTAL DA CARTEIRA</t>
  </si>
  <si>
    <t>Qtd. Cota</t>
  </si>
  <si>
    <t>RENDIMENTOS DE 2022</t>
  </si>
  <si>
    <t>RENDIMENTO ANUAL</t>
  </si>
  <si>
    <t>FutPark</t>
  </si>
  <si>
    <t>SadyRosa</t>
  </si>
  <si>
    <t>MoradaPastel</t>
  </si>
  <si>
    <t>MaterialEscolar</t>
  </si>
  <si>
    <t>1 DE 3</t>
  </si>
  <si>
    <t>Mochila</t>
  </si>
  <si>
    <t>TV e ASSINATURAS</t>
  </si>
  <si>
    <t>Uniforme Filho</t>
  </si>
  <si>
    <t>2 DE 3</t>
  </si>
  <si>
    <t>2 DE 6</t>
  </si>
  <si>
    <t>1 DE 6</t>
  </si>
  <si>
    <t>Relógio Filho</t>
  </si>
  <si>
    <t>DIA 07</t>
  </si>
  <si>
    <t>ESTÁ PAGO</t>
  </si>
  <si>
    <t>MALU</t>
  </si>
  <si>
    <t>"Guardar o dinheiro da aposentadoria em rendas variáveis e manter como reserva de emergência o dinheiro da MALU"</t>
  </si>
  <si>
    <t>OBJETIVO</t>
  </si>
  <si>
    <t>RESTAM</t>
  </si>
  <si>
    <t>AÇÃO</t>
  </si>
  <si>
    <t>COTA</t>
  </si>
  <si>
    <t>P/VP</t>
  </si>
  <si>
    <t>DY</t>
  </si>
  <si>
    <t>BBSE3</t>
  </si>
  <si>
    <t>PETR4</t>
  </si>
  <si>
    <t>VALE3</t>
  </si>
  <si>
    <t>UNIP6</t>
  </si>
  <si>
    <t>UNIP5</t>
  </si>
  <si>
    <t>TAEE11</t>
  </si>
  <si>
    <t>TAEE4</t>
  </si>
  <si>
    <t>MRFG3</t>
  </si>
  <si>
    <t>PETR3</t>
  </si>
  <si>
    <t>SUZB3</t>
  </si>
  <si>
    <t>KLBN11</t>
  </si>
  <si>
    <t>FII</t>
  </si>
  <si>
    <t>AIEC</t>
  </si>
  <si>
    <t>LIQ.</t>
  </si>
  <si>
    <t>LFT11</t>
  </si>
  <si>
    <t>KINP11</t>
  </si>
  <si>
    <t>TGAR11</t>
  </si>
  <si>
    <t>META DE COMPRA - INVESTIDOR QUALIFICADO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</si>
  <si>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</si>
  <si>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</si>
  <si>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</si>
  <si>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</si>
  <si>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</si>
  <si>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</si>
  <si>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</si>
  <si>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</si>
  <si>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</si>
  <si>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</si>
  <si>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DIA 25</t>
  </si>
  <si>
    <t>ESTOU DE OLHO NA COMPRA</t>
  </si>
  <si>
    <t>Cartão de todos</t>
  </si>
  <si>
    <t>MochilaMercLivre</t>
  </si>
  <si>
    <t>CapaCalçado</t>
  </si>
  <si>
    <t>CapaChuva</t>
  </si>
  <si>
    <t>PRÉ</t>
  </si>
  <si>
    <t>LCI</t>
  </si>
  <si>
    <t>CRI</t>
  </si>
  <si>
    <t>CRA</t>
  </si>
  <si>
    <t>PÓS</t>
  </si>
  <si>
    <t>TIPO</t>
  </si>
  <si>
    <t>MODALIDADE</t>
  </si>
  <si>
    <t>LOCAL</t>
  </si>
  <si>
    <t>INICIAL</t>
  </si>
  <si>
    <t>VENCIMENTO</t>
  </si>
  <si>
    <t>ADBANK</t>
  </si>
  <si>
    <t>PRAZO</t>
  </si>
  <si>
    <t>TAXA IR</t>
  </si>
  <si>
    <t>IMPOSTO</t>
  </si>
  <si>
    <t>BRUTO</t>
  </si>
  <si>
    <t>INVESTIMENTO</t>
  </si>
  <si>
    <t>LÍQUIDO</t>
  </si>
  <si>
    <t>REAL</t>
  </si>
  <si>
    <t>PREVISÃO</t>
  </si>
  <si>
    <t>DADOS CORRETORA</t>
  </si>
  <si>
    <t>DATAS</t>
  </si>
  <si>
    <t>VALORES</t>
  </si>
  <si>
    <t>TX JUROS</t>
  </si>
  <si>
    <t>JUROS C/ IR</t>
  </si>
  <si>
    <t>JUROS S/ IR</t>
  </si>
  <si>
    <t>Rentabilidade Líquida a.a</t>
  </si>
  <si>
    <t>Rentabilidade Líquida a.m.</t>
  </si>
  <si>
    <t>TX. JUROS</t>
  </si>
  <si>
    <t>PINE</t>
  </si>
  <si>
    <t>RFMateriais</t>
  </si>
  <si>
    <t>ShellBox</t>
  </si>
  <si>
    <t>MCDonalds</t>
  </si>
  <si>
    <t>AIEC11</t>
  </si>
  <si>
    <t>-</t>
  </si>
  <si>
    <t>BONSUCESSO S/A</t>
  </si>
  <si>
    <t>XPCA11</t>
  </si>
  <si>
    <t>3 DE 3</t>
  </si>
  <si>
    <t>6 DE 12</t>
  </si>
  <si>
    <t>3 DE 5</t>
  </si>
  <si>
    <t>TOTAL FATURA INTER</t>
  </si>
  <si>
    <t>TOTAL FATURAS</t>
  </si>
  <si>
    <t>CARTÃO 5848</t>
  </si>
  <si>
    <t>BTG BRUTO</t>
  </si>
  <si>
    <t>BTG CALCULADO</t>
  </si>
  <si>
    <t>=</t>
  </si>
  <si>
    <t>APOIO DO CARTÃO</t>
  </si>
  <si>
    <t>CONFERIR NO APP INTER</t>
  </si>
  <si>
    <t>CONFERIR NO APP BTG</t>
  </si>
  <si>
    <t>7 DE 12</t>
  </si>
  <si>
    <t>4 DE 5</t>
  </si>
  <si>
    <t>4D10</t>
  </si>
  <si>
    <t>4D5</t>
  </si>
  <si>
    <t>9D10</t>
  </si>
  <si>
    <t>8D12</t>
  </si>
  <si>
    <t>8D10</t>
  </si>
  <si>
    <t>5D10</t>
  </si>
  <si>
    <t>5D5</t>
  </si>
  <si>
    <t>3D3</t>
  </si>
  <si>
    <t>3D4</t>
  </si>
  <si>
    <t>3D5</t>
  </si>
  <si>
    <t>10D10</t>
  </si>
  <si>
    <t>9D12</t>
  </si>
  <si>
    <t>6D10</t>
  </si>
  <si>
    <t>4D4</t>
  </si>
  <si>
    <t>5D6</t>
  </si>
  <si>
    <t>7D12</t>
  </si>
  <si>
    <t>7D10</t>
  </si>
  <si>
    <t>4D6</t>
  </si>
  <si>
    <t>2D3</t>
  </si>
  <si>
    <t>2D4</t>
  </si>
  <si>
    <t>2D5</t>
  </si>
  <si>
    <t>10D12</t>
  </si>
  <si>
    <t>11D12</t>
  </si>
  <si>
    <t>12D12</t>
  </si>
  <si>
    <t>6D6</t>
  </si>
  <si>
    <t>Concórdia JAN/22</t>
  </si>
  <si>
    <t>Mandar para o BTG (MARCIA)</t>
  </si>
  <si>
    <t>INTER MARCIA</t>
  </si>
  <si>
    <t>INTER LUCIANO</t>
  </si>
  <si>
    <t>Mandar para o BTG (LUCIANO)</t>
  </si>
  <si>
    <t>SARE11</t>
  </si>
  <si>
    <t>GGRC11</t>
  </si>
  <si>
    <t>MÊS</t>
  </si>
  <si>
    <t>MÉDIA ANO</t>
  </si>
  <si>
    <t>MÉDIA</t>
  </si>
  <si>
    <t>Cotação comercial</t>
  </si>
  <si>
    <t>Spread</t>
  </si>
  <si>
    <t>Valor Operação</t>
  </si>
  <si>
    <t>IOF</t>
  </si>
  <si>
    <t>Taxa</t>
  </si>
  <si>
    <t>VET</t>
  </si>
  <si>
    <t>Valor R$</t>
  </si>
  <si>
    <t>Valor USD</t>
  </si>
  <si>
    <t>XPML11</t>
  </si>
  <si>
    <t>KNRI11</t>
  </si>
  <si>
    <t>KYeCamisinha</t>
  </si>
  <si>
    <t>ViaBento</t>
  </si>
  <si>
    <t>CarneAssada</t>
  </si>
  <si>
    <t>MáquinaCabelo</t>
  </si>
  <si>
    <t>1 DE 7</t>
  </si>
  <si>
    <t>BTG JAN/22</t>
  </si>
  <si>
    <t>INTER JAN/22</t>
  </si>
  <si>
    <t>Claro JAN/22</t>
  </si>
  <si>
    <t>CadeadoFreioMoto</t>
  </si>
  <si>
    <t>AGRO3</t>
  </si>
  <si>
    <t>CMIN3</t>
  </si>
  <si>
    <t>GOAU4</t>
  </si>
  <si>
    <t>BEES4</t>
  </si>
  <si>
    <t>AgroPassarinho</t>
  </si>
  <si>
    <t>RESERVA</t>
  </si>
  <si>
    <t>MENSAL</t>
  </si>
  <si>
    <t>APOSENTADORIA</t>
  </si>
  <si>
    <t>NewPort</t>
  </si>
  <si>
    <t>CartaoTodos</t>
  </si>
  <si>
    <t>8 DE 12</t>
  </si>
  <si>
    <t>5 DE 5</t>
  </si>
  <si>
    <t>2 DE 7</t>
  </si>
  <si>
    <t>TOTAL INVESTIDO</t>
  </si>
  <si>
    <t>TOTAL CARTEIRA</t>
  </si>
  <si>
    <t>RENTABILIDADE</t>
  </si>
  <si>
    <t>CUSTO POR COTA</t>
  </si>
  <si>
    <t>QTD. COTAS</t>
  </si>
  <si>
    <t>TOTAL r$ COTAS</t>
  </si>
  <si>
    <t>TOTAL r$ RENDIM.</t>
  </si>
  <si>
    <t>PERCENT. RENDIDO</t>
  </si>
  <si>
    <t>% TOTAL RENDIDO</t>
  </si>
  <si>
    <t>Outros</t>
  </si>
  <si>
    <t>COMPRA</t>
  </si>
  <si>
    <t>DEVOLVER MÁRCIA</t>
  </si>
  <si>
    <t>hcat</t>
  </si>
  <si>
    <t>Dolares</t>
  </si>
  <si>
    <t>ibrx</t>
  </si>
  <si>
    <t>pacw</t>
  </si>
  <si>
    <t>TAG</t>
  </si>
  <si>
    <t>Qtd.</t>
  </si>
  <si>
    <t>VL M.</t>
  </si>
  <si>
    <t>Total USD</t>
  </si>
  <si>
    <t>PRA</t>
  </si>
  <si>
    <t>IBRX</t>
  </si>
  <si>
    <t>CTKB</t>
  </si>
  <si>
    <t>ImmunitBio Inc</t>
  </si>
  <si>
    <t>ProAssurance Corp</t>
  </si>
  <si>
    <t>Cytek Biosciences Inc</t>
  </si>
  <si>
    <t>PRCT</t>
  </si>
  <si>
    <t>GANHO</t>
  </si>
  <si>
    <t>VL. VENDA</t>
  </si>
  <si>
    <t>VL. REND.</t>
  </si>
  <si>
    <t>Periodo</t>
  </si>
  <si>
    <t>EXPECTATIVA</t>
  </si>
  <si>
    <t>VENDA REAL E LUCROS</t>
  </si>
  <si>
    <t>ProceptBioRobotics Corp</t>
  </si>
  <si>
    <t>URCA RENCI</t>
  </si>
  <si>
    <t>BB PRGIICI</t>
  </si>
  <si>
    <t>AUTONOMYCI</t>
  </si>
  <si>
    <t>TG ATIVOCI</t>
  </si>
  <si>
    <t>FIAGRO XP CACI</t>
  </si>
  <si>
    <t>SANT RENCI</t>
  </si>
  <si>
    <t>GGRCOVEPICI</t>
  </si>
  <si>
    <t>VALOR HECI</t>
  </si>
  <si>
    <t>KILIMA CI</t>
  </si>
  <si>
    <t>MAXI RENCI</t>
  </si>
  <si>
    <t>WE</t>
  </si>
  <si>
    <t>Wework Inc</t>
  </si>
  <si>
    <t>RIZA AKNCI</t>
  </si>
  <si>
    <t>CAPI SECCI</t>
  </si>
  <si>
    <t>Proseg</t>
  </si>
  <si>
    <t>LJParafusos</t>
  </si>
  <si>
    <t>ShoppingTotal</t>
  </si>
  <si>
    <t>BagaggioTotal</t>
  </si>
  <si>
    <t>Nebulisador</t>
  </si>
  <si>
    <t>PortFerragens</t>
  </si>
  <si>
    <t>MaxCenter</t>
  </si>
  <si>
    <t>MercadoLivre</t>
  </si>
  <si>
    <t>756,4K</t>
  </si>
  <si>
    <t>3,8M</t>
  </si>
  <si>
    <t>2,1M</t>
  </si>
  <si>
    <t>6,4M</t>
  </si>
  <si>
    <t>78,8K</t>
  </si>
  <si>
    <t>5,8M</t>
  </si>
  <si>
    <t>2,4M</t>
  </si>
  <si>
    <t>503K</t>
  </si>
  <si>
    <t>1,3M</t>
  </si>
  <si>
    <t>4M</t>
  </si>
  <si>
    <t>1,8M</t>
  </si>
  <si>
    <t>1,5M</t>
  </si>
  <si>
    <t>7,5M</t>
  </si>
  <si>
    <t>LCI PRE 360D</t>
  </si>
  <si>
    <t>LCA ABC</t>
  </si>
  <si>
    <t>Agro</t>
  </si>
  <si>
    <t>NetFlix</t>
  </si>
  <si>
    <t>Cerveja</t>
  </si>
  <si>
    <t>BolaFilho</t>
  </si>
  <si>
    <t>TOTAL DY MÊS ATUAL</t>
  </si>
  <si>
    <t>https://www.fundsexplorer.com.br/funds/mxrf11</t>
  </si>
  <si>
    <t>https://www.fundsexplorer.com.br/funds/rzak11</t>
  </si>
  <si>
    <t>https://www.fundsexplorer.com.br/funds/vghf11</t>
  </si>
  <si>
    <t>https://www.fundsexplorer.com.br/funds/irdm11</t>
  </si>
  <si>
    <t>https://www.fundsexplorer.com.br/funds/bime11</t>
  </si>
  <si>
    <t>https://www.fundsexplorer.com.br/funds/aiec11</t>
  </si>
  <si>
    <t>https://www.fundsexplorer.com.br/funds/tgar11</t>
  </si>
  <si>
    <t>https://www.fundsexplorer.com.br/funds/xpca11</t>
  </si>
  <si>
    <t>https://www.fundsexplorer.com.br/funds/sare11</t>
  </si>
  <si>
    <t>https://www.fundsexplorer.com.br/funds/urpr11</t>
  </si>
  <si>
    <t>PAGAM.</t>
  </si>
  <si>
    <t>DT.COM</t>
  </si>
  <si>
    <t>9A12</t>
  </si>
  <si>
    <t>28A31</t>
  </si>
  <si>
    <t>13A17</t>
  </si>
  <si>
    <t>14A17</t>
  </si>
  <si>
    <t>20A25</t>
  </si>
  <si>
    <t>7A10</t>
  </si>
  <si>
    <t>16A19</t>
  </si>
  <si>
    <t>5A6</t>
  </si>
  <si>
    <t>10A13</t>
  </si>
  <si>
    <t>17A20</t>
  </si>
  <si>
    <t>8A11</t>
  </si>
  <si>
    <t>1A3</t>
  </si>
  <si>
    <t>9 DE 12</t>
  </si>
  <si>
    <t>3 DE 7</t>
  </si>
  <si>
    <t>10 DE 12</t>
  </si>
  <si>
    <t>4 DE 7</t>
  </si>
  <si>
    <t>AgroViamão</t>
  </si>
  <si>
    <t>CartãoTodos</t>
  </si>
  <si>
    <t>1 DE SEMP</t>
  </si>
  <si>
    <t>TurboGas</t>
  </si>
  <si>
    <t>11 DE 12</t>
  </si>
  <si>
    <t>5 DE 7</t>
  </si>
  <si>
    <t>12 DE 12</t>
  </si>
  <si>
    <t>6 DE 7</t>
  </si>
  <si>
    <t>7 DE 7</t>
  </si>
  <si>
    <t>Fundo</t>
  </si>
  <si>
    <t>VALOR</t>
  </si>
  <si>
    <t>Qtd</t>
  </si>
  <si>
    <t>P. MERCADO</t>
  </si>
  <si>
    <t>P. CARTEIRA</t>
  </si>
  <si>
    <t>COMPRA/VENDA</t>
  </si>
  <si>
    <t>Esperar entrar rendimentos</t>
  </si>
  <si>
    <t>vendido no dia 10/7</t>
  </si>
  <si>
    <t>cptr11</t>
  </si>
  <si>
    <t>jppa11</t>
  </si>
  <si>
    <t>fgaa11</t>
  </si>
  <si>
    <t>vcri11</t>
  </si>
  <si>
    <t>oure11</t>
  </si>
  <si>
    <t>bbfi11</t>
  </si>
  <si>
    <t>lajes</t>
  </si>
  <si>
    <t>papéis</t>
  </si>
  <si>
    <t>VGIA</t>
  </si>
  <si>
    <t>OURE11</t>
  </si>
  <si>
    <t>rbop11</t>
  </si>
  <si>
    <t>KNRE11</t>
  </si>
  <si>
    <t>rendimentos JUL</t>
  </si>
  <si>
    <t>Custo</t>
  </si>
  <si>
    <t>VGIA11</t>
  </si>
  <si>
    <t>xpca</t>
  </si>
  <si>
    <t>rzak</t>
  </si>
  <si>
    <t>vgia</t>
  </si>
  <si>
    <t>https://www.fundsexplorer.com.br/funds/vgia11</t>
  </si>
  <si>
    <t>https://www.fundsexplorer.com.br/funds/oure11</t>
  </si>
  <si>
    <t>10a13</t>
  </si>
  <si>
    <t>17a20</t>
  </si>
  <si>
    <t>vcri</t>
  </si>
  <si>
    <t>14a17</t>
  </si>
  <si>
    <t>28a31</t>
  </si>
  <si>
    <t>SítioCompras</t>
  </si>
  <si>
    <t>VCRI11</t>
  </si>
  <si>
    <t>Razão social</t>
  </si>
  <si>
    <t>Data constituição</t>
  </si>
  <si>
    <t>Administrador</t>
  </si>
  <si>
    <t>Data COM</t>
  </si>
  <si>
    <t>Data Div.</t>
  </si>
  <si>
    <t>MAXI RENDA</t>
  </si>
  <si>
    <t>PAPÉIS</t>
  </si>
  <si>
    <t>BTG PACTUAL</t>
  </si>
  <si>
    <t>14 A 17</t>
  </si>
  <si>
    <t>28 A 31</t>
  </si>
  <si>
    <t>21 A 25</t>
  </si>
  <si>
    <t>RIZA AKIN</t>
  </si>
  <si>
    <t>7 A 10</t>
  </si>
  <si>
    <t>VALORA HEDGE</t>
  </si>
  <si>
    <t>B. DAYCOLVAL</t>
  </si>
  <si>
    <t>MISTO</t>
  </si>
  <si>
    <t>Ativos</t>
  </si>
  <si>
    <t>5 A 6</t>
  </si>
  <si>
    <t>BRIO MULTIEST</t>
  </si>
  <si>
    <t>BRL TRUST</t>
  </si>
  <si>
    <t>URCA PRIME</t>
  </si>
  <si>
    <t>VORTX DIST.</t>
  </si>
  <si>
    <t>08 a 11</t>
  </si>
  <si>
    <t>AUTONOMY ED.</t>
  </si>
  <si>
    <t>TIJOLO</t>
  </si>
  <si>
    <t>MAF DISTRIB.</t>
  </si>
  <si>
    <t>TG ATIVO REAL</t>
  </si>
  <si>
    <t>FIAGRO XP</t>
  </si>
  <si>
    <t>XP INVEST.</t>
  </si>
  <si>
    <t>10 A 13</t>
  </si>
  <si>
    <t>17 A 20</t>
  </si>
  <si>
    <t>VALORA CRA</t>
  </si>
  <si>
    <t>OUR. CYRELA</t>
  </si>
  <si>
    <t>B. OURINVEST</t>
  </si>
  <si>
    <t>DY Ticker</t>
  </si>
  <si>
    <t>DY Carteira</t>
  </si>
  <si>
    <t>CPTR11</t>
  </si>
  <si>
    <t>JPPA11</t>
  </si>
  <si>
    <t>FGAA11</t>
  </si>
  <si>
    <t>BBFI11</t>
  </si>
  <si>
    <t>RBOP11</t>
  </si>
  <si>
    <t>vl REND.</t>
  </si>
  <si>
    <t>DY MÊS</t>
  </si>
  <si>
    <t>DY ANO</t>
  </si>
  <si>
    <t>v PATRIM.</t>
  </si>
  <si>
    <t>SUB TOTAL</t>
  </si>
  <si>
    <t>ESPERA FUTURA</t>
  </si>
  <si>
    <t>DYs TOTAIS</t>
  </si>
  <si>
    <t>IRDM</t>
  </si>
  <si>
    <t>PATRIMÔNIO</t>
  </si>
  <si>
    <t>Ganho/Mês</t>
  </si>
  <si>
    <t>Rend./Mes</t>
  </si>
  <si>
    <t>Rend./Tot.</t>
  </si>
  <si>
    <t>Tot. Vend.</t>
  </si>
  <si>
    <t>MARGEM DE LUCRO</t>
  </si>
  <si>
    <t>NEGOCIAÇÃO</t>
  </si>
  <si>
    <t>Dinheiro Marcia</t>
  </si>
  <si>
    <t>ManoplaMotoNinja</t>
  </si>
  <si>
    <t>FFIE</t>
  </si>
  <si>
    <t>OTLY</t>
  </si>
  <si>
    <t>TTOO</t>
  </si>
  <si>
    <t>LIMITADO</t>
  </si>
  <si>
    <t>LUMN</t>
  </si>
  <si>
    <t>https://www.fundsexplorer.com.br/funds/cptr11</t>
  </si>
  <si>
    <t>https://www.fundsexplorer.com.br/funds/jppa11</t>
  </si>
  <si>
    <t>https://www.fundsexplorer.com.br/funds/fgaa11</t>
  </si>
  <si>
    <t>https://www.fundsexplorer.com.br/funds/vcri11</t>
  </si>
  <si>
    <t>https://www.fundsexplorer.com.br/funds/bbfi11</t>
  </si>
  <si>
    <t>https://www.fundsexplorer.com.br/funds/rbop11</t>
  </si>
  <si>
    <t>RENDIMENTOS GANHOS ATÉ AGORA</t>
  </si>
  <si>
    <t>we</t>
  </si>
  <si>
    <t>https://br.investing.com/equities/oatly-group-ab-adr</t>
  </si>
  <si>
    <t>OATLY</t>
  </si>
  <si>
    <t>https://br.investing.com/equities/wework</t>
  </si>
  <si>
    <t>https://br.investing.com/equities/t2-biosystms-inc</t>
  </si>
  <si>
    <t>https://br.investing.com/equities/nantkwest</t>
  </si>
  <si>
    <t>https://br.investing.com/equities/centurylink</t>
  </si>
  <si>
    <t>https://br.investing.com/equities/property-solutions</t>
  </si>
  <si>
    <t>D+2</t>
  </si>
  <si>
    <r>
      <t xml:space="preserve">Respeitar liquidação para não cometer </t>
    </r>
    <r>
      <rPr>
        <b/>
        <sz val="11"/>
        <color theme="1"/>
        <rFont val="Calibri"/>
        <family val="2"/>
        <scheme val="minor"/>
      </rPr>
      <t>violação de boa fé</t>
    </r>
  </si>
  <si>
    <t>5 A 7</t>
  </si>
  <si>
    <t>KitRelação</t>
  </si>
  <si>
    <t>LivrosProgramação</t>
  </si>
  <si>
    <t>Xis</t>
  </si>
  <si>
    <t>dep</t>
  </si>
  <si>
    <t>comp</t>
  </si>
  <si>
    <t>venda</t>
  </si>
  <si>
    <t>prct</t>
  </si>
  <si>
    <t>resgate</t>
  </si>
  <si>
    <t>ctkb</t>
  </si>
  <si>
    <t>pra</t>
  </si>
  <si>
    <t>otly</t>
  </si>
  <si>
    <t>ttoo</t>
  </si>
  <si>
    <t>ffie</t>
  </si>
  <si>
    <t>lumn</t>
  </si>
  <si>
    <t>Saldo</t>
  </si>
  <si>
    <t>We</t>
  </si>
  <si>
    <t>Otly</t>
  </si>
  <si>
    <t>Lumn</t>
  </si>
  <si>
    <t>ProSegMalu</t>
  </si>
  <si>
    <t>Kuskoski</t>
  </si>
  <si>
    <t>Agropecuaria</t>
  </si>
  <si>
    <t>Gás</t>
  </si>
  <si>
    <t>Churrasco</t>
  </si>
  <si>
    <t>AgroImperio</t>
  </si>
  <si>
    <t>FerramentasChapa</t>
  </si>
  <si>
    <t>Meu dinheiro</t>
  </si>
  <si>
    <t>Saldo Conta</t>
  </si>
  <si>
    <t>Contas</t>
  </si>
  <si>
    <t>Dinheiro Malu</t>
  </si>
  <si>
    <t>VentiladorPeças</t>
  </si>
  <si>
    <t>NonabellPizaria</t>
  </si>
  <si>
    <t>ACADEMIA</t>
  </si>
  <si>
    <t>HÍBRIDO</t>
  </si>
  <si>
    <t>1º</t>
  </si>
  <si>
    <t>2º</t>
  </si>
  <si>
    <t>3º</t>
  </si>
  <si>
    <t>4º</t>
  </si>
  <si>
    <t>NonnabellPizzaria</t>
  </si>
  <si>
    <t>VER DATAS</t>
  </si>
  <si>
    <t>SEGURO MOTO</t>
  </si>
  <si>
    <t>SEGURO CARRO</t>
  </si>
  <si>
    <t>cartão inter marcia</t>
  </si>
  <si>
    <t>SuperGaucho</t>
  </si>
  <si>
    <t>31/11</t>
  </si>
  <si>
    <t>PAGO</t>
  </si>
  <si>
    <t>Sheila</t>
  </si>
  <si>
    <t>urpr</t>
  </si>
  <si>
    <t>xpca/fgaa</t>
  </si>
  <si>
    <t>aiec</t>
  </si>
  <si>
    <t>oure</t>
  </si>
  <si>
    <t>tgar</t>
  </si>
  <si>
    <t>1x</t>
  </si>
  <si>
    <t>10x</t>
  </si>
  <si>
    <t>MÉDIA MENSAL</t>
  </si>
</sst>
</file>

<file path=xl/styles.xml><?xml version="1.0" encoding="utf-8"?>
<styleSheet xmlns="http://schemas.openxmlformats.org/spreadsheetml/2006/main">
  <numFmts count="1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  <numFmt numFmtId="165" formatCode="0.0%"/>
    <numFmt numFmtId="166" formatCode="[$-416]d\-mmm\-yy;@"/>
    <numFmt numFmtId="167" formatCode="0.000%"/>
    <numFmt numFmtId="168" formatCode="[$-416]d\-mmm;@"/>
    <numFmt numFmtId="169" formatCode="_-&quot;R$&quot;\ * #,##0.0000_-;\-&quot;R$&quot;\ * #,##0.0000_-;_-&quot;R$&quot;\ * &quot;-&quot;??_-;_-@_-"/>
    <numFmt numFmtId="170" formatCode="_-[$$-409]* #,##0.00_ ;_-[$$-409]* \-#,##0.00\ ;_-[$$-409]* &quot;-&quot;??_ ;_-@_ "/>
    <numFmt numFmtId="171" formatCode="0.00000"/>
    <numFmt numFmtId="172" formatCode="_-[$$-409]* #,##0.00000_ ;_-[$$-409]* \-#,##0.00000\ ;_-[$$-409]* &quot;-&quot;?????_ ;_-@_ "/>
    <numFmt numFmtId="173" formatCode="0.000000"/>
    <numFmt numFmtId="174" formatCode="&quot;R$&quot;\ #,##0.00"/>
  </numFmts>
  <fonts count="6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i/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0" tint="-4.9989318521683403E-2"/>
      <name val="Calibri"/>
      <family val="2"/>
      <scheme val="minor"/>
    </font>
    <font>
      <b/>
      <sz val="11"/>
      <color theme="0"/>
      <name val="Arial Narrow"/>
      <family val="2"/>
    </font>
    <font>
      <sz val="11"/>
      <name val="Arial Narrow"/>
      <family val="2"/>
    </font>
    <font>
      <sz val="11"/>
      <color rgb="FFFF0000"/>
      <name val="Arial Narrow"/>
      <family val="2"/>
    </font>
    <font>
      <sz val="11"/>
      <color theme="0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rgb="FF000000"/>
      <name val="Helvetica"/>
    </font>
    <font>
      <b/>
      <i/>
      <u/>
      <sz val="11"/>
      <color theme="1"/>
      <name val="Calibri"/>
      <family val="2"/>
      <scheme val="minor"/>
    </font>
    <font>
      <b/>
      <i/>
      <sz val="11"/>
      <color theme="3" tint="0.79998168889431442"/>
      <name val="Arial Narrow"/>
      <family val="2"/>
    </font>
    <font>
      <sz val="11"/>
      <color rgb="FFFF0000"/>
      <name val="Calibri"/>
      <family val="2"/>
      <scheme val="minor"/>
    </font>
    <font>
      <sz val="12"/>
      <color theme="0"/>
      <name val="Arial Narrow"/>
      <family val="2"/>
    </font>
    <font>
      <b/>
      <sz val="12"/>
      <color theme="0"/>
      <name val="Arial Narrow"/>
      <family val="2"/>
    </font>
    <font>
      <sz val="12"/>
      <color rgb="FF7030A0"/>
      <name val="Arial Narrow"/>
      <family val="2"/>
    </font>
    <font>
      <sz val="12"/>
      <name val="Arial Narrow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FF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u/>
      <sz val="12"/>
      <color theme="1"/>
      <name val="Arial Narrow"/>
      <family val="2"/>
    </font>
    <font>
      <sz val="11"/>
      <color rgb="FF00B0F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i/>
      <u/>
      <sz val="28"/>
      <color rgb="FFFF0000"/>
      <name val="Arial Narrow"/>
      <family val="2"/>
    </font>
    <font>
      <b/>
      <sz val="11"/>
      <color rgb="FFFF0000"/>
      <name val="Calibri"/>
      <family val="2"/>
      <scheme val="minor"/>
    </font>
    <font>
      <sz val="12"/>
      <color rgb="FF92D050"/>
      <name val="Arial Narrow"/>
      <family val="2"/>
    </font>
    <font>
      <sz val="12"/>
      <color rgb="FFFFC000"/>
      <name val="Arial Narrow"/>
      <family val="2"/>
    </font>
    <font>
      <i/>
      <sz val="11"/>
      <color theme="1"/>
      <name val="Calibri"/>
      <family val="2"/>
      <scheme val="minor"/>
    </font>
    <font>
      <u/>
      <sz val="11"/>
      <color theme="1"/>
      <name val="Arial Narrow"/>
      <family val="2"/>
    </font>
    <font>
      <b/>
      <i/>
      <u/>
      <sz val="72"/>
      <color rgb="FFFF0000"/>
      <name val="Arial Narrow"/>
      <family val="2"/>
    </font>
    <font>
      <sz val="22"/>
      <color theme="1"/>
      <name val="Calibri"/>
      <family val="2"/>
      <scheme val="minor"/>
    </font>
    <font>
      <b/>
      <i/>
      <sz val="22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2"/>
      <color rgb="FF00B0F0"/>
      <name val="Arial Narrow"/>
      <family val="2"/>
    </font>
    <font>
      <sz val="12"/>
      <color rgb="FFFFFF00"/>
      <name val="Arial Narrow"/>
      <family val="2"/>
    </font>
    <font>
      <b/>
      <sz val="12"/>
      <name val="Arial Narrow"/>
      <family val="2"/>
    </font>
    <font>
      <sz val="12"/>
      <color theme="3" tint="0.39997558519241921"/>
      <name val="Arial Narrow"/>
      <family val="2"/>
    </font>
    <font>
      <sz val="24"/>
      <color theme="1"/>
      <name val="Calibri"/>
      <family val="2"/>
      <scheme val="minor"/>
    </font>
    <font>
      <sz val="12"/>
      <color rgb="FF0070C0"/>
      <name val="Arial Narrow"/>
      <family val="2"/>
    </font>
    <font>
      <u/>
      <sz val="11"/>
      <color theme="10"/>
      <name val="Calibri"/>
      <family val="2"/>
    </font>
    <font>
      <b/>
      <sz val="11"/>
      <name val="Calibri"/>
      <family val="2"/>
    </font>
    <font>
      <b/>
      <i/>
      <u val="singleAccounting"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u/>
      <sz val="12"/>
      <name val="Arial Narrow"/>
      <family val="2"/>
    </font>
    <font>
      <u val="singleAccounting"/>
      <sz val="12"/>
      <name val="Arial Narrow"/>
      <family val="2"/>
    </font>
    <font>
      <u val="singleAccounting"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22"/>
      <color theme="0" tint="-0.499984740745262"/>
      <name val="Calibri"/>
      <family val="2"/>
      <scheme val="minor"/>
    </font>
    <font>
      <b/>
      <i/>
      <sz val="22"/>
      <color theme="0" tint="-0.499984740745262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u val="singleAccounting"/>
      <sz val="12"/>
      <color theme="0"/>
      <name val="Arial Narrow"/>
      <family val="2"/>
    </font>
    <font>
      <b/>
      <i/>
      <u/>
      <sz val="11"/>
      <color theme="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color rgb="FFFFFF0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u/>
      <sz val="12"/>
      <color rgb="FFFFFF00"/>
      <name val="Arial Narrow"/>
      <family val="2"/>
    </font>
    <font>
      <sz val="12"/>
      <color theme="0" tint="-0.14999847407452621"/>
      <name val="Arial Narrow"/>
      <family val="2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-0.249977111117893"/>
        <bgColor indexed="64"/>
      </patternFill>
    </fill>
  </fills>
  <borders count="8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rgb="FFFF0000"/>
      </right>
      <top/>
      <bottom/>
      <diagonal/>
    </border>
    <border>
      <left/>
      <right style="thin">
        <color rgb="FFFFFF00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rgb="FF00B050"/>
      </right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</cellStyleXfs>
  <cellXfs count="1222">
    <xf numFmtId="0" fontId="0" fillId="0" borderId="0" xfId="0"/>
    <xf numFmtId="0" fontId="0" fillId="2" borderId="0" xfId="0" applyFill="1"/>
    <xf numFmtId="44" fontId="0" fillId="2" borderId="0" xfId="0" applyNumberFormat="1" applyFill="1"/>
    <xf numFmtId="0" fontId="0" fillId="5" borderId="3" xfId="0" applyFill="1" applyBorder="1"/>
    <xf numFmtId="0" fontId="4" fillId="4" borderId="8" xfId="0" applyFont="1" applyFill="1" applyBorder="1"/>
    <xf numFmtId="44" fontId="4" fillId="7" borderId="10" xfId="1" applyFont="1" applyFill="1" applyBorder="1"/>
    <xf numFmtId="44" fontId="4" fillId="5" borderId="18" xfId="1" applyFont="1" applyFill="1" applyBorder="1"/>
    <xf numFmtId="0" fontId="4" fillId="7" borderId="24" xfId="0" applyFont="1" applyFill="1" applyBorder="1"/>
    <xf numFmtId="44" fontId="4" fillId="7" borderId="3" xfId="1" applyFont="1" applyFill="1" applyBorder="1"/>
    <xf numFmtId="44" fontId="4" fillId="7" borderId="1" xfId="1" applyFont="1" applyFill="1" applyBorder="1"/>
    <xf numFmtId="0" fontId="4" fillId="7" borderId="12" xfId="0" applyFont="1" applyFill="1" applyBorder="1"/>
    <xf numFmtId="44" fontId="4" fillId="7" borderId="5" xfId="1" applyFont="1" applyFill="1" applyBorder="1"/>
    <xf numFmtId="44" fontId="4" fillId="7" borderId="6" xfId="1" applyFont="1" applyFill="1" applyBorder="1"/>
    <xf numFmtId="0" fontId="4" fillId="7" borderId="2" xfId="0" applyFont="1" applyFill="1" applyBorder="1"/>
    <xf numFmtId="0" fontId="4" fillId="10" borderId="20" xfId="0" applyFont="1" applyFill="1" applyBorder="1"/>
    <xf numFmtId="44" fontId="4" fillId="10" borderId="25" xfId="1" applyFont="1" applyFill="1" applyBorder="1"/>
    <xf numFmtId="44" fontId="4" fillId="5" borderId="19" xfId="1" applyFont="1" applyFill="1" applyBorder="1"/>
    <xf numFmtId="0" fontId="4" fillId="4" borderId="31" xfId="0" applyFont="1" applyFill="1" applyBorder="1"/>
    <xf numFmtId="10" fontId="4" fillId="4" borderId="32" xfId="0" applyNumberFormat="1" applyFont="1" applyFill="1" applyBorder="1" applyAlignment="1">
      <alignment horizontal="center"/>
    </xf>
    <xf numFmtId="0" fontId="3" fillId="8" borderId="22" xfId="0" applyFont="1" applyFill="1" applyBorder="1" applyAlignment="1">
      <alignment horizontal="center"/>
    </xf>
    <xf numFmtId="44" fontId="3" fillId="8" borderId="23" xfId="0" applyNumberFormat="1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0" fontId="3" fillId="8" borderId="23" xfId="0" applyFont="1" applyFill="1" applyBorder="1"/>
    <xf numFmtId="44" fontId="3" fillId="2" borderId="1" xfId="1" applyFont="1" applyFill="1" applyBorder="1"/>
    <xf numFmtId="44" fontId="3" fillId="2" borderId="34" xfId="1" applyFont="1" applyFill="1" applyBorder="1"/>
    <xf numFmtId="0" fontId="3" fillId="8" borderId="19" xfId="0" applyFont="1" applyFill="1" applyBorder="1"/>
    <xf numFmtId="44" fontId="3" fillId="2" borderId="25" xfId="1" applyFont="1" applyFill="1" applyBorder="1"/>
    <xf numFmtId="44" fontId="3" fillId="2" borderId="35" xfId="1" applyFont="1" applyFill="1" applyBorder="1"/>
    <xf numFmtId="44" fontId="3" fillId="2" borderId="38" xfId="1" applyFont="1" applyFill="1" applyBorder="1"/>
    <xf numFmtId="44" fontId="4" fillId="5" borderId="21" xfId="1" applyFont="1" applyFill="1" applyBorder="1"/>
    <xf numFmtId="0" fontId="3" fillId="9" borderId="17" xfId="0" applyFont="1" applyFill="1" applyBorder="1" applyAlignment="1">
      <alignment horizontal="center"/>
    </xf>
    <xf numFmtId="0" fontId="3" fillId="9" borderId="18" xfId="0" applyFont="1" applyFill="1" applyBorder="1"/>
    <xf numFmtId="0" fontId="3" fillId="9" borderId="21" xfId="0" applyFont="1" applyFill="1" applyBorder="1"/>
    <xf numFmtId="0" fontId="4" fillId="7" borderId="39" xfId="0" applyFont="1" applyFill="1" applyBorder="1"/>
    <xf numFmtId="44" fontId="4" fillId="7" borderId="13" xfId="1" applyFont="1" applyFill="1" applyBorder="1"/>
    <xf numFmtId="44" fontId="4" fillId="7" borderId="14" xfId="1" applyFont="1" applyFill="1" applyBorder="1"/>
    <xf numFmtId="44" fontId="4" fillId="4" borderId="32" xfId="1" applyFont="1" applyFill="1" applyBorder="1"/>
    <xf numFmtId="44" fontId="4" fillId="5" borderId="17" xfId="1" applyFont="1" applyFill="1" applyBorder="1"/>
    <xf numFmtId="44" fontId="4" fillId="4" borderId="33" xfId="1" applyFont="1" applyFill="1" applyBorder="1"/>
    <xf numFmtId="44" fontId="4" fillId="7" borderId="40" xfId="1" applyFont="1" applyFill="1" applyBorder="1"/>
    <xf numFmtId="44" fontId="4" fillId="7" borderId="41" xfId="1" applyFont="1" applyFill="1" applyBorder="1"/>
    <xf numFmtId="44" fontId="4" fillId="7" borderId="42" xfId="1" applyFont="1" applyFill="1" applyBorder="1"/>
    <xf numFmtId="44" fontId="4" fillId="10" borderId="43" xfId="1" applyFont="1" applyFill="1" applyBorder="1"/>
    <xf numFmtId="10" fontId="4" fillId="4" borderId="9" xfId="0" applyNumberFormat="1" applyFont="1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right" vertical="center"/>
    </xf>
    <xf numFmtId="0" fontId="0" fillId="5" borderId="1" xfId="0" applyFill="1" applyBorder="1" applyAlignment="1">
      <alignment horizontal="center" vertical="center"/>
    </xf>
    <xf numFmtId="0" fontId="0" fillId="5" borderId="34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44" fontId="0" fillId="2" borderId="0" xfId="0" applyNumberFormat="1" applyFill="1" applyAlignment="1">
      <alignment horizontal="center" vertical="center"/>
    </xf>
    <xf numFmtId="44" fontId="6" fillId="2" borderId="0" xfId="1" applyFont="1" applyFill="1"/>
    <xf numFmtId="0" fontId="0" fillId="2" borderId="44" xfId="0" applyFill="1" applyBorder="1"/>
    <xf numFmtId="0" fontId="3" fillId="2" borderId="0" xfId="0" applyFont="1" applyFill="1"/>
    <xf numFmtId="44" fontId="3" fillId="2" borderId="1" xfId="1" applyNumberFormat="1" applyFont="1" applyFill="1" applyBorder="1" applyAlignment="1">
      <alignment horizontal="right" vertical="center"/>
    </xf>
    <xf numFmtId="16" fontId="3" fillId="2" borderId="1" xfId="0" applyNumberFormat="1" applyFont="1" applyFill="1" applyBorder="1"/>
    <xf numFmtId="44" fontId="3" fillId="2" borderId="1" xfId="1" applyFont="1" applyFill="1" applyBorder="1" applyAlignment="1">
      <alignment horizontal="center" vertical="center"/>
    </xf>
    <xf numFmtId="44" fontId="3" fillId="2" borderId="0" xfId="0" applyNumberFormat="1" applyFont="1" applyFill="1"/>
    <xf numFmtId="16" fontId="3" fillId="2" borderId="3" xfId="0" applyNumberFormat="1" applyFont="1" applyFill="1" applyBorder="1" applyAlignment="1">
      <alignment horizontal="center"/>
    </xf>
    <xf numFmtId="44" fontId="8" fillId="2" borderId="0" xfId="1" applyFont="1" applyFill="1" applyBorder="1" applyAlignment="1">
      <alignment horizontal="center"/>
    </xf>
    <xf numFmtId="0" fontId="3" fillId="2" borderId="1" xfId="0" applyFont="1" applyFill="1" applyBorder="1"/>
    <xf numFmtId="44" fontId="5" fillId="6" borderId="45" xfId="0" applyNumberFormat="1" applyFont="1" applyFill="1" applyBorder="1"/>
    <xf numFmtId="44" fontId="9" fillId="6" borderId="45" xfId="0" applyNumberFormat="1" applyFont="1" applyFill="1" applyBorder="1"/>
    <xf numFmtId="44" fontId="9" fillId="6" borderId="46" xfId="0" applyNumberFormat="1" applyFont="1" applyFill="1" applyBorder="1"/>
    <xf numFmtId="0" fontId="7" fillId="3" borderId="32" xfId="0" applyFont="1" applyFill="1" applyBorder="1" applyAlignment="1">
      <alignment horizontal="center"/>
    </xf>
    <xf numFmtId="0" fontId="7" fillId="3" borderId="33" xfId="0" applyFont="1" applyFill="1" applyBorder="1" applyAlignment="1">
      <alignment horizontal="center"/>
    </xf>
    <xf numFmtId="0" fontId="7" fillId="3" borderId="31" xfId="0" applyFont="1" applyFill="1" applyBorder="1" applyAlignment="1">
      <alignment horizontal="center"/>
    </xf>
    <xf numFmtId="44" fontId="5" fillId="6" borderId="45" xfId="0" applyNumberFormat="1" applyFont="1" applyFill="1" applyBorder="1" applyAlignment="1">
      <alignment horizontal="center"/>
    </xf>
    <xf numFmtId="44" fontId="3" fillId="2" borderId="0" xfId="0" applyNumberFormat="1" applyFont="1" applyFill="1" applyAlignment="1">
      <alignment horizontal="center"/>
    </xf>
    <xf numFmtId="0" fontId="3" fillId="5" borderId="34" xfId="0" applyFont="1" applyFill="1" applyBorder="1" applyAlignment="1">
      <alignment horizontal="right" vertical="center"/>
    </xf>
    <xf numFmtId="44" fontId="3" fillId="2" borderId="0" xfId="1" applyFont="1" applyFill="1" applyBorder="1" applyAlignment="1">
      <alignment horizontal="right"/>
    </xf>
    <xf numFmtId="44" fontId="9" fillId="2" borderId="0" xfId="0" applyNumberFormat="1" applyFont="1" applyFill="1" applyBorder="1"/>
    <xf numFmtId="0" fontId="8" fillId="2" borderId="0" xfId="0" applyFont="1" applyFill="1" applyBorder="1" applyAlignment="1">
      <alignment horizontal="center"/>
    </xf>
    <xf numFmtId="49" fontId="8" fillId="2" borderId="0" xfId="0" applyNumberFormat="1" applyFont="1" applyFill="1" applyBorder="1" applyAlignment="1">
      <alignment horizontal="center"/>
    </xf>
    <xf numFmtId="44" fontId="10" fillId="3" borderId="14" xfId="1" applyNumberFormat="1" applyFont="1" applyFill="1" applyBorder="1" applyAlignment="1">
      <alignment horizontal="center" vertical="center"/>
    </xf>
    <xf numFmtId="44" fontId="10" fillId="3" borderId="14" xfId="1" applyFont="1" applyFill="1" applyBorder="1" applyAlignment="1">
      <alignment horizontal="right"/>
    </xf>
    <xf numFmtId="44" fontId="10" fillId="3" borderId="15" xfId="1" applyFont="1" applyFill="1" applyBorder="1" applyAlignment="1">
      <alignment horizontal="right"/>
    </xf>
    <xf numFmtId="16" fontId="10" fillId="3" borderId="14" xfId="0" applyNumberFormat="1" applyFont="1" applyFill="1" applyBorder="1" applyAlignment="1">
      <alignment horizontal="center"/>
    </xf>
    <xf numFmtId="0" fontId="10" fillId="2" borderId="0" xfId="0" applyFont="1" applyFill="1"/>
    <xf numFmtId="0" fontId="3" fillId="2" borderId="0" xfId="0" applyFont="1" applyFill="1" applyBorder="1" applyAlignment="1">
      <alignment horizontal="center" vertical="center"/>
    </xf>
    <xf numFmtId="16" fontId="8" fillId="2" borderId="3" xfId="0" applyNumberFormat="1" applyFont="1" applyFill="1" applyBorder="1" applyAlignment="1">
      <alignment horizontal="center"/>
    </xf>
    <xf numFmtId="16" fontId="8" fillId="2" borderId="1" xfId="0" applyNumberFormat="1" applyFont="1" applyFill="1" applyBorder="1" applyAlignment="1">
      <alignment horizontal="left"/>
    </xf>
    <xf numFmtId="0" fontId="3" fillId="2" borderId="6" xfId="0" applyFont="1" applyFill="1" applyBorder="1"/>
    <xf numFmtId="44" fontId="8" fillId="2" borderId="1" xfId="1" applyFont="1" applyFill="1" applyBorder="1" applyAlignment="1">
      <alignment horizontal="center"/>
    </xf>
    <xf numFmtId="44" fontId="3" fillId="2" borderId="6" xfId="1" applyNumberFormat="1" applyFont="1" applyFill="1" applyBorder="1" applyAlignment="1">
      <alignment horizontal="right" vertical="center"/>
    </xf>
    <xf numFmtId="0" fontId="10" fillId="2" borderId="0" xfId="0" applyFont="1" applyFill="1" applyAlignment="1">
      <alignment horizontal="right"/>
    </xf>
    <xf numFmtId="44" fontId="5" fillId="2" borderId="25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left"/>
    </xf>
    <xf numFmtId="0" fontId="7" fillId="2" borderId="0" xfId="0" applyFont="1" applyFill="1" applyBorder="1" applyAlignment="1">
      <alignment horizontal="left"/>
    </xf>
    <xf numFmtId="44" fontId="3" fillId="2" borderId="0" xfId="1" applyFont="1" applyFill="1" applyBorder="1" applyAlignment="1">
      <alignment horizontal="left"/>
    </xf>
    <xf numFmtId="44" fontId="8" fillId="2" borderId="0" xfId="1" applyFont="1" applyFill="1" applyBorder="1" applyAlignment="1">
      <alignment horizontal="left"/>
    </xf>
    <xf numFmtId="44" fontId="9" fillId="2" borderId="0" xfId="0" applyNumberFormat="1" applyFont="1" applyFill="1" applyBorder="1" applyAlignment="1">
      <alignment horizontal="left"/>
    </xf>
    <xf numFmtId="44" fontId="3" fillId="2" borderId="0" xfId="0" applyNumberFormat="1" applyFont="1" applyFill="1" applyAlignment="1">
      <alignment horizontal="left"/>
    </xf>
    <xf numFmtId="44" fontId="3" fillId="2" borderId="25" xfId="1" applyFont="1" applyFill="1" applyBorder="1" applyAlignment="1">
      <alignment horizontal="center" vertical="center"/>
    </xf>
    <xf numFmtId="44" fontId="5" fillId="2" borderId="35" xfId="0" applyNumberFormat="1" applyFont="1" applyFill="1" applyBorder="1" applyAlignment="1">
      <alignment horizontal="center"/>
    </xf>
    <xf numFmtId="44" fontId="3" fillId="2" borderId="1" xfId="0" applyNumberFormat="1" applyFont="1" applyFill="1" applyBorder="1" applyAlignment="1">
      <alignment horizontal="center"/>
    </xf>
    <xf numFmtId="0" fontId="3" fillId="2" borderId="0" xfId="0" applyFont="1" applyFill="1" applyBorder="1"/>
    <xf numFmtId="0" fontId="5" fillId="2" borderId="0" xfId="0" applyFont="1" applyFill="1" applyBorder="1" applyAlignment="1"/>
    <xf numFmtId="16" fontId="3" fillId="2" borderId="5" xfId="0" applyNumberFormat="1" applyFont="1" applyFill="1" applyBorder="1" applyAlignment="1">
      <alignment horizontal="center"/>
    </xf>
    <xf numFmtId="44" fontId="3" fillId="2" borderId="3" xfId="1" applyFont="1" applyFill="1" applyBorder="1"/>
    <xf numFmtId="44" fontId="11" fillId="2" borderId="1" xfId="1" applyFont="1" applyFill="1" applyBorder="1" applyAlignment="1">
      <alignment horizontal="center" vertical="center"/>
    </xf>
    <xf numFmtId="44" fontId="11" fillId="2" borderId="25" xfId="1" applyFont="1" applyFill="1" applyBorder="1" applyAlignment="1">
      <alignment horizontal="center" vertical="center"/>
    </xf>
    <xf numFmtId="44" fontId="11" fillId="5" borderId="1" xfId="1" applyFont="1" applyFill="1" applyBorder="1" applyAlignment="1">
      <alignment horizontal="center" vertical="center"/>
    </xf>
    <xf numFmtId="44" fontId="11" fillId="5" borderId="14" xfId="1" applyFont="1" applyFill="1" applyBorder="1" applyAlignment="1">
      <alignment horizontal="center" vertical="center"/>
    </xf>
    <xf numFmtId="44" fontId="11" fillId="5" borderId="34" xfId="1" applyFont="1" applyFill="1" applyBorder="1" applyAlignment="1">
      <alignment horizontal="center" vertical="center"/>
    </xf>
    <xf numFmtId="0" fontId="12" fillId="5" borderId="25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44" fontId="12" fillId="4" borderId="14" xfId="1" applyFont="1" applyFill="1" applyBorder="1" applyAlignment="1">
      <alignment horizontal="center" vertical="center"/>
    </xf>
    <xf numFmtId="0" fontId="0" fillId="5" borderId="1" xfId="0" applyFill="1" applyBorder="1"/>
    <xf numFmtId="0" fontId="0" fillId="2" borderId="34" xfId="0" applyFill="1" applyBorder="1" applyAlignment="1">
      <alignment horizontal="center"/>
    </xf>
    <xf numFmtId="0" fontId="0" fillId="2" borderId="0" xfId="0" applyFill="1" applyAlignment="1">
      <alignment horizontal="right"/>
    </xf>
    <xf numFmtId="44" fontId="2" fillId="7" borderId="47" xfId="1" applyFont="1" applyFill="1" applyBorder="1" applyAlignment="1">
      <alignment horizontal="center"/>
    </xf>
    <xf numFmtId="0" fontId="0" fillId="9" borderId="0" xfId="0" applyFill="1"/>
    <xf numFmtId="0" fontId="13" fillId="0" borderId="0" xfId="0" applyFont="1"/>
    <xf numFmtId="0" fontId="0" fillId="2" borderId="22" xfId="0" applyFill="1" applyBorder="1"/>
    <xf numFmtId="0" fontId="0" fillId="2" borderId="13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23" xfId="0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" fontId="0" fillId="2" borderId="3" xfId="0" applyNumberFormat="1" applyFill="1" applyBorder="1" applyAlignment="1">
      <alignment horizontal="center"/>
    </xf>
    <xf numFmtId="14" fontId="0" fillId="2" borderId="3" xfId="0" applyNumberFormat="1" applyFill="1" applyBorder="1" applyAlignment="1">
      <alignment horizontal="center"/>
    </xf>
    <xf numFmtId="14" fontId="0" fillId="2" borderId="4" xfId="0" applyNumberFormat="1" applyFill="1" applyBorder="1" applyAlignment="1">
      <alignment horizontal="center"/>
    </xf>
    <xf numFmtId="0" fontId="0" fillId="2" borderId="12" xfId="0" applyFill="1" applyBorder="1"/>
    <xf numFmtId="164" fontId="0" fillId="2" borderId="3" xfId="0" applyNumberFormat="1" applyFill="1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1" fontId="0" fillId="2" borderId="4" xfId="0" applyNumberFormat="1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1" fontId="0" fillId="2" borderId="34" xfId="0" applyNumberFormat="1" applyFill="1" applyBorder="1" applyAlignment="1">
      <alignment horizontal="center"/>
    </xf>
    <xf numFmtId="14" fontId="0" fillId="2" borderId="34" xfId="0" applyNumberFormat="1" applyFill="1" applyBorder="1" applyAlignment="1">
      <alignment horizontal="center"/>
    </xf>
    <xf numFmtId="164" fontId="0" fillId="2" borderId="34" xfId="0" applyNumberFormat="1" applyFill="1" applyBorder="1" applyAlignment="1">
      <alignment horizontal="center"/>
    </xf>
    <xf numFmtId="164" fontId="0" fillId="2" borderId="0" xfId="0" applyNumberFormat="1" applyFill="1"/>
    <xf numFmtId="0" fontId="3" fillId="2" borderId="0" xfId="0" applyFont="1" applyFill="1" applyAlignment="1">
      <alignment horizontal="center"/>
    </xf>
    <xf numFmtId="0" fontId="3" fillId="8" borderId="24" xfId="0" applyFont="1" applyFill="1" applyBorder="1"/>
    <xf numFmtId="44" fontId="3" fillId="2" borderId="37" xfId="1" applyFont="1" applyFill="1" applyBorder="1"/>
    <xf numFmtId="44" fontId="3" fillId="2" borderId="27" xfId="1" applyFont="1" applyFill="1" applyBorder="1"/>
    <xf numFmtId="44" fontId="3" fillId="2" borderId="14" xfId="1" applyFont="1" applyFill="1" applyBorder="1"/>
    <xf numFmtId="44" fontId="3" fillId="2" borderId="28" xfId="1" applyFont="1" applyFill="1" applyBorder="1"/>
    <xf numFmtId="44" fontId="3" fillId="2" borderId="26" xfId="1" applyFont="1" applyFill="1" applyBorder="1"/>
    <xf numFmtId="0" fontId="3" fillId="11" borderId="21" xfId="0" applyFont="1" applyFill="1" applyBorder="1"/>
    <xf numFmtId="0" fontId="0" fillId="2" borderId="0" xfId="0" applyFill="1" applyBorder="1"/>
    <xf numFmtId="0" fontId="0" fillId="5" borderId="13" xfId="0" applyFill="1" applyBorder="1"/>
    <xf numFmtId="0" fontId="0" fillId="5" borderId="14" xfId="0" applyFill="1" applyBorder="1"/>
    <xf numFmtId="0" fontId="0" fillId="5" borderId="15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12" borderId="3" xfId="0" applyFill="1" applyBorder="1"/>
    <xf numFmtId="0" fontId="0" fillId="12" borderId="1" xfId="0" applyFill="1" applyBorder="1"/>
    <xf numFmtId="0" fontId="0" fillId="12" borderId="4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3" borderId="33" xfId="0" applyFill="1" applyBorder="1"/>
    <xf numFmtId="44" fontId="10" fillId="3" borderId="10" xfId="1" applyFont="1" applyFill="1" applyBorder="1" applyAlignment="1">
      <alignment horizontal="right"/>
    </xf>
    <xf numFmtId="44" fontId="10" fillId="3" borderId="11" xfId="1" applyFont="1" applyFill="1" applyBorder="1" applyAlignment="1">
      <alignment horizontal="right"/>
    </xf>
    <xf numFmtId="16" fontId="10" fillId="3" borderId="45" xfId="0" applyNumberFormat="1" applyFont="1" applyFill="1" applyBorder="1" applyAlignment="1">
      <alignment horizontal="center"/>
    </xf>
    <xf numFmtId="44" fontId="10" fillId="3" borderId="45" xfId="1" applyNumberFormat="1" applyFont="1" applyFill="1" applyBorder="1" applyAlignment="1">
      <alignment horizontal="center" vertical="center"/>
    </xf>
    <xf numFmtId="44" fontId="10" fillId="3" borderId="45" xfId="1" applyFont="1" applyFill="1" applyBorder="1" applyAlignment="1">
      <alignment horizontal="right"/>
    </xf>
    <xf numFmtId="44" fontId="10" fillId="3" borderId="46" xfId="1" applyFont="1" applyFill="1" applyBorder="1" applyAlignment="1">
      <alignment horizontal="right"/>
    </xf>
    <xf numFmtId="44" fontId="10" fillId="3" borderId="6" xfId="1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right"/>
    </xf>
    <xf numFmtId="0" fontId="3" fillId="2" borderId="44" xfId="0" applyFont="1" applyFill="1" applyBorder="1"/>
    <xf numFmtId="44" fontId="5" fillId="7" borderId="0" xfId="1" applyFont="1" applyFill="1"/>
    <xf numFmtId="44" fontId="3" fillId="2" borderId="0" xfId="1" applyFont="1" applyFill="1" applyAlignment="1">
      <alignment horizontal="center"/>
    </xf>
    <xf numFmtId="44" fontId="2" fillId="2" borderId="0" xfId="1" applyFont="1" applyFill="1"/>
    <xf numFmtId="44" fontId="0" fillId="2" borderId="0" xfId="1" applyFont="1" applyFill="1"/>
    <xf numFmtId="44" fontId="0" fillId="2" borderId="0" xfId="0" applyNumberFormat="1" applyFill="1" applyBorder="1"/>
    <xf numFmtId="16" fontId="10" fillId="3" borderId="6" xfId="0" applyNumberFormat="1" applyFont="1" applyFill="1" applyBorder="1" applyAlignment="1">
      <alignment horizontal="center"/>
    </xf>
    <xf numFmtId="16" fontId="3" fillId="11" borderId="3" xfId="0" applyNumberFormat="1" applyFont="1" applyFill="1" applyBorder="1" applyAlignment="1">
      <alignment horizontal="center"/>
    </xf>
    <xf numFmtId="0" fontId="3" fillId="11" borderId="1" xfId="0" applyFont="1" applyFill="1" applyBorder="1"/>
    <xf numFmtId="0" fontId="4" fillId="10" borderId="56" xfId="0" applyFont="1" applyFill="1" applyBorder="1"/>
    <xf numFmtId="10" fontId="4" fillId="10" borderId="45" xfId="2" applyNumberFormat="1" applyFont="1" applyFill="1" applyBorder="1" applyAlignment="1">
      <alignment horizontal="center"/>
    </xf>
    <xf numFmtId="10" fontId="4" fillId="10" borderId="57" xfId="2" applyNumberFormat="1" applyFont="1" applyFill="1" applyBorder="1" applyAlignment="1">
      <alignment horizontal="center"/>
    </xf>
    <xf numFmtId="44" fontId="4" fillId="10" borderId="1" xfId="1" applyFont="1" applyFill="1" applyBorder="1"/>
    <xf numFmtId="0" fontId="4" fillId="4" borderId="0" xfId="0" applyFont="1" applyFill="1" applyBorder="1"/>
    <xf numFmtId="10" fontId="4" fillId="4" borderId="0" xfId="0" applyNumberFormat="1" applyFont="1" applyFill="1" applyBorder="1" applyAlignment="1">
      <alignment horizontal="center"/>
    </xf>
    <xf numFmtId="44" fontId="4" fillId="4" borderId="0" xfId="0" applyNumberFormat="1" applyFont="1" applyFill="1" applyBorder="1" applyAlignment="1">
      <alignment horizontal="center"/>
    </xf>
    <xf numFmtId="0" fontId="4" fillId="13" borderId="1" xfId="0" applyFont="1" applyFill="1" applyBorder="1"/>
    <xf numFmtId="44" fontId="4" fillId="13" borderId="1" xfId="1" applyFont="1" applyFill="1" applyBorder="1"/>
    <xf numFmtId="14" fontId="4" fillId="4" borderId="0" xfId="0" applyNumberFormat="1" applyFont="1" applyFill="1" applyBorder="1" applyAlignment="1">
      <alignment horizontal="center"/>
    </xf>
    <xf numFmtId="14" fontId="6" fillId="2" borderId="0" xfId="1" applyNumberFormat="1" applyFont="1" applyFill="1"/>
    <xf numFmtId="44" fontId="15" fillId="13" borderId="1" xfId="1" applyFont="1" applyFill="1" applyBorder="1"/>
    <xf numFmtId="0" fontId="0" fillId="3" borderId="1" xfId="0" applyFill="1" applyBorder="1" applyAlignment="1">
      <alignment horizontal="center" vertical="center"/>
    </xf>
    <xf numFmtId="10" fontId="0" fillId="2" borderId="1" xfId="2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5" fontId="0" fillId="14" borderId="1" xfId="2" applyNumberFormat="1" applyFont="1" applyFill="1" applyBorder="1" applyAlignment="1">
      <alignment horizontal="center" vertical="center"/>
    </xf>
    <xf numFmtId="10" fontId="0" fillId="14" borderId="1" xfId="2" applyNumberFormat="1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0" fontId="0" fillId="14" borderId="1" xfId="0" applyNumberFormat="1" applyFill="1" applyBorder="1" applyAlignment="1">
      <alignment horizontal="center" vertical="center"/>
    </xf>
    <xf numFmtId="10" fontId="0" fillId="2" borderId="1" xfId="0" applyNumberFormat="1" applyFill="1" applyBorder="1" applyAlignment="1">
      <alignment horizontal="center" vertical="center"/>
    </xf>
    <xf numFmtId="0" fontId="0" fillId="11" borderId="1" xfId="0" applyFill="1" applyBorder="1"/>
    <xf numFmtId="165" fontId="0" fillId="11" borderId="1" xfId="2" applyNumberFormat="1" applyFont="1" applyFill="1" applyBorder="1"/>
    <xf numFmtId="0" fontId="0" fillId="10" borderId="1" xfId="0" applyFill="1" applyBorder="1" applyAlignment="1">
      <alignment horizontal="center"/>
    </xf>
    <xf numFmtId="10" fontId="0" fillId="2" borderId="1" xfId="2" applyNumberFormat="1" applyFont="1" applyFill="1" applyBorder="1"/>
    <xf numFmtId="10" fontId="0" fillId="10" borderId="1" xfId="2" applyNumberFormat="1" applyFont="1" applyFill="1" applyBorder="1"/>
    <xf numFmtId="44" fontId="0" fillId="2" borderId="1" xfId="1" applyFont="1" applyFill="1" applyBorder="1"/>
    <xf numFmtId="0" fontId="0" fillId="8" borderId="1" xfId="0" applyFill="1" applyBorder="1" applyAlignment="1">
      <alignment horizontal="center"/>
    </xf>
    <xf numFmtId="165" fontId="0" fillId="2" borderId="1" xfId="2" applyNumberFormat="1" applyFont="1" applyFill="1" applyBorder="1"/>
    <xf numFmtId="10" fontId="0" fillId="13" borderId="1" xfId="2" applyNumberFormat="1" applyFont="1" applyFill="1" applyBorder="1"/>
    <xf numFmtId="0" fontId="0" fillId="2" borderId="1" xfId="0" applyNumberFormat="1" applyFill="1" applyBorder="1"/>
    <xf numFmtId="10" fontId="0" fillId="7" borderId="1" xfId="2" applyNumberFormat="1" applyFont="1" applyFill="1" applyBorder="1"/>
    <xf numFmtId="0" fontId="0" fillId="7" borderId="1" xfId="0" applyFill="1" applyBorder="1"/>
    <xf numFmtId="44" fontId="0" fillId="13" borderId="1" xfId="1" applyFont="1" applyFill="1" applyBorder="1"/>
    <xf numFmtId="10" fontId="0" fillId="7" borderId="1" xfId="0" applyNumberFormat="1" applyFill="1" applyBorder="1"/>
    <xf numFmtId="44" fontId="0" fillId="13" borderId="1" xfId="0" applyNumberFormat="1" applyFill="1" applyBorder="1"/>
    <xf numFmtId="10" fontId="0" fillId="15" borderId="1" xfId="2" applyNumberFormat="1" applyFont="1" applyFill="1" applyBorder="1"/>
    <xf numFmtId="0" fontId="11" fillId="16" borderId="0" xfId="0" applyFont="1" applyFill="1" applyAlignment="1">
      <alignment horizontal="center" vertical="center"/>
    </xf>
    <xf numFmtId="44" fontId="11" fillId="2" borderId="0" xfId="1" applyFont="1" applyFill="1" applyAlignment="1">
      <alignment horizontal="center" vertical="center"/>
    </xf>
    <xf numFmtId="0" fontId="11" fillId="2" borderId="0" xfId="0" applyFont="1" applyFill="1"/>
    <xf numFmtId="44" fontId="11" fillId="16" borderId="0" xfId="1" applyFont="1" applyFill="1" applyAlignment="1">
      <alignment horizontal="center" vertical="center"/>
    </xf>
    <xf numFmtId="0" fontId="17" fillId="16" borderId="0" xfId="0" applyFont="1" applyFill="1" applyBorder="1" applyAlignment="1">
      <alignment horizontal="center" vertical="center"/>
    </xf>
    <xf numFmtId="44" fontId="17" fillId="16" borderId="0" xfId="1" applyFont="1" applyFill="1" applyBorder="1" applyAlignment="1">
      <alignment horizontal="center" vertical="center"/>
    </xf>
    <xf numFmtId="44" fontId="17" fillId="16" borderId="0" xfId="0" applyNumberFormat="1" applyFont="1" applyFill="1" applyBorder="1" applyAlignment="1">
      <alignment horizontal="center" vertical="center"/>
    </xf>
    <xf numFmtId="44" fontId="18" fillId="16" borderId="0" xfId="1" applyFont="1" applyFill="1" applyBorder="1" applyAlignment="1">
      <alignment horizontal="center" vertical="center"/>
    </xf>
    <xf numFmtId="10" fontId="18" fillId="16" borderId="0" xfId="2" applyNumberFormat="1" applyFont="1" applyFill="1" applyBorder="1" applyAlignment="1">
      <alignment horizontal="center" vertical="center"/>
    </xf>
    <xf numFmtId="10" fontId="17" fillId="16" borderId="0" xfId="2" applyNumberFormat="1" applyFont="1" applyFill="1" applyBorder="1" applyAlignment="1">
      <alignment horizontal="center" vertical="center"/>
    </xf>
    <xf numFmtId="0" fontId="17" fillId="16" borderId="0" xfId="2" applyNumberFormat="1" applyFont="1" applyFill="1" applyBorder="1" applyAlignment="1">
      <alignment horizontal="center" vertical="center"/>
    </xf>
    <xf numFmtId="0" fontId="11" fillId="16" borderId="0" xfId="2" applyNumberFormat="1" applyFont="1" applyFill="1" applyAlignment="1">
      <alignment horizontal="center" vertical="center"/>
    </xf>
    <xf numFmtId="10" fontId="11" fillId="16" borderId="0" xfId="0" applyNumberFormat="1" applyFont="1" applyFill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19" fillId="16" borderId="0" xfId="0" applyFont="1" applyFill="1" applyAlignment="1">
      <alignment horizontal="center" vertical="center"/>
    </xf>
    <xf numFmtId="0" fontId="19" fillId="16" borderId="0" xfId="2" applyNumberFormat="1" applyFont="1" applyFill="1" applyAlignment="1">
      <alignment horizontal="center" vertical="center"/>
    </xf>
    <xf numFmtId="1" fontId="19" fillId="16" borderId="0" xfId="0" applyNumberFormat="1" applyFont="1" applyFill="1" applyAlignment="1">
      <alignment horizontal="center" vertical="center"/>
    </xf>
    <xf numFmtId="166" fontId="19" fillId="16" borderId="0" xfId="0" applyNumberFormat="1" applyFont="1" applyFill="1" applyAlignment="1">
      <alignment horizontal="center" vertical="center"/>
    </xf>
    <xf numFmtId="167" fontId="11" fillId="2" borderId="0" xfId="2" applyNumberFormat="1" applyFont="1" applyFill="1" applyAlignment="1">
      <alignment horizontal="center" vertical="center"/>
    </xf>
    <xf numFmtId="167" fontId="11" fillId="7" borderId="42" xfId="0" applyNumberFormat="1" applyFont="1" applyFill="1" applyBorder="1" applyAlignment="1">
      <alignment horizontal="center" vertical="center"/>
    </xf>
    <xf numFmtId="44" fontId="11" fillId="7" borderId="12" xfId="1" applyFont="1" applyFill="1" applyBorder="1" applyAlignment="1">
      <alignment horizontal="center" vertical="center"/>
    </xf>
    <xf numFmtId="16" fontId="11" fillId="16" borderId="0" xfId="0" applyNumberFormat="1" applyFont="1" applyFill="1" applyAlignment="1">
      <alignment horizontal="center" vertical="center"/>
    </xf>
    <xf numFmtId="1" fontId="11" fillId="11" borderId="41" xfId="1" applyNumberFormat="1" applyFont="1" applyFill="1" applyBorder="1" applyAlignment="1">
      <alignment horizontal="center" vertical="center"/>
    </xf>
    <xf numFmtId="0" fontId="11" fillId="11" borderId="23" xfId="0" applyFont="1" applyFill="1" applyBorder="1" applyAlignment="1">
      <alignment horizontal="center" vertical="center"/>
    </xf>
    <xf numFmtId="44" fontId="11" fillId="2" borderId="41" xfId="1" applyFont="1" applyFill="1" applyBorder="1" applyAlignment="1">
      <alignment horizontal="center" vertical="center"/>
    </xf>
    <xf numFmtId="44" fontId="11" fillId="7" borderId="23" xfId="1" applyFont="1" applyFill="1" applyBorder="1" applyAlignment="1">
      <alignment horizontal="center" vertical="center"/>
    </xf>
    <xf numFmtId="44" fontId="12" fillId="2" borderId="41" xfId="1" applyFont="1" applyFill="1" applyBorder="1" applyAlignment="1">
      <alignment horizontal="center" vertical="center"/>
    </xf>
    <xf numFmtId="1" fontId="11" fillId="7" borderId="41" xfId="0" applyNumberFormat="1" applyFont="1" applyFill="1" applyBorder="1" applyAlignment="1">
      <alignment horizontal="left" vertical="center" indent="3"/>
    </xf>
    <xf numFmtId="1" fontId="11" fillId="7" borderId="41" xfId="0" applyNumberFormat="1" applyFont="1" applyFill="1" applyBorder="1" applyAlignment="1">
      <alignment horizontal="center" vertical="center"/>
    </xf>
    <xf numFmtId="0" fontId="11" fillId="16" borderId="55" xfId="0" applyFont="1" applyFill="1" applyBorder="1" applyAlignment="1"/>
    <xf numFmtId="44" fontId="11" fillId="16" borderId="55" xfId="0" applyNumberFormat="1" applyFont="1" applyFill="1" applyBorder="1" applyAlignment="1"/>
    <xf numFmtId="0" fontId="20" fillId="14" borderId="47" xfId="0" applyFont="1" applyFill="1" applyBorder="1" applyAlignment="1">
      <alignment horizontal="center" vertical="center"/>
    </xf>
    <xf numFmtId="44" fontId="11" fillId="2" borderId="7" xfId="1" applyFont="1" applyFill="1" applyBorder="1" applyAlignment="1">
      <alignment horizontal="center" vertical="center"/>
    </xf>
    <xf numFmtId="44" fontId="11" fillId="14" borderId="6" xfId="1" applyNumberFormat="1" applyFont="1" applyFill="1" applyBorder="1" applyAlignment="1">
      <alignment horizontal="center" vertical="center"/>
    </xf>
    <xf numFmtId="1" fontId="11" fillId="2" borderId="60" xfId="0" applyNumberFormat="1" applyFont="1" applyFill="1" applyBorder="1" applyAlignment="1">
      <alignment horizontal="center" vertical="center"/>
    </xf>
    <xf numFmtId="1" fontId="11" fillId="2" borderId="5" xfId="0" applyNumberFormat="1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14" fontId="11" fillId="7" borderId="41" xfId="0" applyNumberFormat="1" applyFont="1" applyFill="1" applyBorder="1" applyAlignment="1">
      <alignment horizontal="center" vertical="center"/>
    </xf>
    <xf numFmtId="44" fontId="11" fillId="2" borderId="4" xfId="1" applyFont="1" applyFill="1" applyBorder="1" applyAlignment="1">
      <alignment horizontal="center" vertical="center"/>
    </xf>
    <xf numFmtId="44" fontId="11" fillId="14" borderId="1" xfId="1" applyNumberFormat="1" applyFont="1" applyFill="1" applyBorder="1" applyAlignment="1">
      <alignment horizontal="center" vertical="center"/>
    </xf>
    <xf numFmtId="1" fontId="11" fillId="2" borderId="28" xfId="0" applyNumberFormat="1" applyFont="1" applyFill="1" applyBorder="1" applyAlignment="1">
      <alignment horizontal="center" vertical="center"/>
    </xf>
    <xf numFmtId="1" fontId="11" fillId="2" borderId="3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/>
    </xf>
    <xf numFmtId="44" fontId="11" fillId="11" borderId="1" xfId="1" applyFont="1" applyFill="1" applyBorder="1" applyAlignment="1">
      <alignment horizontal="center" vertical="center"/>
    </xf>
    <xf numFmtId="44" fontId="11" fillId="8" borderId="1" xfId="1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44" fontId="11" fillId="2" borderId="11" xfId="1" applyFont="1" applyFill="1" applyBorder="1" applyAlignment="1">
      <alignment horizontal="center" vertical="center"/>
    </xf>
    <xf numFmtId="44" fontId="11" fillId="14" borderId="10" xfId="1" applyNumberFormat="1" applyFont="1" applyFill="1" applyBorder="1" applyAlignment="1">
      <alignment horizontal="center" vertical="center"/>
    </xf>
    <xf numFmtId="1" fontId="11" fillId="2" borderId="62" xfId="0" applyNumberFormat="1" applyFont="1" applyFill="1" applyBorder="1" applyAlignment="1">
      <alignment horizontal="center" vertical="center"/>
    </xf>
    <xf numFmtId="1" fontId="11" fillId="2" borderId="2" xfId="0" applyNumberFormat="1" applyFont="1" applyFill="1" applyBorder="1" applyAlignment="1">
      <alignment horizontal="center" vertical="center"/>
    </xf>
    <xf numFmtId="0" fontId="11" fillId="14" borderId="10" xfId="0" applyFont="1" applyFill="1" applyBorder="1" applyAlignment="1">
      <alignment horizontal="center" vertical="center"/>
    </xf>
    <xf numFmtId="44" fontId="11" fillId="2" borderId="52" xfId="1" applyFont="1" applyFill="1" applyBorder="1" applyAlignment="1">
      <alignment horizontal="center" vertical="center"/>
    </xf>
    <xf numFmtId="44" fontId="11" fillId="14" borderId="25" xfId="1" applyNumberFormat="1" applyFont="1" applyFill="1" applyBorder="1" applyAlignment="1">
      <alignment horizontal="center" vertical="center"/>
    </xf>
    <xf numFmtId="1" fontId="11" fillId="2" borderId="26" xfId="0" applyNumberFormat="1" applyFont="1" applyFill="1" applyBorder="1" applyAlignment="1">
      <alignment horizontal="center" vertical="center"/>
    </xf>
    <xf numFmtId="1" fontId="11" fillId="2" borderId="37" xfId="0" applyNumberFormat="1" applyFont="1" applyFill="1" applyBorder="1" applyAlignment="1">
      <alignment horizontal="center" vertical="center"/>
    </xf>
    <xf numFmtId="0" fontId="11" fillId="14" borderId="25" xfId="0" applyFont="1" applyFill="1" applyBorder="1" applyAlignment="1">
      <alignment horizontal="center" vertical="center"/>
    </xf>
    <xf numFmtId="0" fontId="11" fillId="11" borderId="1" xfId="0" applyFont="1" applyFill="1" applyBorder="1" applyAlignment="1">
      <alignment horizontal="center" vertical="center"/>
    </xf>
    <xf numFmtId="0" fontId="11" fillId="14" borderId="15" xfId="0" applyFont="1" applyFill="1" applyBorder="1" applyAlignment="1">
      <alignment horizontal="center" vertical="center"/>
    </xf>
    <xf numFmtId="0" fontId="11" fillId="14" borderId="14" xfId="0" applyFont="1" applyFill="1" applyBorder="1" applyAlignment="1">
      <alignment horizontal="center" vertical="center"/>
    </xf>
    <xf numFmtId="0" fontId="11" fillId="14" borderId="27" xfId="0" applyFont="1" applyFill="1" applyBorder="1" applyAlignment="1">
      <alignment horizontal="center" vertical="center"/>
    </xf>
    <xf numFmtId="0" fontId="11" fillId="14" borderId="13" xfId="0" applyFont="1" applyFill="1" applyBorder="1" applyAlignment="1">
      <alignment horizontal="center" vertical="center"/>
    </xf>
    <xf numFmtId="0" fontId="11" fillId="14" borderId="3" xfId="0" applyFont="1" applyFill="1" applyBorder="1" applyAlignment="1">
      <alignment horizontal="center" vertical="center"/>
    </xf>
    <xf numFmtId="0" fontId="12" fillId="14" borderId="64" xfId="0" applyFont="1" applyFill="1" applyBorder="1" applyAlignment="1">
      <alignment vertical="center"/>
    </xf>
    <xf numFmtId="0" fontId="12" fillId="14" borderId="22" xfId="0" applyFont="1" applyFill="1" applyBorder="1" applyAlignment="1">
      <alignment vertical="center"/>
    </xf>
    <xf numFmtId="0" fontId="0" fillId="12" borderId="0" xfId="0" applyFill="1"/>
    <xf numFmtId="44" fontId="0" fillId="12" borderId="0" xfId="1" applyFont="1" applyFill="1"/>
    <xf numFmtId="2" fontId="0" fillId="12" borderId="0" xfId="1" applyNumberFormat="1" applyFont="1" applyFill="1"/>
    <xf numFmtId="16" fontId="0" fillId="12" borderId="0" xfId="0" applyNumberFormat="1" applyFill="1"/>
    <xf numFmtId="44" fontId="0" fillId="12" borderId="0" xfId="0" applyNumberFormat="1" applyFill="1"/>
    <xf numFmtId="1" fontId="0" fillId="12" borderId="0" xfId="1" applyNumberFormat="1" applyFont="1" applyFill="1"/>
    <xf numFmtId="0" fontId="0" fillId="7" borderId="27" xfId="0" applyFill="1" applyBorder="1"/>
    <xf numFmtId="44" fontId="0" fillId="7" borderId="44" xfId="1" applyFont="1" applyFill="1" applyBorder="1"/>
    <xf numFmtId="0" fontId="23" fillId="7" borderId="44" xfId="0" applyFont="1" applyFill="1" applyBorder="1"/>
    <xf numFmtId="44" fontId="23" fillId="7" borderId="44" xfId="1" applyFont="1" applyFill="1" applyBorder="1"/>
    <xf numFmtId="0" fontId="0" fillId="7" borderId="44" xfId="0" applyFill="1" applyBorder="1"/>
    <xf numFmtId="0" fontId="0" fillId="7" borderId="38" xfId="0" applyFill="1" applyBorder="1"/>
    <xf numFmtId="0" fontId="0" fillId="10" borderId="27" xfId="0" applyFill="1" applyBorder="1"/>
    <xf numFmtId="44" fontId="0" fillId="10" borderId="44" xfId="1" applyFont="1" applyFill="1" applyBorder="1"/>
    <xf numFmtId="0" fontId="24" fillId="10" borderId="44" xfId="0" applyFont="1" applyFill="1" applyBorder="1"/>
    <xf numFmtId="44" fontId="24" fillId="10" borderId="44" xfId="1" applyFont="1" applyFill="1" applyBorder="1"/>
    <xf numFmtId="0" fontId="0" fillId="10" borderId="44" xfId="0" applyFill="1" applyBorder="1"/>
    <xf numFmtId="0" fontId="0" fillId="10" borderId="38" xfId="0" applyFill="1" applyBorder="1"/>
    <xf numFmtId="0" fontId="0" fillId="7" borderId="65" xfId="0" applyFill="1" applyBorder="1"/>
    <xf numFmtId="44" fontId="0" fillId="3" borderId="1" xfId="1" applyFont="1" applyFill="1" applyBorder="1" applyAlignment="1">
      <alignment horizontal="center" vertical="center"/>
    </xf>
    <xf numFmtId="0" fontId="0" fillId="7" borderId="66" xfId="0" applyFill="1" applyBorder="1"/>
    <xf numFmtId="0" fontId="0" fillId="10" borderId="65" xfId="0" applyFill="1" applyBorder="1"/>
    <xf numFmtId="0" fontId="0" fillId="10" borderId="66" xfId="0" applyFill="1" applyBorder="1"/>
    <xf numFmtId="44" fontId="0" fillId="2" borderId="1" xfId="1" applyFont="1" applyFill="1" applyBorder="1" applyAlignment="1">
      <alignment horizontal="center" vertical="center"/>
    </xf>
    <xf numFmtId="168" fontId="0" fillId="2" borderId="1" xfId="0" applyNumberFormat="1" applyFill="1" applyBorder="1" applyAlignment="1">
      <alignment horizontal="center" vertical="center"/>
    </xf>
    <xf numFmtId="0" fontId="0" fillId="7" borderId="0" xfId="0" applyFill="1" applyBorder="1"/>
    <xf numFmtId="0" fontId="0" fillId="10" borderId="0" xfId="0" applyFill="1" applyBorder="1"/>
    <xf numFmtId="0" fontId="24" fillId="10" borderId="0" xfId="0" applyFont="1" applyFill="1" applyBorder="1"/>
    <xf numFmtId="0" fontId="0" fillId="7" borderId="26" xfId="0" applyFill="1" applyBorder="1"/>
    <xf numFmtId="0" fontId="0" fillId="7" borderId="35" xfId="0" applyFill="1" applyBorder="1"/>
    <xf numFmtId="0" fontId="0" fillId="10" borderId="26" xfId="0" applyFill="1" applyBorder="1"/>
    <xf numFmtId="0" fontId="0" fillId="10" borderId="35" xfId="0" applyFill="1" applyBorder="1"/>
    <xf numFmtId="44" fontId="0" fillId="12" borderId="0" xfId="1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8" borderId="27" xfId="0" applyFill="1" applyBorder="1"/>
    <xf numFmtId="44" fontId="0" fillId="8" borderId="44" xfId="1" applyFont="1" applyFill="1" applyBorder="1" applyAlignment="1">
      <alignment horizontal="center" vertical="center"/>
    </xf>
    <xf numFmtId="0" fontId="26" fillId="8" borderId="44" xfId="0" applyFont="1" applyFill="1" applyBorder="1" applyAlignment="1">
      <alignment horizontal="center" vertical="center"/>
    </xf>
    <xf numFmtId="0" fontId="26" fillId="8" borderId="44" xfId="0" applyFont="1" applyFill="1" applyBorder="1"/>
    <xf numFmtId="44" fontId="26" fillId="8" borderId="44" xfId="1" applyFont="1" applyFill="1" applyBorder="1" applyAlignment="1">
      <alignment horizontal="center" vertical="center"/>
    </xf>
    <xf numFmtId="0" fontId="0" fillId="8" borderId="38" xfId="0" applyFill="1" applyBorder="1"/>
    <xf numFmtId="0" fontId="0" fillId="4" borderId="27" xfId="0" applyFill="1" applyBorder="1"/>
    <xf numFmtId="44" fontId="0" fillId="4" borderId="44" xfId="1" applyFont="1" applyFill="1" applyBorder="1" applyAlignment="1">
      <alignment horizontal="center" vertical="center"/>
    </xf>
    <xf numFmtId="0" fontId="16" fillId="4" borderId="44" xfId="0" applyFont="1" applyFill="1" applyBorder="1" applyAlignment="1">
      <alignment horizontal="center" vertical="center"/>
    </xf>
    <xf numFmtId="0" fontId="16" fillId="4" borderId="44" xfId="0" applyFont="1" applyFill="1" applyBorder="1"/>
    <xf numFmtId="44" fontId="16" fillId="4" borderId="44" xfId="1" applyFont="1" applyFill="1" applyBorder="1" applyAlignment="1">
      <alignment horizontal="center" vertical="center"/>
    </xf>
    <xf numFmtId="0" fontId="0" fillId="4" borderId="44" xfId="0" applyFill="1" applyBorder="1" applyAlignment="1">
      <alignment horizontal="center" vertical="center"/>
    </xf>
    <xf numFmtId="0" fontId="0" fillId="4" borderId="38" xfId="0" applyFill="1" applyBorder="1"/>
    <xf numFmtId="0" fontId="0" fillId="8" borderId="65" xfId="0" applyFill="1" applyBorder="1"/>
    <xf numFmtId="0" fontId="0" fillId="8" borderId="44" xfId="0" applyFill="1" applyBorder="1"/>
    <xf numFmtId="0" fontId="0" fillId="8" borderId="66" xfId="0" applyFill="1" applyBorder="1"/>
    <xf numFmtId="0" fontId="0" fillId="4" borderId="65" xfId="0" applyFill="1" applyBorder="1"/>
    <xf numFmtId="0" fontId="0" fillId="4" borderId="44" xfId="0" applyFill="1" applyBorder="1"/>
    <xf numFmtId="0" fontId="0" fillId="4" borderId="66" xfId="0" applyFill="1" applyBorder="1"/>
    <xf numFmtId="0" fontId="0" fillId="8" borderId="0" xfId="0" applyFill="1" applyBorder="1"/>
    <xf numFmtId="0" fontId="0" fillId="4" borderId="0" xfId="0" applyFill="1" applyBorder="1"/>
    <xf numFmtId="0" fontId="26" fillId="8" borderId="66" xfId="0" applyFont="1" applyFill="1" applyBorder="1"/>
    <xf numFmtId="0" fontId="0" fillId="8" borderId="26" xfId="0" applyFill="1" applyBorder="1"/>
    <xf numFmtId="0" fontId="0" fillId="8" borderId="35" xfId="0" applyFill="1" applyBorder="1"/>
    <xf numFmtId="0" fontId="0" fillId="4" borderId="26" xfId="0" applyFill="1" applyBorder="1"/>
    <xf numFmtId="0" fontId="0" fillId="4" borderId="35" xfId="0" applyFill="1" applyBorder="1"/>
    <xf numFmtId="0" fontId="0" fillId="8" borderId="44" xfId="0" applyFill="1" applyBorder="1" applyAlignment="1">
      <alignment horizontal="center" vertical="center"/>
    </xf>
    <xf numFmtId="0" fontId="0" fillId="17" borderId="0" xfId="0" applyFill="1"/>
    <xf numFmtId="0" fontId="27" fillId="17" borderId="0" xfId="0" applyFont="1" applyFill="1"/>
    <xf numFmtId="44" fontId="0" fillId="17" borderId="0" xfId="1" applyFont="1" applyFill="1"/>
    <xf numFmtId="16" fontId="0" fillId="17" borderId="0" xfId="0" applyNumberFormat="1" applyFill="1"/>
    <xf numFmtId="44" fontId="0" fillId="17" borderId="0" xfId="0" applyNumberFormat="1" applyFill="1"/>
    <xf numFmtId="0" fontId="0" fillId="17" borderId="0" xfId="0" applyFill="1" applyBorder="1"/>
    <xf numFmtId="0" fontId="27" fillId="17" borderId="0" xfId="0" applyFont="1" applyFill="1" applyBorder="1"/>
    <xf numFmtId="0" fontId="2" fillId="2" borderId="0" xfId="0" applyFont="1" applyFill="1"/>
    <xf numFmtId="0" fontId="2" fillId="17" borderId="0" xfId="0" applyFont="1" applyFill="1"/>
    <xf numFmtId="44" fontId="2" fillId="10" borderId="27" xfId="1" applyFont="1" applyFill="1" applyBorder="1" applyAlignment="1">
      <alignment horizontal="center" vertical="center"/>
    </xf>
    <xf numFmtId="44" fontId="2" fillId="17" borderId="61" xfId="1" applyFont="1" applyFill="1" applyBorder="1" applyAlignment="1">
      <alignment horizontal="center" vertical="center"/>
    </xf>
    <xf numFmtId="1" fontId="2" fillId="10" borderId="27" xfId="1" applyNumberFormat="1" applyFont="1" applyFill="1" applyBorder="1" applyAlignment="1">
      <alignment horizontal="center" vertical="center"/>
    </xf>
    <xf numFmtId="0" fontId="2" fillId="17" borderId="0" xfId="0" applyFont="1" applyFill="1" applyBorder="1"/>
    <xf numFmtId="0" fontId="2" fillId="17" borderId="67" xfId="0" applyFont="1" applyFill="1" applyBorder="1"/>
    <xf numFmtId="44" fontId="0" fillId="14" borderId="7" xfId="1" applyFont="1" applyFill="1" applyBorder="1" applyAlignment="1">
      <alignment horizontal="center" vertical="center"/>
    </xf>
    <xf numFmtId="44" fontId="0" fillId="0" borderId="6" xfId="1" applyFon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44" fontId="0" fillId="14" borderId="6" xfId="1" applyFont="1" applyFill="1" applyBorder="1" applyAlignment="1">
      <alignment horizontal="center" vertical="center"/>
    </xf>
    <xf numFmtId="1" fontId="0" fillId="14" borderId="5" xfId="0" applyNumberFormat="1" applyFill="1" applyBorder="1" applyAlignment="1">
      <alignment horizontal="center" vertical="center"/>
    </xf>
    <xf numFmtId="44" fontId="0" fillId="14" borderId="48" xfId="1" applyFont="1" applyFill="1" applyBorder="1" applyAlignment="1">
      <alignment horizontal="center" vertical="center"/>
    </xf>
    <xf numFmtId="0" fontId="2" fillId="14" borderId="34" xfId="0" applyFont="1" applyFill="1" applyBorder="1"/>
    <xf numFmtId="44" fontId="0" fillId="14" borderId="4" xfId="1" applyFont="1" applyFill="1" applyBorder="1" applyAlignment="1">
      <alignment horizontal="center" vertical="center"/>
    </xf>
    <xf numFmtId="44" fontId="0" fillId="0" borderId="1" xfId="1" applyFon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44" fontId="0" fillId="14" borderId="1" xfId="1" applyFont="1" applyFill="1" applyBorder="1" applyAlignment="1">
      <alignment horizontal="center" vertical="center"/>
    </xf>
    <xf numFmtId="1" fontId="0" fillId="14" borderId="3" xfId="0" applyNumberFormat="1" applyFill="1" applyBorder="1" applyAlignment="1">
      <alignment horizontal="center" vertical="center"/>
    </xf>
    <xf numFmtId="44" fontId="0" fillId="14" borderId="34" xfId="1" applyFont="1" applyFill="1" applyBorder="1" applyAlignment="1">
      <alignment horizontal="center" vertical="center"/>
    </xf>
    <xf numFmtId="0" fontId="0" fillId="14" borderId="15" xfId="0" applyFill="1" applyBorder="1" applyAlignment="1">
      <alignment horizontal="center" vertical="center"/>
    </xf>
    <xf numFmtId="0" fontId="0" fillId="14" borderId="14" xfId="0" applyFill="1" applyBorder="1" applyAlignment="1">
      <alignment horizontal="center" vertical="center"/>
    </xf>
    <xf numFmtId="0" fontId="0" fillId="14" borderId="13" xfId="0" applyFill="1" applyBorder="1" applyAlignment="1">
      <alignment horizontal="center" vertical="center"/>
    </xf>
    <xf numFmtId="0" fontId="0" fillId="14" borderId="38" xfId="0" applyFill="1" applyBorder="1" applyAlignment="1">
      <alignment horizontal="center" vertical="center"/>
    </xf>
    <xf numFmtId="1" fontId="11" fillId="14" borderId="3" xfId="0" applyNumberFormat="1" applyFont="1" applyFill="1" applyBorder="1" applyAlignment="1">
      <alignment horizontal="center" vertical="center"/>
    </xf>
    <xf numFmtId="1" fontId="11" fillId="14" borderId="28" xfId="0" applyNumberFormat="1" applyFont="1" applyFill="1" applyBorder="1" applyAlignment="1">
      <alignment horizontal="center" vertical="center"/>
    </xf>
    <xf numFmtId="44" fontId="11" fillId="14" borderId="4" xfId="1" applyFont="1" applyFill="1" applyBorder="1" applyAlignment="1">
      <alignment horizontal="center" vertical="center"/>
    </xf>
    <xf numFmtId="1" fontId="11" fillId="14" borderId="5" xfId="0" applyNumberFormat="1" applyFont="1" applyFill="1" applyBorder="1" applyAlignment="1">
      <alignment horizontal="center" vertical="center"/>
    </xf>
    <xf numFmtId="1" fontId="11" fillId="14" borderId="60" xfId="0" applyNumberFormat="1" applyFont="1" applyFill="1" applyBorder="1" applyAlignment="1">
      <alignment horizontal="center" vertical="center"/>
    </xf>
    <xf numFmtId="44" fontId="11" fillId="14" borderId="7" xfId="1" applyFont="1" applyFill="1" applyBorder="1" applyAlignment="1">
      <alignment horizontal="center" vertical="center"/>
    </xf>
    <xf numFmtId="1" fontId="11" fillId="14" borderId="2" xfId="0" applyNumberFormat="1" applyFont="1" applyFill="1" applyBorder="1" applyAlignment="1">
      <alignment horizontal="center" vertical="center"/>
    </xf>
    <xf numFmtId="1" fontId="11" fillId="14" borderId="62" xfId="0" applyNumberFormat="1" applyFont="1" applyFill="1" applyBorder="1" applyAlignment="1">
      <alignment horizontal="center" vertical="center"/>
    </xf>
    <xf numFmtId="44" fontId="11" fillId="14" borderId="11" xfId="1" applyFont="1" applyFill="1" applyBorder="1" applyAlignment="1">
      <alignment horizontal="center" vertical="center"/>
    </xf>
    <xf numFmtId="44" fontId="3" fillId="2" borderId="0" xfId="1" applyFont="1" applyFill="1"/>
    <xf numFmtId="0" fontId="0" fillId="5" borderId="2" xfId="0" applyFill="1" applyBorder="1"/>
    <xf numFmtId="0" fontId="0" fillId="5" borderId="10" xfId="0" applyFill="1" applyBorder="1"/>
    <xf numFmtId="0" fontId="0" fillId="5" borderId="11" xfId="0" applyFill="1" applyBorder="1"/>
    <xf numFmtId="0" fontId="0" fillId="12" borderId="13" xfId="0" applyFill="1" applyBorder="1"/>
    <xf numFmtId="0" fontId="0" fillId="12" borderId="14" xfId="0" applyFill="1" applyBorder="1"/>
    <xf numFmtId="0" fontId="0" fillId="12" borderId="15" xfId="0" applyFill="1" applyBorder="1"/>
    <xf numFmtId="0" fontId="3" fillId="2" borderId="0" xfId="0" applyFont="1" applyFill="1" applyAlignment="1"/>
    <xf numFmtId="0" fontId="29" fillId="11" borderId="44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44" fontId="30" fillId="14" borderId="10" xfId="1" applyNumberFormat="1" applyFont="1" applyFill="1" applyBorder="1" applyAlignment="1">
      <alignment horizontal="center" vertical="center"/>
    </xf>
    <xf numFmtId="44" fontId="30" fillId="14" borderId="1" xfId="1" applyNumberFormat="1" applyFont="1" applyFill="1" applyBorder="1" applyAlignment="1">
      <alignment horizontal="center" vertical="center"/>
    </xf>
    <xf numFmtId="44" fontId="30" fillId="14" borderId="6" xfId="1" applyNumberFormat="1" applyFont="1" applyFill="1" applyBorder="1" applyAlignment="1">
      <alignment horizontal="center" vertical="center"/>
    </xf>
    <xf numFmtId="1" fontId="30" fillId="14" borderId="3" xfId="0" applyNumberFormat="1" applyFont="1" applyFill="1" applyBorder="1" applyAlignment="1">
      <alignment horizontal="center" vertical="center"/>
    </xf>
    <xf numFmtId="1" fontId="30" fillId="14" borderId="28" xfId="0" applyNumberFormat="1" applyFont="1" applyFill="1" applyBorder="1" applyAlignment="1">
      <alignment horizontal="center" vertical="center"/>
    </xf>
    <xf numFmtId="44" fontId="30" fillId="14" borderId="4" xfId="1" applyFont="1" applyFill="1" applyBorder="1" applyAlignment="1">
      <alignment horizontal="center" vertical="center"/>
    </xf>
    <xf numFmtId="44" fontId="30" fillId="14" borderId="11" xfId="1" applyFont="1" applyFill="1" applyBorder="1" applyAlignment="1">
      <alignment horizontal="center" vertical="center"/>
    </xf>
    <xf numFmtId="1" fontId="30" fillId="14" borderId="2" xfId="0" applyNumberFormat="1" applyFont="1" applyFill="1" applyBorder="1" applyAlignment="1">
      <alignment horizontal="center" vertical="center"/>
    </xf>
    <xf numFmtId="1" fontId="30" fillId="14" borderId="62" xfId="0" applyNumberFormat="1" applyFont="1" applyFill="1" applyBorder="1" applyAlignment="1">
      <alignment horizontal="center" vertical="center"/>
    </xf>
    <xf numFmtId="0" fontId="11" fillId="16" borderId="1" xfId="0" applyFont="1" applyFill="1" applyBorder="1" applyAlignment="1">
      <alignment horizontal="center" vertical="center"/>
    </xf>
    <xf numFmtId="0" fontId="20" fillId="16" borderId="1" xfId="0" applyFont="1" applyFill="1" applyBorder="1" applyAlignment="1">
      <alignment horizontal="center" vertical="center"/>
    </xf>
    <xf numFmtId="0" fontId="11" fillId="16" borderId="2" xfId="0" applyFont="1" applyFill="1" applyBorder="1" applyAlignment="1">
      <alignment horizontal="center" vertical="center"/>
    </xf>
    <xf numFmtId="0" fontId="11" fillId="16" borderId="10" xfId="0" applyFont="1" applyFill="1" applyBorder="1" applyAlignment="1">
      <alignment horizontal="center" vertical="center"/>
    </xf>
    <xf numFmtId="0" fontId="11" fillId="16" borderId="11" xfId="0" applyFont="1" applyFill="1" applyBorder="1" applyAlignment="1">
      <alignment horizontal="center" vertical="center"/>
    </xf>
    <xf numFmtId="0" fontId="11" fillId="16" borderId="3" xfId="0" applyFont="1" applyFill="1" applyBorder="1" applyAlignment="1">
      <alignment horizontal="center" vertical="center"/>
    </xf>
    <xf numFmtId="0" fontId="11" fillId="16" borderId="4" xfId="0" applyFont="1" applyFill="1" applyBorder="1" applyAlignment="1">
      <alignment horizontal="center" vertical="center"/>
    </xf>
    <xf numFmtId="0" fontId="20" fillId="16" borderId="3" xfId="0" applyFont="1" applyFill="1" applyBorder="1" applyAlignment="1">
      <alignment horizontal="center" vertical="center"/>
    </xf>
    <xf numFmtId="0" fontId="11" fillId="16" borderId="5" xfId="0" applyFont="1" applyFill="1" applyBorder="1" applyAlignment="1">
      <alignment horizontal="center" vertical="center"/>
    </xf>
    <xf numFmtId="0" fontId="11" fillId="16" borderId="6" xfId="0" applyFont="1" applyFill="1" applyBorder="1" applyAlignment="1">
      <alignment horizontal="center" vertical="center"/>
    </xf>
    <xf numFmtId="0" fontId="11" fillId="16" borderId="7" xfId="0" applyFont="1" applyFill="1" applyBorder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11" fillId="16" borderId="0" xfId="0" applyFont="1" applyFill="1" applyBorder="1" applyAlignment="1">
      <alignment horizontal="center" vertical="center"/>
    </xf>
    <xf numFmtId="44" fontId="11" fillId="2" borderId="34" xfId="1" applyFont="1" applyFill="1" applyBorder="1" applyAlignment="1">
      <alignment horizontal="center" vertical="center"/>
    </xf>
    <xf numFmtId="44" fontId="11" fillId="2" borderId="35" xfId="1" applyFont="1" applyFill="1" applyBorder="1" applyAlignment="1">
      <alignment horizontal="center" vertical="center"/>
    </xf>
    <xf numFmtId="44" fontId="11" fillId="2" borderId="29" xfId="1" applyFont="1" applyFill="1" applyBorder="1" applyAlignment="1">
      <alignment horizontal="center" vertical="center"/>
    </xf>
    <xf numFmtId="44" fontId="11" fillId="2" borderId="48" xfId="1" applyFont="1" applyFill="1" applyBorder="1" applyAlignment="1">
      <alignment horizontal="center" vertical="center"/>
    </xf>
    <xf numFmtId="44" fontId="20" fillId="11" borderId="1" xfId="1" applyFont="1" applyFill="1" applyBorder="1" applyAlignment="1">
      <alignment horizontal="center" vertical="center"/>
    </xf>
    <xf numFmtId="44" fontId="11" fillId="11" borderId="6" xfId="1" applyFont="1" applyFill="1" applyBorder="1" applyAlignment="1">
      <alignment horizontal="center" vertical="center"/>
    </xf>
    <xf numFmtId="44" fontId="12" fillId="7" borderId="0" xfId="0" applyNumberFormat="1" applyFont="1" applyFill="1" applyBorder="1" applyAlignment="1"/>
    <xf numFmtId="0" fontId="17" fillId="16" borderId="0" xfId="0" applyFont="1" applyFill="1" applyAlignment="1">
      <alignment horizontal="center" vertical="center"/>
    </xf>
    <xf numFmtId="167" fontId="17" fillId="16" borderId="0" xfId="0" applyNumberFormat="1" applyFont="1" applyFill="1" applyAlignment="1">
      <alignment horizontal="center" vertical="center"/>
    </xf>
    <xf numFmtId="10" fontId="17" fillId="16" borderId="0" xfId="2" applyNumberFormat="1" applyFont="1" applyFill="1" applyAlignment="1">
      <alignment horizontal="center" vertical="center"/>
    </xf>
    <xf numFmtId="10" fontId="17" fillId="16" borderId="0" xfId="0" applyNumberFormat="1" applyFont="1" applyFill="1" applyAlignment="1">
      <alignment horizontal="center" vertical="center"/>
    </xf>
    <xf numFmtId="0" fontId="17" fillId="16" borderId="0" xfId="2" applyNumberFormat="1" applyFont="1" applyFill="1" applyAlignment="1">
      <alignment horizontal="center" vertical="center"/>
    </xf>
    <xf numFmtId="0" fontId="18" fillId="16" borderId="0" xfId="0" applyFont="1" applyFill="1" applyBorder="1" applyAlignment="1">
      <alignment horizontal="center" vertical="center" wrapText="1"/>
    </xf>
    <xf numFmtId="44" fontId="17" fillId="16" borderId="0" xfId="1" applyFont="1" applyFill="1" applyAlignment="1">
      <alignment horizontal="center" vertical="center"/>
    </xf>
    <xf numFmtId="44" fontId="17" fillId="16" borderId="0" xfId="0" applyNumberFormat="1" applyFont="1" applyFill="1" applyAlignment="1">
      <alignment horizontal="center" vertical="center"/>
    </xf>
    <xf numFmtId="44" fontId="17" fillId="16" borderId="0" xfId="2" applyNumberFormat="1" applyFont="1" applyFill="1" applyAlignment="1">
      <alignment horizontal="center" vertical="center"/>
    </xf>
    <xf numFmtId="16" fontId="5" fillId="2" borderId="3" xfId="0" applyNumberFormat="1" applyFont="1" applyFill="1" applyBorder="1" applyAlignment="1">
      <alignment horizontal="center"/>
    </xf>
    <xf numFmtId="44" fontId="0" fillId="7" borderId="67" xfId="1" applyFont="1" applyFill="1" applyBorder="1" applyAlignment="1">
      <alignment vertical="center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2" borderId="34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28" xfId="0" applyFill="1" applyBorder="1" applyAlignment="1">
      <alignment horizontal="center"/>
    </xf>
    <xf numFmtId="0" fontId="0" fillId="12" borderId="23" xfId="0" applyFill="1" applyBorder="1" applyAlignment="1">
      <alignment horizontal="center"/>
    </xf>
    <xf numFmtId="0" fontId="0" fillId="12" borderId="12" xfId="0" applyFill="1" applyBorder="1" applyAlignment="1">
      <alignment horizontal="center"/>
    </xf>
    <xf numFmtId="44" fontId="0" fillId="2" borderId="3" xfId="1" applyFont="1" applyFill="1" applyBorder="1" applyAlignment="1">
      <alignment horizontal="center"/>
    </xf>
    <xf numFmtId="10" fontId="0" fillId="2" borderId="4" xfId="0" applyNumberFormat="1" applyFill="1" applyBorder="1" applyAlignment="1">
      <alignment horizontal="right"/>
    </xf>
    <xf numFmtId="44" fontId="0" fillId="2" borderId="5" xfId="1" applyFont="1" applyFill="1" applyBorder="1" applyAlignment="1">
      <alignment horizontal="center"/>
    </xf>
    <xf numFmtId="10" fontId="0" fillId="2" borderId="7" xfId="0" applyNumberFormat="1" applyFill="1" applyBorder="1" applyAlignment="1">
      <alignment horizontal="right"/>
    </xf>
    <xf numFmtId="10" fontId="0" fillId="2" borderId="0" xfId="2" applyNumberFormat="1" applyFont="1" applyFill="1" applyAlignment="1">
      <alignment horizontal="center"/>
    </xf>
    <xf numFmtId="10" fontId="0" fillId="2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4" borderId="0" xfId="0" applyFill="1" applyAlignment="1">
      <alignment horizontal="center"/>
    </xf>
    <xf numFmtId="10" fontId="0" fillId="2" borderId="1" xfId="2" applyNumberFormat="1" applyFont="1" applyFill="1" applyBorder="1" applyAlignment="1">
      <alignment horizontal="center"/>
    </xf>
    <xf numFmtId="10" fontId="0" fillId="2" borderId="6" xfId="2" applyNumberFormat="1" applyFont="1" applyFill="1" applyBorder="1" applyAlignment="1">
      <alignment horizontal="center"/>
    </xf>
    <xf numFmtId="10" fontId="0" fillId="2" borderId="28" xfId="2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9" fillId="2" borderId="0" xfId="0" applyFont="1" applyFill="1"/>
    <xf numFmtId="0" fontId="9" fillId="2" borderId="0" xfId="0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/>
    </xf>
    <xf numFmtId="0" fontId="3" fillId="2" borderId="10" xfId="0" applyFont="1" applyFill="1" applyBorder="1"/>
    <xf numFmtId="16" fontId="10" fillId="3" borderId="10" xfId="0" applyNumberFormat="1" applyFont="1" applyFill="1" applyBorder="1" applyAlignment="1">
      <alignment horizontal="center"/>
    </xf>
    <xf numFmtId="44" fontId="3" fillId="2" borderId="10" xfId="1" applyNumberFormat="1" applyFont="1" applyFill="1" applyBorder="1" applyAlignment="1">
      <alignment horizontal="right" vertical="center"/>
    </xf>
    <xf numFmtId="44" fontId="10" fillId="3" borderId="10" xfId="1" applyNumberFormat="1" applyFont="1" applyFill="1" applyBorder="1" applyAlignment="1">
      <alignment horizontal="center" vertical="center"/>
    </xf>
    <xf numFmtId="165" fontId="0" fillId="2" borderId="0" xfId="2" applyNumberFormat="1" applyFont="1" applyFill="1" applyBorder="1" applyAlignment="1">
      <alignment horizontal="center"/>
    </xf>
    <xf numFmtId="10" fontId="0" fillId="2" borderId="0" xfId="2" applyNumberFormat="1" applyFont="1" applyFill="1"/>
    <xf numFmtId="0" fontId="0" fillId="15" borderId="1" xfId="0" applyFill="1" applyBorder="1"/>
    <xf numFmtId="0" fontId="0" fillId="15" borderId="14" xfId="0" applyFill="1" applyBorder="1"/>
    <xf numFmtId="0" fontId="0" fillId="0" borderId="1" xfId="0" applyBorder="1"/>
    <xf numFmtId="10" fontId="0" fillId="0" borderId="1" xfId="2" applyNumberFormat="1" applyFont="1" applyBorder="1"/>
    <xf numFmtId="166" fontId="0" fillId="0" borderId="1" xfId="0" applyNumberFormat="1" applyBorder="1"/>
    <xf numFmtId="44" fontId="0" fillId="0" borderId="1" xfId="1" applyFont="1" applyBorder="1"/>
    <xf numFmtId="44" fontId="0" fillId="15" borderId="1" xfId="1" applyFont="1" applyFill="1" applyBorder="1"/>
    <xf numFmtId="0" fontId="0" fillId="2" borderId="0" xfId="0" applyFill="1" applyAlignment="1">
      <alignment horizontal="center"/>
    </xf>
    <xf numFmtId="2" fontId="0" fillId="2" borderId="1" xfId="2" applyNumberFormat="1" applyFont="1" applyFill="1" applyBorder="1" applyAlignment="1">
      <alignment horizontal="center"/>
    </xf>
    <xf numFmtId="44" fontId="0" fillId="2" borderId="28" xfId="1" applyFont="1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10" fontId="0" fillId="2" borderId="14" xfId="2" applyNumberFormat="1" applyFont="1" applyFill="1" applyBorder="1" applyAlignment="1">
      <alignment horizontal="center"/>
    </xf>
    <xf numFmtId="44" fontId="0" fillId="2" borderId="60" xfId="1" applyFont="1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167" fontId="0" fillId="2" borderId="0" xfId="2" applyNumberFormat="1" applyFont="1" applyFill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3" fillId="2" borderId="0" xfId="0" applyNumberFormat="1" applyFont="1" applyFill="1" applyAlignment="1">
      <alignment horizontal="left"/>
    </xf>
    <xf numFmtId="0" fontId="7" fillId="2" borderId="0" xfId="0" applyNumberFormat="1" applyFont="1" applyFill="1" applyBorder="1" applyAlignment="1">
      <alignment horizontal="left"/>
    </xf>
    <xf numFmtId="0" fontId="3" fillId="2" borderId="0" xfId="1" applyNumberFormat="1" applyFont="1" applyFill="1" applyBorder="1" applyAlignment="1">
      <alignment horizontal="left"/>
    </xf>
    <xf numFmtId="0" fontId="8" fillId="2" borderId="0" xfId="1" applyNumberFormat="1" applyFont="1" applyFill="1" applyBorder="1" applyAlignment="1">
      <alignment horizontal="left"/>
    </xf>
    <xf numFmtId="0" fontId="9" fillId="2" borderId="0" xfId="0" applyNumberFormat="1" applyFont="1" applyFill="1" applyBorder="1" applyAlignment="1">
      <alignment horizontal="left"/>
    </xf>
    <xf numFmtId="16" fontId="3" fillId="2" borderId="0" xfId="1" applyNumberFormat="1" applyFont="1" applyFill="1" applyBorder="1" applyAlignment="1">
      <alignment horizontal="left"/>
    </xf>
    <xf numFmtId="0" fontId="33" fillId="2" borderId="0" xfId="0" applyFont="1" applyFill="1" applyAlignment="1">
      <alignment horizontal="right"/>
    </xf>
    <xf numFmtId="0" fontId="3" fillId="2" borderId="4" xfId="0" applyFont="1" applyFill="1" applyBorder="1"/>
    <xf numFmtId="0" fontId="3" fillId="3" borderId="62" xfId="0" applyFont="1" applyFill="1" applyBorder="1" applyAlignment="1">
      <alignment horizontal="right"/>
    </xf>
    <xf numFmtId="0" fontId="3" fillId="3" borderId="28" xfId="0" applyFont="1" applyFill="1" applyBorder="1" applyAlignment="1">
      <alignment horizontal="right"/>
    </xf>
    <xf numFmtId="0" fontId="3" fillId="3" borderId="28" xfId="0" applyFont="1" applyFill="1" applyBorder="1" applyAlignment="1">
      <alignment horizontal="right" shrinkToFit="1"/>
    </xf>
    <xf numFmtId="0" fontId="3" fillId="3" borderId="60" xfId="0" applyFont="1" applyFill="1" applyBorder="1" applyAlignment="1">
      <alignment horizontal="right" shrinkToFit="1"/>
    </xf>
    <xf numFmtId="0" fontId="3" fillId="3" borderId="22" xfId="0" applyFont="1" applyFill="1" applyBorder="1"/>
    <xf numFmtId="0" fontId="3" fillId="3" borderId="23" xfId="0" applyFont="1" applyFill="1" applyBorder="1"/>
    <xf numFmtId="0" fontId="3" fillId="3" borderId="12" xfId="0" applyFont="1" applyFill="1" applyBorder="1"/>
    <xf numFmtId="44" fontId="3" fillId="3" borderId="11" xfId="0" applyNumberFormat="1" applyFont="1" applyFill="1" applyBorder="1"/>
    <xf numFmtId="44" fontId="3" fillId="3" borderId="4" xfId="0" applyNumberFormat="1" applyFont="1" applyFill="1" applyBorder="1"/>
    <xf numFmtId="44" fontId="3" fillId="3" borderId="1" xfId="0" applyNumberFormat="1" applyFont="1" applyFill="1" applyBorder="1"/>
    <xf numFmtId="44" fontId="5" fillId="4" borderId="8" xfId="0" applyNumberFormat="1" applyFont="1" applyFill="1" applyBorder="1"/>
    <xf numFmtId="0" fontId="5" fillId="8" borderId="30" xfId="0" applyFont="1" applyFill="1" applyBorder="1" applyAlignment="1">
      <alignment horizontal="center"/>
    </xf>
    <xf numFmtId="44" fontId="5" fillId="4" borderId="9" xfId="0" applyNumberFormat="1" applyFont="1" applyFill="1" applyBorder="1"/>
    <xf numFmtId="44" fontId="7" fillId="9" borderId="7" xfId="0" applyNumberFormat="1" applyFont="1" applyFill="1" applyBorder="1"/>
    <xf numFmtId="44" fontId="5" fillId="11" borderId="4" xfId="0" applyNumberFormat="1" applyFont="1" applyFill="1" applyBorder="1"/>
    <xf numFmtId="0" fontId="3" fillId="5" borderId="0" xfId="0" applyFont="1" applyFill="1" applyAlignment="1">
      <alignment horizontal="right"/>
    </xf>
    <xf numFmtId="2" fontId="3" fillId="5" borderId="0" xfId="0" applyNumberFormat="1" applyFont="1" applyFill="1"/>
    <xf numFmtId="0" fontId="3" fillId="5" borderId="0" xfId="0" applyFont="1" applyFill="1" applyBorder="1"/>
    <xf numFmtId="0" fontId="3" fillId="5" borderId="0" xfId="1" applyNumberFormat="1" applyFont="1" applyFill="1"/>
    <xf numFmtId="0" fontId="0" fillId="2" borderId="65" xfId="0" applyFill="1" applyBorder="1"/>
    <xf numFmtId="44" fontId="0" fillId="2" borderId="0" xfId="1" applyFont="1" applyFill="1" applyBorder="1" applyAlignment="1">
      <alignment horizontal="center"/>
    </xf>
    <xf numFmtId="44" fontId="0" fillId="2" borderId="0" xfId="1" applyFont="1" applyFill="1" applyBorder="1"/>
    <xf numFmtId="2" fontId="5" fillId="4" borderId="0" xfId="0" applyNumberFormat="1" applyFont="1" applyFill="1"/>
    <xf numFmtId="0" fontId="3" fillId="2" borderId="0" xfId="1" applyNumberFormat="1" applyFont="1" applyFill="1"/>
    <xf numFmtId="0" fontId="3" fillId="11" borderId="1" xfId="0" applyFont="1" applyFill="1" applyBorder="1" applyAlignment="1">
      <alignment horizontal="center"/>
    </xf>
    <xf numFmtId="44" fontId="3" fillId="11" borderId="1" xfId="1" applyFont="1" applyFill="1" applyBorder="1" applyAlignment="1">
      <alignment horizontal="center"/>
    </xf>
    <xf numFmtId="44" fontId="7" fillId="9" borderId="47" xfId="1" applyFont="1" applyFill="1" applyBorder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2" fontId="0" fillId="2" borderId="34" xfId="2" applyNumberFormat="1" applyFont="1" applyFill="1" applyBorder="1" applyAlignment="1">
      <alignment horizontal="center"/>
    </xf>
    <xf numFmtId="0" fontId="0" fillId="2" borderId="48" xfId="0" applyFill="1" applyBorder="1" applyAlignment="1">
      <alignment horizontal="center"/>
    </xf>
    <xf numFmtId="0" fontId="11" fillId="4" borderId="0" xfId="0" applyFont="1" applyFill="1" applyAlignment="1">
      <alignment horizontal="center" vertical="center"/>
    </xf>
    <xf numFmtId="44" fontId="11" fillId="4" borderId="0" xfId="0" applyNumberFormat="1" applyFont="1" applyFill="1" applyAlignment="1">
      <alignment horizontal="center" vertical="center"/>
    </xf>
    <xf numFmtId="0" fontId="11" fillId="7" borderId="30" xfId="0" applyFont="1" applyFill="1" applyBorder="1" applyAlignment="1"/>
    <xf numFmtId="44" fontId="11" fillId="11" borderId="41" xfId="1" applyFont="1" applyFill="1" applyBorder="1" applyAlignment="1">
      <alignment horizontal="center" vertical="center"/>
    </xf>
    <xf numFmtId="44" fontId="11" fillId="14" borderId="34" xfId="1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170" fontId="0" fillId="0" borderId="1" xfId="0" applyNumberFormat="1" applyBorder="1"/>
    <xf numFmtId="14" fontId="0" fillId="0" borderId="1" xfId="0" applyNumberFormat="1" applyBorder="1"/>
    <xf numFmtId="169" fontId="0" fillId="0" borderId="1" xfId="1" applyNumberFormat="1" applyFont="1" applyBorder="1"/>
    <xf numFmtId="170" fontId="0" fillId="0" borderId="1" xfId="1" applyNumberFormat="1" applyFont="1" applyBorder="1"/>
    <xf numFmtId="0" fontId="32" fillId="0" borderId="1" xfId="0" applyFont="1" applyBorder="1"/>
    <xf numFmtId="2" fontId="0" fillId="2" borderId="0" xfId="0" applyNumberFormat="1" applyFill="1" applyAlignment="1">
      <alignment horizontal="center"/>
    </xf>
    <xf numFmtId="44" fontId="0" fillId="2" borderId="0" xfId="1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12" borderId="24" xfId="0" applyFill="1" applyBorder="1" applyAlignment="1">
      <alignment horizontal="center"/>
    </xf>
    <xf numFmtId="44" fontId="0" fillId="2" borderId="37" xfId="1" applyFont="1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10" fontId="0" fillId="2" borderId="52" xfId="0" applyNumberFormat="1" applyFill="1" applyBorder="1" applyAlignment="1">
      <alignment horizontal="right"/>
    </xf>
    <xf numFmtId="0" fontId="0" fillId="12" borderId="20" xfId="0" applyFill="1" applyBorder="1" applyAlignment="1">
      <alignment horizontal="center"/>
    </xf>
    <xf numFmtId="44" fontId="0" fillId="2" borderId="59" xfId="1" applyFont="1" applyFill="1" applyBorder="1" applyAlignment="1">
      <alignment horizontal="center"/>
    </xf>
    <xf numFmtId="0" fontId="0" fillId="2" borderId="61" xfId="0" applyFill="1" applyBorder="1" applyAlignment="1">
      <alignment horizontal="center"/>
    </xf>
    <xf numFmtId="10" fontId="0" fillId="2" borderId="71" xfId="0" applyNumberFormat="1" applyFill="1" applyBorder="1" applyAlignment="1">
      <alignment horizontal="right"/>
    </xf>
    <xf numFmtId="170" fontId="0" fillId="2" borderId="0" xfId="0" applyNumberFormat="1" applyFill="1"/>
    <xf numFmtId="0" fontId="17" fillId="16" borderId="0" xfId="0" applyFont="1" applyFill="1" applyAlignment="1">
      <alignment horizontal="right" vertical="center"/>
    </xf>
    <xf numFmtId="44" fontId="0" fillId="12" borderId="0" xfId="1" applyFont="1" applyFill="1" applyBorder="1" applyAlignment="1">
      <alignment vertical="center" wrapText="1"/>
    </xf>
    <xf numFmtId="9" fontId="17" fillId="16" borderId="0" xfId="2" applyFont="1" applyFill="1" applyAlignment="1">
      <alignment horizontal="center" vertical="center"/>
    </xf>
    <xf numFmtId="44" fontId="11" fillId="16" borderId="0" xfId="0" applyNumberFormat="1" applyFont="1" applyFill="1" applyAlignment="1">
      <alignment horizontal="center" vertical="center"/>
    </xf>
    <xf numFmtId="44" fontId="38" fillId="16" borderId="4" xfId="1" applyFont="1" applyFill="1" applyBorder="1" applyAlignment="1">
      <alignment horizontal="center" vertical="center"/>
    </xf>
    <xf numFmtId="44" fontId="38" fillId="16" borderId="7" xfId="1" applyFont="1" applyFill="1" applyBorder="1" applyAlignment="1">
      <alignment horizontal="center" vertical="center"/>
    </xf>
    <xf numFmtId="0" fontId="31" fillId="16" borderId="1" xfId="0" applyFont="1" applyFill="1" applyBorder="1" applyAlignment="1">
      <alignment horizontal="center" vertical="center"/>
    </xf>
    <xf numFmtId="0" fontId="31" fillId="16" borderId="6" xfId="0" applyFont="1" applyFill="1" applyBorder="1" applyAlignment="1">
      <alignment horizontal="center" vertical="center"/>
    </xf>
    <xf numFmtId="44" fontId="39" fillId="16" borderId="1" xfId="0" applyNumberFormat="1" applyFont="1" applyFill="1" applyBorder="1" applyAlignment="1">
      <alignment horizontal="center" vertical="center"/>
    </xf>
    <xf numFmtId="44" fontId="39" fillId="16" borderId="6" xfId="0" applyNumberFormat="1" applyFont="1" applyFill="1" applyBorder="1" applyAlignment="1">
      <alignment horizontal="center" vertical="center"/>
    </xf>
    <xf numFmtId="44" fontId="12" fillId="16" borderId="0" xfId="1" applyFont="1" applyFill="1" applyAlignment="1">
      <alignment horizontal="center" vertical="center"/>
    </xf>
    <xf numFmtId="44" fontId="12" fillId="16" borderId="0" xfId="0" applyNumberFormat="1" applyFont="1" applyFill="1" applyAlignment="1">
      <alignment horizontal="center" vertical="center"/>
    </xf>
    <xf numFmtId="167" fontId="11" fillId="16" borderId="0" xfId="2" applyNumberFormat="1" applyFont="1" applyFill="1" applyAlignment="1">
      <alignment horizontal="center" vertical="center"/>
    </xf>
    <xf numFmtId="167" fontId="17" fillId="16" borderId="0" xfId="0" applyNumberFormat="1" applyFont="1" applyFill="1" applyBorder="1" applyAlignment="1">
      <alignment horizontal="center" vertical="center"/>
    </xf>
    <xf numFmtId="44" fontId="0" fillId="5" borderId="1" xfId="1" applyFont="1" applyFill="1" applyBorder="1"/>
    <xf numFmtId="44" fontId="0" fillId="3" borderId="1" xfId="1" applyFont="1" applyFill="1" applyBorder="1"/>
    <xf numFmtId="44" fontId="0" fillId="2" borderId="28" xfId="1" applyNumberFormat="1" applyFont="1" applyFill="1" applyBorder="1" applyAlignment="1">
      <alignment horizontal="center"/>
    </xf>
    <xf numFmtId="44" fontId="0" fillId="2" borderId="27" xfId="1" applyFont="1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36" xfId="0" applyFill="1" applyBorder="1" applyAlignment="1">
      <alignment horizontal="center"/>
    </xf>
    <xf numFmtId="0" fontId="0" fillId="3" borderId="72" xfId="0" applyFill="1" applyBorder="1" applyAlignment="1">
      <alignment horizontal="center"/>
    </xf>
    <xf numFmtId="0" fontId="0" fillId="7" borderId="24" xfId="0" applyFill="1" applyBorder="1" applyAlignment="1">
      <alignment horizontal="center"/>
    </xf>
    <xf numFmtId="16" fontId="0" fillId="2" borderId="1" xfId="0" applyNumberFormat="1" applyFill="1" applyBorder="1" applyAlignment="1">
      <alignment horizontal="center" vertical="center"/>
    </xf>
    <xf numFmtId="171" fontId="0" fillId="2" borderId="1" xfId="0" applyNumberFormat="1" applyFill="1" applyBorder="1" applyAlignment="1">
      <alignment horizontal="center" vertical="center"/>
    </xf>
    <xf numFmtId="170" fontId="0" fillId="2" borderId="1" xfId="0" applyNumberFormat="1" applyFill="1" applyBorder="1" applyAlignment="1">
      <alignment horizontal="center" vertical="center"/>
    </xf>
    <xf numFmtId="170" fontId="0" fillId="7" borderId="1" xfId="0" applyNumberFormat="1" applyFill="1" applyBorder="1" applyAlignment="1">
      <alignment horizontal="center" vertical="center"/>
    </xf>
    <xf numFmtId="170" fontId="0" fillId="2" borderId="0" xfId="0" applyNumberFormat="1" applyFill="1" applyAlignment="1">
      <alignment horizontal="center" vertical="center"/>
    </xf>
    <xf numFmtId="14" fontId="0" fillId="2" borderId="0" xfId="0" applyNumberFormat="1" applyFill="1"/>
    <xf numFmtId="10" fontId="0" fillId="3" borderId="2" xfId="2" applyNumberFormat="1" applyFont="1" applyFill="1" applyBorder="1" applyAlignment="1">
      <alignment horizontal="center"/>
    </xf>
    <xf numFmtId="0" fontId="17" fillId="16" borderId="0" xfId="0" applyFont="1" applyFill="1" applyBorder="1" applyAlignment="1">
      <alignment horizontal="center" vertical="center"/>
    </xf>
    <xf numFmtId="172" fontId="0" fillId="7" borderId="1" xfId="0" applyNumberFormat="1" applyFill="1" applyBorder="1" applyAlignment="1">
      <alignment horizontal="center" vertical="center"/>
    </xf>
    <xf numFmtId="170" fontId="42" fillId="2" borderId="67" xfId="0" applyNumberFormat="1" applyFont="1" applyFill="1" applyBorder="1" applyAlignment="1">
      <alignment vertical="center"/>
    </xf>
    <xf numFmtId="0" fontId="42" fillId="2" borderId="67" xfId="0" applyFont="1" applyFill="1" applyBorder="1" applyAlignment="1">
      <alignment vertical="center"/>
    </xf>
    <xf numFmtId="0" fontId="42" fillId="2" borderId="44" xfId="0" applyFont="1" applyFill="1" applyBorder="1" applyAlignment="1">
      <alignment vertical="center"/>
    </xf>
    <xf numFmtId="1" fontId="17" fillId="16" borderId="0" xfId="0" applyNumberFormat="1" applyFont="1" applyFill="1" applyAlignment="1">
      <alignment horizontal="center" vertical="center"/>
    </xf>
    <xf numFmtId="0" fontId="17" fillId="16" borderId="0" xfId="0" applyFont="1" applyFill="1" applyAlignment="1">
      <alignment horizontal="right" vertical="center" shrinkToFit="1"/>
    </xf>
    <xf numFmtId="0" fontId="17" fillId="16" borderId="0" xfId="0" applyFont="1" applyFill="1" applyBorder="1" applyAlignment="1">
      <alignment horizontal="right" vertical="center" shrinkToFit="1"/>
    </xf>
    <xf numFmtId="0" fontId="0" fillId="2" borderId="0" xfId="0" applyFill="1" applyAlignment="1">
      <alignment horizontal="center"/>
    </xf>
    <xf numFmtId="16" fontId="0" fillId="2" borderId="0" xfId="0" applyNumberFormat="1" applyFill="1" applyAlignment="1">
      <alignment horizontal="center"/>
    </xf>
    <xf numFmtId="0" fontId="17" fillId="16" borderId="0" xfId="0" applyFont="1" applyFill="1" applyBorder="1" applyAlignment="1">
      <alignment horizontal="center" vertical="center"/>
    </xf>
    <xf numFmtId="44" fontId="17" fillId="16" borderId="0" xfId="1" applyFont="1" applyFill="1" applyAlignment="1">
      <alignment horizontal="center" vertical="center"/>
    </xf>
    <xf numFmtId="167" fontId="17" fillId="16" borderId="0" xfId="2" applyNumberFormat="1" applyFont="1" applyFill="1" applyAlignment="1">
      <alignment horizontal="center" vertical="center"/>
    </xf>
    <xf numFmtId="44" fontId="17" fillId="16" borderId="0" xfId="1" applyFont="1" applyFill="1" applyAlignment="1">
      <alignment horizontal="center" vertical="center"/>
    </xf>
    <xf numFmtId="1" fontId="43" fillId="5" borderId="0" xfId="0" applyNumberFormat="1" applyFont="1" applyFill="1" applyAlignment="1">
      <alignment horizontal="center" vertical="center"/>
    </xf>
    <xf numFmtId="1" fontId="20" fillId="2" borderId="1" xfId="0" applyNumberFormat="1" applyFont="1" applyFill="1" applyBorder="1" applyAlignment="1">
      <alignment horizontal="center" vertical="center"/>
    </xf>
    <xf numFmtId="1" fontId="17" fillId="16" borderId="0" xfId="2" applyNumberFormat="1" applyFont="1" applyFill="1" applyAlignment="1">
      <alignment horizontal="center" vertical="center"/>
    </xf>
    <xf numFmtId="10" fontId="17" fillId="16" borderId="1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44" fillId="2" borderId="0" xfId="3" applyFill="1" applyAlignment="1" applyProtection="1">
      <alignment horizontal="center"/>
    </xf>
    <xf numFmtId="0" fontId="44" fillId="2" borderId="0" xfId="3" applyFill="1" applyAlignment="1" applyProtection="1">
      <alignment horizontal="left"/>
    </xf>
    <xf numFmtId="11" fontId="0" fillId="2" borderId="0" xfId="0" applyNumberFormat="1" applyFill="1" applyAlignment="1">
      <alignment horizontal="center"/>
    </xf>
    <xf numFmtId="0" fontId="45" fillId="2" borderId="0" xfId="3" applyFont="1" applyFill="1" applyAlignment="1" applyProtection="1">
      <alignment horizontal="left"/>
    </xf>
    <xf numFmtId="0" fontId="0" fillId="2" borderId="0" xfId="0" applyFill="1" applyAlignment="1">
      <alignment horizontal="center"/>
    </xf>
    <xf numFmtId="44" fontId="46" fillId="19" borderId="0" xfId="0" applyNumberFormat="1" applyFont="1" applyFill="1"/>
    <xf numFmtId="44" fontId="20" fillId="11" borderId="14" xfId="1" applyFont="1" applyFill="1" applyBorder="1" applyAlignment="1">
      <alignment horizontal="center" vertical="center"/>
    </xf>
    <xf numFmtId="44" fontId="3" fillId="11" borderId="25" xfId="1" applyFont="1" applyFill="1" applyBorder="1" applyAlignment="1">
      <alignment horizontal="center"/>
    </xf>
    <xf numFmtId="0" fontId="3" fillId="11" borderId="47" xfId="0" applyFont="1" applyFill="1" applyBorder="1"/>
    <xf numFmtId="0" fontId="0" fillId="2" borderId="0" xfId="0" applyFill="1" applyAlignment="1">
      <alignment horizontal="center"/>
    </xf>
    <xf numFmtId="0" fontId="0" fillId="7" borderId="0" xfId="0" applyFill="1"/>
    <xf numFmtId="44" fontId="0" fillId="2" borderId="1" xfId="1" applyFont="1" applyFill="1" applyBorder="1" applyAlignment="1">
      <alignment horizontal="center"/>
    </xf>
    <xf numFmtId="44" fontId="11" fillId="2" borderId="15" xfId="1" applyFont="1" applyFill="1" applyBorder="1" applyAlignment="1">
      <alignment horizontal="center" vertical="center"/>
    </xf>
    <xf numFmtId="10" fontId="0" fillId="3" borderId="13" xfId="2" applyNumberFormat="1" applyFont="1" applyFill="1" applyBorder="1" applyAlignment="1">
      <alignment horizontal="center"/>
    </xf>
    <xf numFmtId="44" fontId="0" fillId="2" borderId="0" xfId="0" applyNumberFormat="1" applyFill="1" applyAlignment="1">
      <alignment horizontal="center"/>
    </xf>
    <xf numFmtId="44" fontId="0" fillId="7" borderId="0" xfId="1" applyFont="1" applyFill="1" applyBorder="1" applyAlignment="1">
      <alignment horizontal="center"/>
    </xf>
    <xf numFmtId="10" fontId="0" fillId="7" borderId="0" xfId="2" applyNumberFormat="1" applyFont="1" applyFill="1" applyAlignment="1">
      <alignment horizontal="center"/>
    </xf>
    <xf numFmtId="0" fontId="0" fillId="18" borderId="0" xfId="0" applyFill="1" applyAlignment="1">
      <alignment horizontal="center"/>
    </xf>
    <xf numFmtId="10" fontId="0" fillId="4" borderId="0" xfId="2" applyNumberFormat="1" applyFont="1" applyFill="1" applyAlignment="1">
      <alignment horizontal="center"/>
    </xf>
    <xf numFmtId="44" fontId="0" fillId="3" borderId="28" xfId="1" applyNumberFormat="1" applyFont="1" applyFill="1" applyBorder="1" applyAlignment="1">
      <alignment horizontal="center"/>
    </xf>
    <xf numFmtId="2" fontId="0" fillId="3" borderId="1" xfId="2" applyNumberFormat="1" applyFont="1" applyFill="1" applyBorder="1" applyAlignment="1">
      <alignment horizontal="center"/>
    </xf>
    <xf numFmtId="10" fontId="0" fillId="3" borderId="1" xfId="2" applyNumberFormat="1" applyFont="1" applyFill="1" applyBorder="1" applyAlignment="1">
      <alignment horizontal="center"/>
    </xf>
    <xf numFmtId="2" fontId="0" fillId="3" borderId="34" xfId="2" applyNumberFormat="1" applyFont="1" applyFill="1" applyBorder="1" applyAlignment="1">
      <alignment horizontal="center"/>
    </xf>
    <xf numFmtId="44" fontId="0" fillId="3" borderId="3" xfId="1" applyFont="1" applyFill="1" applyBorder="1" applyAlignment="1">
      <alignment horizontal="center"/>
    </xf>
    <xf numFmtId="44" fontId="0" fillId="3" borderId="28" xfId="1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1" fontId="30" fillId="14" borderId="5" xfId="0" applyNumberFormat="1" applyFont="1" applyFill="1" applyBorder="1" applyAlignment="1">
      <alignment horizontal="center" vertical="center"/>
    </xf>
    <xf numFmtId="1" fontId="30" fillId="14" borderId="60" xfId="0" applyNumberFormat="1" applyFont="1" applyFill="1" applyBorder="1" applyAlignment="1">
      <alignment horizontal="center" vertical="center"/>
    </xf>
    <xf numFmtId="44" fontId="30" fillId="14" borderId="7" xfId="1" applyFont="1" applyFill="1" applyBorder="1" applyAlignment="1">
      <alignment horizontal="center" vertical="center"/>
    </xf>
    <xf numFmtId="16" fontId="3" fillId="2" borderId="13" xfId="0" applyNumberFormat="1" applyFont="1" applyFill="1" applyBorder="1" applyAlignment="1">
      <alignment horizontal="center"/>
    </xf>
    <xf numFmtId="0" fontId="3" fillId="2" borderId="14" xfId="0" applyFont="1" applyFill="1" applyBorder="1"/>
    <xf numFmtId="44" fontId="3" fillId="2" borderId="14" xfId="1" applyNumberFormat="1" applyFont="1" applyFill="1" applyBorder="1" applyAlignment="1">
      <alignment horizontal="right" vertical="center"/>
    </xf>
    <xf numFmtId="44" fontId="3" fillId="7" borderId="0" xfId="0" applyNumberFormat="1" applyFont="1" applyFill="1"/>
    <xf numFmtId="44" fontId="0" fillId="2" borderId="1" xfId="1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44" fontId="0" fillId="2" borderId="1" xfId="1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16" fillId="4" borderId="0" xfId="0" applyFont="1" applyFill="1" applyBorder="1" applyAlignment="1">
      <alignment horizontal="center" vertical="center"/>
    </xf>
    <xf numFmtId="44" fontId="16" fillId="4" borderId="0" xfId="1" applyFont="1" applyFill="1" applyBorder="1" applyAlignment="1">
      <alignment horizontal="center" vertical="center"/>
    </xf>
    <xf numFmtId="0" fontId="16" fillId="4" borderId="0" xfId="0" applyFont="1" applyFill="1" applyBorder="1"/>
    <xf numFmtId="44" fontId="0" fillId="4" borderId="0" xfId="1" applyFont="1" applyFill="1" applyBorder="1" applyAlignment="1">
      <alignment horizontal="center" vertical="center"/>
    </xf>
    <xf numFmtId="44" fontId="24" fillId="10" borderId="0" xfId="1" applyFont="1" applyFill="1" applyBorder="1"/>
    <xf numFmtId="44" fontId="0" fillId="10" borderId="0" xfId="1" applyFont="1" applyFill="1" applyBorder="1"/>
    <xf numFmtId="16" fontId="0" fillId="2" borderId="1" xfId="0" applyNumberFormat="1" applyFill="1" applyBorder="1" applyAlignment="1">
      <alignment horizontal="center"/>
    </xf>
    <xf numFmtId="0" fontId="26" fillId="4" borderId="44" xfId="0" applyFont="1" applyFill="1" applyBorder="1" applyAlignment="1">
      <alignment horizontal="center" vertical="center"/>
    </xf>
    <xf numFmtId="44" fontId="26" fillId="4" borderId="44" xfId="1" applyFont="1" applyFill="1" applyBorder="1" applyAlignment="1">
      <alignment horizontal="center" vertical="center"/>
    </xf>
    <xf numFmtId="0" fontId="26" fillId="4" borderId="0" xfId="0" applyFont="1" applyFill="1" applyBorder="1" applyAlignment="1">
      <alignment horizontal="center" vertical="center"/>
    </xf>
    <xf numFmtId="44" fontId="26" fillId="4" borderId="0" xfId="1" applyFont="1" applyFill="1" applyBorder="1" applyAlignment="1">
      <alignment horizontal="center" vertical="center"/>
    </xf>
    <xf numFmtId="0" fontId="24" fillId="10" borderId="65" xfId="0" applyFont="1" applyFill="1" applyBorder="1"/>
    <xf numFmtId="0" fontId="24" fillId="10" borderId="27" xfId="0" applyFont="1" applyFill="1" applyBorder="1"/>
    <xf numFmtId="0" fontId="24" fillId="10" borderId="26" xfId="0" applyFont="1" applyFill="1" applyBorder="1"/>
    <xf numFmtId="44" fontId="47" fillId="10" borderId="44" xfId="1" applyFont="1" applyFill="1" applyBorder="1"/>
    <xf numFmtId="0" fontId="48" fillId="12" borderId="0" xfId="0" applyFont="1" applyFill="1"/>
    <xf numFmtId="0" fontId="20" fillId="12" borderId="0" xfId="0" applyFont="1" applyFill="1" applyBorder="1" applyAlignment="1">
      <alignment horizontal="center" vertical="center"/>
    </xf>
    <xf numFmtId="0" fontId="26" fillId="4" borderId="44" xfId="1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26" fillId="8" borderId="0" xfId="0" applyFont="1" applyFill="1" applyBorder="1" applyAlignment="1">
      <alignment horizontal="center" vertical="center"/>
    </xf>
    <xf numFmtId="44" fontId="26" fillId="8" borderId="0" xfId="1" applyFont="1" applyFill="1" applyBorder="1" applyAlignment="1">
      <alignment horizontal="center" vertical="center"/>
    </xf>
    <xf numFmtId="0" fontId="48" fillId="8" borderId="65" xfId="0" applyFont="1" applyFill="1" applyBorder="1"/>
    <xf numFmtId="0" fontId="0" fillId="8" borderId="69" xfId="0" applyFill="1" applyBorder="1"/>
    <xf numFmtId="0" fontId="0" fillId="8" borderId="20" xfId="0" applyFill="1" applyBorder="1"/>
    <xf numFmtId="0" fontId="48" fillId="8" borderId="68" xfId="0" applyFont="1" applyFill="1" applyBorder="1"/>
    <xf numFmtId="0" fontId="0" fillId="8" borderId="68" xfId="0" applyFill="1" applyBorder="1"/>
    <xf numFmtId="0" fontId="0" fillId="8" borderId="53" xfId="0" applyFill="1" applyBorder="1"/>
    <xf numFmtId="0" fontId="0" fillId="8" borderId="55" xfId="0" applyFill="1" applyBorder="1" applyAlignment="1">
      <alignment horizontal="center" vertical="center"/>
    </xf>
    <xf numFmtId="0" fontId="16" fillId="8" borderId="55" xfId="0" applyFont="1" applyFill="1" applyBorder="1" applyAlignment="1">
      <alignment horizontal="center" vertical="center"/>
    </xf>
    <xf numFmtId="44" fontId="16" fillId="8" borderId="55" xfId="1" applyFont="1" applyFill="1" applyBorder="1" applyAlignment="1">
      <alignment horizontal="center" vertical="center"/>
    </xf>
    <xf numFmtId="0" fontId="16" fillId="8" borderId="55" xfId="0" applyFont="1" applyFill="1" applyBorder="1"/>
    <xf numFmtId="44" fontId="0" fillId="8" borderId="55" xfId="1" applyFont="1" applyFill="1" applyBorder="1" applyAlignment="1">
      <alignment horizontal="center" vertical="center"/>
    </xf>
    <xf numFmtId="0" fontId="0" fillId="8" borderId="55" xfId="0" applyFill="1" applyBorder="1"/>
    <xf numFmtId="0" fontId="26" fillId="8" borderId="55" xfId="0" applyFont="1" applyFill="1" applyBorder="1" applyAlignment="1">
      <alignment horizontal="center" vertical="center"/>
    </xf>
    <xf numFmtId="0" fontId="26" fillId="8" borderId="55" xfId="1" applyNumberFormat="1" applyFont="1" applyFill="1" applyBorder="1" applyAlignment="1">
      <alignment horizontal="center" vertical="center"/>
    </xf>
    <xf numFmtId="44" fontId="26" fillId="8" borderId="55" xfId="1" applyFont="1" applyFill="1" applyBorder="1" applyAlignment="1">
      <alignment horizontal="center" vertical="center"/>
    </xf>
    <xf numFmtId="0" fontId="0" fillId="8" borderId="57" xfId="0" applyFill="1" applyBorder="1"/>
    <xf numFmtId="0" fontId="26" fillId="8" borderId="0" xfId="0" applyFont="1" applyFill="1" applyBorder="1"/>
    <xf numFmtId="0" fontId="20" fillId="5" borderId="1" xfId="0" applyFont="1" applyFill="1" applyBorder="1" applyAlignment="1">
      <alignment horizontal="center" vertical="center"/>
    </xf>
    <xf numFmtId="0" fontId="20" fillId="5" borderId="4" xfId="0" applyFont="1" applyFill="1" applyBorder="1" applyAlignment="1">
      <alignment horizontal="center" vertical="center"/>
    </xf>
    <xf numFmtId="0" fontId="20" fillId="3" borderId="3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20" fillId="3" borderId="34" xfId="0" applyFont="1" applyFill="1" applyBorder="1" applyAlignment="1">
      <alignment horizontal="center" vertical="center"/>
    </xf>
    <xf numFmtId="0" fontId="20" fillId="3" borderId="62" xfId="0" applyFont="1" applyFill="1" applyBorder="1" applyAlignment="1">
      <alignment horizontal="center" vertical="center"/>
    </xf>
    <xf numFmtId="0" fontId="20" fillId="3" borderId="11" xfId="0" applyFont="1" applyFill="1" applyBorder="1" applyAlignment="1">
      <alignment horizontal="center" vertical="center"/>
    </xf>
    <xf numFmtId="0" fontId="20" fillId="3" borderId="28" xfId="0" applyFont="1" applyFill="1" applyBorder="1" applyAlignment="1">
      <alignment horizontal="center" vertical="center"/>
    </xf>
    <xf numFmtId="0" fontId="20" fillId="3" borderId="4" xfId="0" applyFont="1" applyFill="1" applyBorder="1" applyAlignment="1">
      <alignment horizontal="center" vertical="center"/>
    </xf>
    <xf numFmtId="0" fontId="20" fillId="3" borderId="10" xfId="0" applyFont="1" applyFill="1" applyBorder="1" applyAlignment="1">
      <alignment horizontal="center" vertical="center"/>
    </xf>
    <xf numFmtId="44" fontId="20" fillId="3" borderId="11" xfId="0" applyNumberFormat="1" applyFont="1" applyFill="1" applyBorder="1" applyAlignment="1">
      <alignment horizontal="center" vertical="center"/>
    </xf>
    <xf numFmtId="44" fontId="20" fillId="3" borderId="4" xfId="0" applyNumberFormat="1" applyFont="1" applyFill="1" applyBorder="1" applyAlignment="1">
      <alignment horizontal="center" vertical="center"/>
    </xf>
    <xf numFmtId="0" fontId="20" fillId="5" borderId="13" xfId="0" applyFont="1" applyFill="1" applyBorder="1" applyAlignment="1">
      <alignment horizontal="center" vertical="center"/>
    </xf>
    <xf numFmtId="0" fontId="20" fillId="5" borderId="27" xfId="0" applyFont="1" applyFill="1" applyBorder="1" applyAlignment="1">
      <alignment horizontal="center" vertical="center"/>
    </xf>
    <xf numFmtId="0" fontId="20" fillId="5" borderId="44" xfId="0" applyFont="1" applyFill="1" applyBorder="1" applyAlignment="1">
      <alignment horizontal="center" vertical="center"/>
    </xf>
    <xf numFmtId="44" fontId="20" fillId="5" borderId="34" xfId="1" applyFont="1" applyFill="1" applyBorder="1" applyAlignment="1">
      <alignment horizontal="center" vertical="center"/>
    </xf>
    <xf numFmtId="10" fontId="20" fillId="5" borderId="1" xfId="2" applyNumberFormat="1" applyFont="1" applyFill="1" applyBorder="1" applyAlignment="1">
      <alignment horizontal="center" vertical="center"/>
    </xf>
    <xf numFmtId="10" fontId="20" fillId="5" borderId="4" xfId="2" applyNumberFormat="1" applyFont="1" applyFill="1" applyBorder="1" applyAlignment="1">
      <alignment horizontal="center" vertical="center"/>
    </xf>
    <xf numFmtId="44" fontId="20" fillId="5" borderId="45" xfId="1" applyNumberFormat="1" applyFont="1" applyFill="1" applyBorder="1" applyAlignment="1">
      <alignment horizontal="center" vertical="center"/>
    </xf>
    <xf numFmtId="44" fontId="20" fillId="5" borderId="29" xfId="1" applyFont="1" applyFill="1" applyBorder="1" applyAlignment="1">
      <alignment horizontal="center" vertical="center"/>
    </xf>
    <xf numFmtId="10" fontId="20" fillId="5" borderId="11" xfId="2" applyNumberFormat="1" applyFont="1" applyFill="1" applyBorder="1" applyAlignment="1">
      <alignment horizontal="center" vertical="center"/>
    </xf>
    <xf numFmtId="44" fontId="20" fillId="5" borderId="25" xfId="1" applyNumberFormat="1" applyFont="1" applyFill="1" applyBorder="1" applyAlignment="1">
      <alignment horizontal="center" vertical="center"/>
    </xf>
    <xf numFmtId="44" fontId="20" fillId="5" borderId="35" xfId="1" applyFont="1" applyFill="1" applyBorder="1" applyAlignment="1">
      <alignment horizontal="center" vertical="center"/>
    </xf>
    <xf numFmtId="44" fontId="20" fillId="5" borderId="6" xfId="1" applyNumberFormat="1" applyFont="1" applyFill="1" applyBorder="1" applyAlignment="1">
      <alignment horizontal="center" vertical="center"/>
    </xf>
    <xf numFmtId="1" fontId="20" fillId="2" borderId="3" xfId="0" applyNumberFormat="1" applyFont="1" applyFill="1" applyBorder="1" applyAlignment="1">
      <alignment horizontal="center" vertical="center"/>
    </xf>
    <xf numFmtId="1" fontId="20" fillId="2" borderId="28" xfId="0" applyNumberFormat="1" applyFont="1" applyFill="1" applyBorder="1" applyAlignment="1">
      <alignment horizontal="center" vertical="center"/>
    </xf>
    <xf numFmtId="44" fontId="20" fillId="2" borderId="1" xfId="1" applyNumberFormat="1" applyFont="1" applyFill="1" applyBorder="1" applyAlignment="1">
      <alignment horizontal="center" vertical="center"/>
    </xf>
    <xf numFmtId="1" fontId="20" fillId="2" borderId="62" xfId="0" applyNumberFormat="1" applyFont="1" applyFill="1" applyBorder="1" applyAlignment="1">
      <alignment horizontal="center" vertical="center"/>
    </xf>
    <xf numFmtId="44" fontId="20" fillId="2" borderId="10" xfId="1" applyNumberFormat="1" applyFont="1" applyFill="1" applyBorder="1" applyAlignment="1">
      <alignment horizontal="center" vertical="center"/>
    </xf>
    <xf numFmtId="1" fontId="20" fillId="2" borderId="26" xfId="0" applyNumberFormat="1" applyFont="1" applyFill="1" applyBorder="1" applyAlignment="1">
      <alignment horizontal="center" vertical="center"/>
    </xf>
    <xf numFmtId="44" fontId="20" fillId="2" borderId="25" xfId="1" applyNumberFormat="1" applyFont="1" applyFill="1" applyBorder="1" applyAlignment="1">
      <alignment horizontal="center" vertical="center"/>
    </xf>
    <xf numFmtId="1" fontId="20" fillId="2" borderId="2" xfId="0" applyNumberFormat="1" applyFont="1" applyFill="1" applyBorder="1" applyAlignment="1">
      <alignment horizontal="center" vertical="center"/>
    </xf>
    <xf numFmtId="1" fontId="20" fillId="2" borderId="37" xfId="0" applyNumberFormat="1" applyFont="1" applyFill="1" applyBorder="1" applyAlignment="1">
      <alignment horizontal="center" vertical="center"/>
    </xf>
    <xf numFmtId="0" fontId="48" fillId="7" borderId="27" xfId="0" applyFont="1" applyFill="1" applyBorder="1" applyAlignment="1">
      <alignment horizontal="center"/>
    </xf>
    <xf numFmtId="9" fontId="48" fillId="7" borderId="14" xfId="0" applyNumberFormat="1" applyFont="1" applyFill="1" applyBorder="1" applyAlignment="1">
      <alignment horizontal="center"/>
    </xf>
    <xf numFmtId="44" fontId="48" fillId="7" borderId="14" xfId="0" applyNumberFormat="1" applyFont="1" applyFill="1" applyBorder="1" applyAlignment="1">
      <alignment horizontal="center"/>
    </xf>
    <xf numFmtId="0" fontId="20" fillId="7" borderId="0" xfId="0" applyFont="1" applyFill="1" applyAlignment="1">
      <alignment horizontal="center" vertical="center"/>
    </xf>
    <xf numFmtId="44" fontId="48" fillId="2" borderId="32" xfId="1" applyFont="1" applyFill="1" applyBorder="1"/>
    <xf numFmtId="0" fontId="48" fillId="7" borderId="31" xfId="0" applyFont="1" applyFill="1" applyBorder="1"/>
    <xf numFmtId="10" fontId="48" fillId="7" borderId="9" xfId="2" applyNumberFormat="1" applyFont="1" applyFill="1" applyBorder="1"/>
    <xf numFmtId="0" fontId="48" fillId="7" borderId="1" xfId="0" applyFont="1" applyFill="1" applyBorder="1" applyAlignment="1">
      <alignment horizontal="center"/>
    </xf>
    <xf numFmtId="0" fontId="48" fillId="7" borderId="1" xfId="0" applyFont="1" applyFill="1" applyBorder="1" applyAlignment="1">
      <alignment horizontal="center" vertical="center"/>
    </xf>
    <xf numFmtId="44" fontId="48" fillId="7" borderId="1" xfId="1" applyFont="1" applyFill="1" applyBorder="1" applyAlignment="1">
      <alignment horizontal="center"/>
    </xf>
    <xf numFmtId="44" fontId="48" fillId="7" borderId="1" xfId="0" applyNumberFormat="1" applyFont="1" applyFill="1" applyBorder="1" applyAlignment="1">
      <alignment horizontal="center"/>
    </xf>
    <xf numFmtId="44" fontId="48" fillId="7" borderId="1" xfId="0" applyNumberFormat="1" applyFont="1" applyFill="1" applyBorder="1"/>
    <xf numFmtId="0" fontId="48" fillId="3" borderId="1" xfId="0" applyFont="1" applyFill="1" applyBorder="1" applyAlignment="1">
      <alignment horizontal="center"/>
    </xf>
    <xf numFmtId="10" fontId="48" fillId="3" borderId="1" xfId="2" applyNumberFormat="1" applyFont="1" applyFill="1" applyBorder="1" applyAlignment="1">
      <alignment horizontal="center"/>
    </xf>
    <xf numFmtId="0" fontId="48" fillId="6" borderId="1" xfId="0" applyFont="1" applyFill="1" applyBorder="1" applyAlignment="1">
      <alignment horizontal="center" vertical="center"/>
    </xf>
    <xf numFmtId="44" fontId="0" fillId="6" borderId="1" xfId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8" fillId="20" borderId="1" xfId="0" applyFont="1" applyFill="1" applyBorder="1" applyAlignment="1">
      <alignment horizontal="center"/>
    </xf>
    <xf numFmtId="10" fontId="48" fillId="20" borderId="1" xfId="2" applyNumberFormat="1" applyFont="1" applyFill="1" applyBorder="1" applyAlignment="1">
      <alignment horizontal="center"/>
    </xf>
    <xf numFmtId="0" fontId="0" fillId="21" borderId="0" xfId="0" applyFill="1"/>
    <xf numFmtId="0" fontId="48" fillId="21" borderId="0" xfId="0" applyFont="1" applyFill="1"/>
    <xf numFmtId="44" fontId="0" fillId="21" borderId="0" xfId="1" applyFont="1" applyFill="1"/>
    <xf numFmtId="0" fontId="20" fillId="21" borderId="0" xfId="0" applyFont="1" applyFill="1" applyBorder="1" applyAlignment="1">
      <alignment vertical="center" wrapText="1"/>
    </xf>
    <xf numFmtId="0" fontId="48" fillId="21" borderId="0" xfId="0" applyFont="1" applyFill="1" applyBorder="1"/>
    <xf numFmtId="0" fontId="20" fillId="21" borderId="0" xfId="0" applyFont="1" applyFill="1" applyBorder="1" applyAlignment="1">
      <alignment horizontal="center" vertical="center"/>
    </xf>
    <xf numFmtId="0" fontId="20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4" fontId="0" fillId="21" borderId="0" xfId="1" applyFont="1" applyFill="1" applyAlignment="1">
      <alignment horizontal="center" vertical="center"/>
    </xf>
    <xf numFmtId="2" fontId="0" fillId="21" borderId="0" xfId="1" applyNumberFormat="1" applyFont="1" applyFill="1"/>
    <xf numFmtId="0" fontId="54" fillId="21" borderId="0" xfId="0" applyFont="1" applyFill="1" applyAlignment="1">
      <alignment horizontal="right"/>
    </xf>
    <xf numFmtId="44" fontId="53" fillId="21" borderId="0" xfId="1" applyFont="1" applyFill="1" applyBorder="1" applyAlignment="1">
      <alignment vertical="center" wrapText="1"/>
    </xf>
    <xf numFmtId="0" fontId="53" fillId="21" borderId="0" xfId="0" applyFont="1" applyFill="1"/>
    <xf numFmtId="44" fontId="53" fillId="21" borderId="0" xfId="1" applyFont="1" applyFill="1"/>
    <xf numFmtId="0" fontId="53" fillId="21" borderId="0" xfId="0" applyFont="1" applyFill="1" applyAlignment="1">
      <alignment horizontal="right"/>
    </xf>
    <xf numFmtId="44" fontId="53" fillId="21" borderId="0" xfId="0" applyNumberFormat="1" applyFont="1" applyFill="1" applyAlignment="1">
      <alignment horizontal="right"/>
    </xf>
    <xf numFmtId="2" fontId="53" fillId="21" borderId="0" xfId="1" applyNumberFormat="1" applyFont="1" applyFill="1"/>
    <xf numFmtId="16" fontId="53" fillId="21" borderId="0" xfId="0" applyNumberFormat="1" applyFont="1" applyFill="1"/>
    <xf numFmtId="0" fontId="53" fillId="21" borderId="14" xfId="0" applyFont="1" applyFill="1" applyBorder="1" applyAlignment="1">
      <alignment horizontal="center"/>
    </xf>
    <xf numFmtId="44" fontId="53" fillId="21" borderId="1" xfId="1" applyFont="1" applyFill="1" applyBorder="1" applyAlignment="1">
      <alignment horizontal="center"/>
    </xf>
    <xf numFmtId="0" fontId="53" fillId="21" borderId="1" xfId="0" applyFont="1" applyFill="1" applyBorder="1" applyAlignment="1">
      <alignment horizontal="center" vertical="center"/>
    </xf>
    <xf numFmtId="44" fontId="53" fillId="21" borderId="1" xfId="1" applyFont="1" applyFill="1" applyBorder="1"/>
    <xf numFmtId="172" fontId="0" fillId="11" borderId="1" xfId="0" applyNumberFormat="1" applyFill="1" applyBorder="1" applyAlignment="1">
      <alignment horizontal="center" vertical="center"/>
    </xf>
    <xf numFmtId="172" fontId="0" fillId="2" borderId="0" xfId="0" applyNumberFormat="1" applyFill="1"/>
    <xf numFmtId="167" fontId="0" fillId="7" borderId="1" xfId="2" applyNumberFormat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170" fontId="0" fillId="8" borderId="1" xfId="0" applyNumberFormat="1" applyFill="1" applyBorder="1" applyAlignment="1">
      <alignment horizontal="center" vertical="center"/>
    </xf>
    <xf numFmtId="172" fontId="0" fillId="14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NumberForma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167" fontId="0" fillId="11" borderId="1" xfId="2" applyNumberFormat="1" applyFont="1" applyFill="1" applyBorder="1" applyAlignment="1">
      <alignment horizontal="center" vertical="center"/>
    </xf>
    <xf numFmtId="171" fontId="0" fillId="7" borderId="1" xfId="0" applyNumberFormat="1" applyFill="1" applyBorder="1" applyAlignment="1">
      <alignment horizontal="center" vertical="center"/>
    </xf>
    <xf numFmtId="173" fontId="0" fillId="2" borderId="0" xfId="0" applyNumberFormat="1" applyFill="1"/>
    <xf numFmtId="0" fontId="0" fillId="4" borderId="1" xfId="0" applyFill="1" applyBorder="1" applyAlignment="1">
      <alignment horizontal="center" vertical="center"/>
    </xf>
    <xf numFmtId="172" fontId="0" fillId="4" borderId="1" xfId="0" applyNumberFormat="1" applyFill="1" applyBorder="1" applyAlignment="1">
      <alignment horizontal="center" vertical="center"/>
    </xf>
    <xf numFmtId="170" fontId="0" fillId="4" borderId="1" xfId="0" applyNumberFormat="1" applyFill="1" applyBorder="1" applyAlignment="1">
      <alignment horizontal="center" vertical="center"/>
    </xf>
    <xf numFmtId="170" fontId="0" fillId="14" borderId="1" xfId="0" applyNumberFormat="1" applyFill="1" applyBorder="1" applyAlignment="1">
      <alignment horizontal="center" vertical="center"/>
    </xf>
    <xf numFmtId="174" fontId="48" fillId="2" borderId="0" xfId="1" applyNumberFormat="1" applyFont="1" applyFill="1"/>
    <xf numFmtId="174" fontId="48" fillId="2" borderId="0" xfId="0" applyNumberFormat="1" applyFont="1" applyFill="1"/>
    <xf numFmtId="2" fontId="0" fillId="2" borderId="0" xfId="0" applyNumberFormat="1" applyFill="1"/>
    <xf numFmtId="9" fontId="0" fillId="2" borderId="44" xfId="2" applyFont="1" applyFill="1" applyBorder="1"/>
    <xf numFmtId="0" fontId="47" fillId="2" borderId="0" xfId="0" applyFont="1" applyFill="1"/>
    <xf numFmtId="0" fontId="0" fillId="2" borderId="34" xfId="0" applyFill="1" applyBorder="1" applyAlignment="1">
      <alignment horizontal="right"/>
    </xf>
    <xf numFmtId="170" fontId="0" fillId="2" borderId="28" xfId="0" applyNumberFormat="1" applyFill="1" applyBorder="1"/>
    <xf numFmtId="0" fontId="0" fillId="2" borderId="38" xfId="0" applyFill="1" applyBorder="1" applyAlignment="1">
      <alignment horizontal="right"/>
    </xf>
    <xf numFmtId="170" fontId="0" fillId="2" borderId="27" xfId="0" applyNumberFormat="1" applyFill="1" applyBorder="1"/>
    <xf numFmtId="0" fontId="0" fillId="2" borderId="1" xfId="0" applyFill="1" applyBorder="1" applyAlignment="1">
      <alignment horizontal="center" vertical="center"/>
    </xf>
    <xf numFmtId="0" fontId="44" fillId="21" borderId="0" xfId="3" applyFill="1" applyAlignment="1" applyProtection="1"/>
    <xf numFmtId="44" fontId="48" fillId="21" borderId="0" xfId="0" applyNumberFormat="1" applyFont="1" applyFill="1"/>
    <xf numFmtId="44" fontId="58" fillId="21" borderId="0" xfId="0" applyNumberFormat="1" applyFont="1" applyFill="1" applyAlignment="1">
      <alignment horizontal="center" vertical="center"/>
    </xf>
    <xf numFmtId="10" fontId="48" fillId="2" borderId="1" xfId="2" applyNumberFormat="1" applyFont="1" applyFill="1" applyBorder="1" applyAlignment="1">
      <alignment horizontal="center"/>
    </xf>
    <xf numFmtId="44" fontId="48" fillId="2" borderId="1" xfId="1" applyFont="1" applyFill="1" applyBorder="1" applyAlignment="1">
      <alignment horizontal="center"/>
    </xf>
    <xf numFmtId="2" fontId="48" fillId="20" borderId="1" xfId="0" applyNumberFormat="1" applyFont="1" applyFill="1" applyBorder="1" applyAlignment="1">
      <alignment horizontal="center"/>
    </xf>
    <xf numFmtId="171" fontId="0" fillId="2" borderId="0" xfId="0" applyNumberFormat="1" applyFill="1"/>
    <xf numFmtId="172" fontId="0" fillId="2" borderId="44" xfId="0" applyNumberFormat="1" applyFill="1" applyBorder="1"/>
    <xf numFmtId="10" fontId="0" fillId="2" borderId="0" xfId="2" applyNumberFormat="1" applyFont="1" applyFill="1" applyAlignment="1">
      <alignment horizontal="right"/>
    </xf>
    <xf numFmtId="0" fontId="44" fillId="2" borderId="0" xfId="3" applyFill="1" applyAlignment="1" applyProtection="1"/>
    <xf numFmtId="2" fontId="0" fillId="2" borderId="44" xfId="0" applyNumberFormat="1" applyFill="1" applyBorder="1"/>
    <xf numFmtId="0" fontId="2" fillId="7" borderId="44" xfId="0" applyFont="1" applyFill="1" applyBorder="1"/>
    <xf numFmtId="2" fontId="48" fillId="3" borderId="1" xfId="0" applyNumberFormat="1" applyFont="1" applyFill="1" applyBorder="1" applyAlignment="1">
      <alignment horizontal="center"/>
    </xf>
    <xf numFmtId="0" fontId="47" fillId="21" borderId="0" xfId="0" applyFont="1" applyFill="1"/>
    <xf numFmtId="0" fontId="47" fillId="21" borderId="0" xfId="0" applyFont="1" applyFill="1" applyAlignment="1">
      <alignment horizontal="right"/>
    </xf>
    <xf numFmtId="0" fontId="0" fillId="21" borderId="0" xfId="0" applyFill="1" applyBorder="1"/>
    <xf numFmtId="0" fontId="60" fillId="21" borderId="0" xfId="0" applyFont="1" applyFill="1" applyBorder="1"/>
    <xf numFmtId="0" fontId="61" fillId="21" borderId="0" xfId="0" applyFont="1" applyFill="1"/>
    <xf numFmtId="0" fontId="62" fillId="21" borderId="0" xfId="0" applyFont="1" applyFill="1" applyAlignment="1">
      <alignment horizontal="right"/>
    </xf>
    <xf numFmtId="44" fontId="0" fillId="2" borderId="0" xfId="1" applyNumberFormat="1" applyFont="1" applyFill="1" applyAlignment="1">
      <alignment horizontal="right"/>
    </xf>
    <xf numFmtId="16" fontId="0" fillId="2" borderId="0" xfId="0" applyNumberFormat="1" applyFill="1"/>
    <xf numFmtId="0" fontId="0" fillId="4" borderId="0" xfId="0" applyFill="1"/>
    <xf numFmtId="44" fontId="0" fillId="7" borderId="73" xfId="1" applyFont="1" applyFill="1" applyBorder="1" applyAlignment="1">
      <alignment vertical="center"/>
    </xf>
    <xf numFmtId="10" fontId="20" fillId="5" borderId="34" xfId="2" applyNumberFormat="1" applyFont="1" applyFill="1" applyBorder="1" applyAlignment="1">
      <alignment horizontal="center" vertical="center"/>
    </xf>
    <xf numFmtId="10" fontId="20" fillId="5" borderId="25" xfId="2" applyNumberFormat="1" applyFont="1" applyFill="1" applyBorder="1" applyAlignment="1">
      <alignment horizontal="center" vertical="center"/>
    </xf>
    <xf numFmtId="10" fontId="20" fillId="5" borderId="52" xfId="2" applyNumberFormat="1" applyFont="1" applyFill="1" applyBorder="1" applyAlignment="1">
      <alignment horizontal="center" vertical="center"/>
    </xf>
    <xf numFmtId="10" fontId="20" fillId="5" borderId="29" xfId="2" applyNumberFormat="1" applyFont="1" applyFill="1" applyBorder="1" applyAlignment="1">
      <alignment horizontal="center" vertical="center"/>
    </xf>
    <xf numFmtId="10" fontId="20" fillId="5" borderId="10" xfId="2" applyNumberFormat="1" applyFont="1" applyFill="1" applyBorder="1" applyAlignment="1">
      <alignment horizontal="center" vertical="center"/>
    </xf>
    <xf numFmtId="1" fontId="20" fillId="5" borderId="73" xfId="0" applyNumberFormat="1" applyFont="1" applyFill="1" applyBorder="1" applyAlignment="1">
      <alignment horizontal="center" vertical="center"/>
    </xf>
    <xf numFmtId="44" fontId="20" fillId="5" borderId="73" xfId="1" applyNumberFormat="1" applyFont="1" applyFill="1" applyBorder="1" applyAlignment="1">
      <alignment horizontal="center" vertical="center"/>
    </xf>
    <xf numFmtId="44" fontId="20" fillId="5" borderId="73" xfId="1" applyFont="1" applyFill="1" applyBorder="1" applyAlignment="1">
      <alignment horizontal="center" vertical="center"/>
    </xf>
    <xf numFmtId="10" fontId="20" fillId="5" borderId="73" xfId="2" applyNumberFormat="1" applyFont="1" applyFill="1" applyBorder="1" applyAlignment="1">
      <alignment horizontal="center" vertical="center"/>
    </xf>
    <xf numFmtId="1" fontId="20" fillId="5" borderId="23" xfId="0" applyNumberFormat="1" applyFont="1" applyFill="1" applyBorder="1" applyAlignment="1">
      <alignment horizontal="center" vertical="center"/>
    </xf>
    <xf numFmtId="10" fontId="20" fillId="5" borderId="41" xfId="2" applyNumberFormat="1" applyFont="1" applyFill="1" applyBorder="1" applyAlignment="1">
      <alignment horizontal="center" vertical="center"/>
    </xf>
    <xf numFmtId="0" fontId="24" fillId="21" borderId="0" xfId="0" applyFont="1" applyFill="1"/>
    <xf numFmtId="0" fontId="24" fillId="21" borderId="0" xfId="0" applyFont="1" applyFill="1" applyBorder="1"/>
    <xf numFmtId="44" fontId="0" fillId="2" borderId="14" xfId="1" applyFont="1" applyFill="1" applyBorder="1"/>
    <xf numFmtId="44" fontId="0" fillId="2" borderId="1" xfId="1" applyFont="1" applyFill="1" applyBorder="1" applyAlignment="1">
      <alignment horizontal="center"/>
    </xf>
    <xf numFmtId="0" fontId="48" fillId="7" borderId="27" xfId="0" applyFont="1" applyFill="1" applyBorder="1" applyAlignment="1">
      <alignment horizontal="center"/>
    </xf>
    <xf numFmtId="0" fontId="48" fillId="20" borderId="1" xfId="0" applyFont="1" applyFill="1" applyBorder="1" applyAlignment="1">
      <alignment horizontal="center"/>
    </xf>
    <xf numFmtId="0" fontId="48" fillId="7" borderId="1" xfId="0" applyFont="1" applyFill="1" applyBorder="1" applyAlignment="1">
      <alignment horizontal="center"/>
    </xf>
    <xf numFmtId="0" fontId="48" fillId="3" borderId="1" xfId="0" applyFont="1" applyFill="1" applyBorder="1" applyAlignment="1">
      <alignment horizontal="center"/>
    </xf>
    <xf numFmtId="1" fontId="20" fillId="5" borderId="26" xfId="0" applyNumberFormat="1" applyFont="1" applyFill="1" applyBorder="1" applyAlignment="1">
      <alignment horizontal="center" vertical="center"/>
    </xf>
    <xf numFmtId="0" fontId="20" fillId="3" borderId="34" xfId="0" applyFont="1" applyFill="1" applyBorder="1" applyAlignment="1">
      <alignment horizontal="center" vertical="center"/>
    </xf>
    <xf numFmtId="0" fontId="20" fillId="3" borderId="28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" fontId="20" fillId="5" borderId="38" xfId="0" applyNumberFormat="1" applyFont="1" applyFill="1" applyBorder="1" applyAlignment="1">
      <alignment vertical="center"/>
    </xf>
    <xf numFmtId="1" fontId="20" fillId="5" borderId="35" xfId="0" applyNumberFormat="1" applyFont="1" applyFill="1" applyBorder="1" applyAlignment="1">
      <alignment vertical="center"/>
    </xf>
    <xf numFmtId="1" fontId="20" fillId="5" borderId="26" xfId="0" applyNumberFormat="1" applyFont="1" applyFill="1" applyBorder="1" applyAlignment="1">
      <alignment vertical="center"/>
    </xf>
    <xf numFmtId="44" fontId="20" fillId="2" borderId="4" xfId="1" applyFont="1" applyFill="1" applyBorder="1" applyAlignment="1">
      <alignment horizontal="center" vertical="center"/>
    </xf>
    <xf numFmtId="44" fontId="20" fillId="2" borderId="52" xfId="1" applyFont="1" applyFill="1" applyBorder="1" applyAlignment="1">
      <alignment horizontal="center" vertical="center"/>
    </xf>
    <xf numFmtId="0" fontId="2" fillId="2" borderId="0" xfId="0" applyFont="1" applyFill="1" applyBorder="1"/>
    <xf numFmtId="44" fontId="0" fillId="2" borderId="0" xfId="0" applyNumberFormat="1" applyFill="1" applyBorder="1" applyAlignment="1"/>
    <xf numFmtId="0" fontId="0" fillId="2" borderId="25" xfId="0" applyFill="1" applyBorder="1"/>
    <xf numFmtId="0" fontId="0" fillId="2" borderId="61" xfId="0" applyFill="1" applyBorder="1"/>
    <xf numFmtId="0" fontId="0" fillId="2" borderId="14" xfId="0" applyFill="1" applyBorder="1"/>
    <xf numFmtId="1" fontId="20" fillId="5" borderId="26" xfId="0" applyNumberFormat="1" applyFont="1" applyFill="1" applyBorder="1" applyAlignment="1">
      <alignment horizontal="center" vertical="center"/>
    </xf>
    <xf numFmtId="0" fontId="20" fillId="2" borderId="25" xfId="0" applyFont="1" applyFill="1" applyBorder="1" applyAlignment="1">
      <alignment vertical="center"/>
    </xf>
    <xf numFmtId="0" fontId="20" fillId="2" borderId="61" xfId="0" applyFont="1" applyFill="1" applyBorder="1" applyAlignment="1">
      <alignment vertical="center"/>
    </xf>
    <xf numFmtId="0" fontId="20" fillId="2" borderId="14" xfId="0" applyFont="1" applyFill="1" applyBorder="1" applyAlignment="1">
      <alignment vertical="center"/>
    </xf>
    <xf numFmtId="44" fontId="48" fillId="2" borderId="25" xfId="0" applyNumberFormat="1" applyFont="1" applyFill="1" applyBorder="1" applyAlignment="1">
      <alignment vertical="center"/>
    </xf>
    <xf numFmtId="44" fontId="0" fillId="2" borderId="61" xfId="0" applyNumberFormat="1" applyFill="1" applyBorder="1" applyAlignment="1">
      <alignment vertical="center"/>
    </xf>
    <xf numFmtId="44" fontId="0" fillId="2" borderId="14" xfId="0" applyNumberFormat="1" applyFill="1" applyBorder="1" applyAlignment="1">
      <alignment vertical="center"/>
    </xf>
    <xf numFmtId="0" fontId="0" fillId="2" borderId="61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7" borderId="0" xfId="0" applyFill="1" applyAlignment="1">
      <alignment shrinkToFit="1"/>
    </xf>
    <xf numFmtId="16" fontId="0" fillId="7" borderId="0" xfId="0" applyNumberFormat="1" applyFill="1" applyAlignment="1">
      <alignment shrinkToFit="1"/>
    </xf>
    <xf numFmtId="0" fontId="0" fillId="4" borderId="0" xfId="0" applyFill="1" applyAlignment="1">
      <alignment shrinkToFit="1"/>
    </xf>
    <xf numFmtId="16" fontId="0" fillId="4" borderId="0" xfId="0" applyNumberFormat="1" applyFill="1" applyAlignment="1">
      <alignment shrinkToFit="1"/>
    </xf>
    <xf numFmtId="0" fontId="0" fillId="2" borderId="5" xfId="0" applyFill="1" applyBorder="1" applyAlignment="1">
      <alignment horizontal="center"/>
    </xf>
    <xf numFmtId="44" fontId="20" fillId="12" borderId="0" xfId="0" applyNumberFormat="1" applyFont="1" applyFill="1" applyBorder="1" applyAlignment="1">
      <alignment horizontal="center" vertical="center"/>
    </xf>
    <xf numFmtId="44" fontId="48" fillId="12" borderId="0" xfId="1" applyFont="1" applyFill="1"/>
    <xf numFmtId="1" fontId="64" fillId="5" borderId="2" xfId="0" applyNumberFormat="1" applyFont="1" applyFill="1" applyBorder="1" applyAlignment="1">
      <alignment horizontal="center" vertical="center"/>
    </xf>
    <xf numFmtId="1" fontId="64" fillId="5" borderId="62" xfId="0" applyNumberFormat="1" applyFont="1" applyFill="1" applyBorder="1" applyAlignment="1">
      <alignment horizontal="center" vertical="center"/>
    </xf>
    <xf numFmtId="44" fontId="64" fillId="5" borderId="10" xfId="1" applyNumberFormat="1" applyFont="1" applyFill="1" applyBorder="1" applyAlignment="1">
      <alignment horizontal="center" vertical="center"/>
    </xf>
    <xf numFmtId="44" fontId="64" fillId="5" borderId="29" xfId="1" applyFont="1" applyFill="1" applyBorder="1" applyAlignment="1">
      <alignment horizontal="center" vertical="center"/>
    </xf>
    <xf numFmtId="10" fontId="64" fillId="5" borderId="1" xfId="2" applyNumberFormat="1" applyFont="1" applyFill="1" applyBorder="1" applyAlignment="1">
      <alignment horizontal="center" vertical="center"/>
    </xf>
    <xf numFmtId="10" fontId="64" fillId="5" borderId="11" xfId="2" applyNumberFormat="1" applyFont="1" applyFill="1" applyBorder="1" applyAlignment="1">
      <alignment horizontal="center" vertical="center"/>
    </xf>
    <xf numFmtId="1" fontId="64" fillId="5" borderId="3" xfId="0" applyNumberFormat="1" applyFont="1" applyFill="1" applyBorder="1" applyAlignment="1">
      <alignment horizontal="center" vertical="center"/>
    </xf>
    <xf numFmtId="1" fontId="64" fillId="5" borderId="28" xfId="0" applyNumberFormat="1" applyFont="1" applyFill="1" applyBorder="1" applyAlignment="1">
      <alignment horizontal="center" vertical="center"/>
    </xf>
    <xf numFmtId="44" fontId="64" fillId="5" borderId="1" xfId="1" applyNumberFormat="1" applyFont="1" applyFill="1" applyBorder="1" applyAlignment="1">
      <alignment horizontal="center" vertical="center"/>
    </xf>
    <xf numFmtId="44" fontId="64" fillId="5" borderId="34" xfId="1" applyFont="1" applyFill="1" applyBorder="1" applyAlignment="1">
      <alignment horizontal="center" vertical="center"/>
    </xf>
    <xf numFmtId="10" fontId="64" fillId="5" borderId="4" xfId="2" applyNumberFormat="1" applyFont="1" applyFill="1" applyBorder="1" applyAlignment="1">
      <alignment horizontal="center" vertical="center"/>
    </xf>
    <xf numFmtId="0" fontId="5" fillId="2" borderId="38" xfId="0" applyFont="1" applyFill="1" applyBorder="1" applyAlignment="1">
      <alignment horizontal="center"/>
    </xf>
    <xf numFmtId="0" fontId="5" fillId="2" borderId="44" xfId="0" applyFont="1" applyFill="1" applyBorder="1" applyAlignment="1">
      <alignment horizontal="center"/>
    </xf>
    <xf numFmtId="0" fontId="5" fillId="2" borderId="27" xfId="0" applyFont="1" applyFill="1" applyBorder="1" applyAlignment="1">
      <alignment horizontal="center"/>
    </xf>
    <xf numFmtId="0" fontId="5" fillId="6" borderId="53" xfId="0" applyFont="1" applyFill="1" applyBorder="1" applyAlignment="1">
      <alignment horizontal="right"/>
    </xf>
    <xf numFmtId="0" fontId="5" fillId="6" borderId="54" xfId="0" applyFont="1" applyFill="1" applyBorder="1" applyAlignment="1">
      <alignment horizontal="right"/>
    </xf>
    <xf numFmtId="0" fontId="28" fillId="7" borderId="69" xfId="0" applyFont="1" applyFill="1" applyBorder="1" applyAlignment="1">
      <alignment horizontal="center" vertical="center"/>
    </xf>
    <xf numFmtId="0" fontId="28" fillId="7" borderId="58" xfId="0" applyFont="1" applyFill="1" applyBorder="1" applyAlignment="1">
      <alignment horizontal="center" vertical="center"/>
    </xf>
    <xf numFmtId="0" fontId="28" fillId="7" borderId="70" xfId="0" applyFont="1" applyFill="1" applyBorder="1" applyAlignment="1">
      <alignment horizontal="center" vertical="center"/>
    </xf>
    <xf numFmtId="0" fontId="28" fillId="7" borderId="20" xfId="0" applyFont="1" applyFill="1" applyBorder="1" applyAlignment="1">
      <alignment horizontal="center" vertical="center"/>
    </xf>
    <xf numFmtId="0" fontId="28" fillId="7" borderId="0" xfId="0" applyFont="1" applyFill="1" applyBorder="1" applyAlignment="1">
      <alignment horizontal="center" vertical="center"/>
    </xf>
    <xf numFmtId="0" fontId="28" fillId="7" borderId="68" xfId="0" applyFont="1" applyFill="1" applyBorder="1" applyAlignment="1">
      <alignment horizontal="center" vertical="center"/>
    </xf>
    <xf numFmtId="0" fontId="28" fillId="7" borderId="53" xfId="0" applyFont="1" applyFill="1" applyBorder="1" applyAlignment="1">
      <alignment horizontal="center" vertical="center"/>
    </xf>
    <xf numFmtId="0" fontId="28" fillId="7" borderId="55" xfId="0" applyFont="1" applyFill="1" applyBorder="1" applyAlignment="1">
      <alignment horizontal="center" vertical="center"/>
    </xf>
    <xf numFmtId="0" fontId="28" fillId="7" borderId="57" xfId="0" applyFont="1" applyFill="1" applyBorder="1" applyAlignment="1">
      <alignment horizontal="center" vertical="center"/>
    </xf>
    <xf numFmtId="0" fontId="3" fillId="2" borderId="55" xfId="0" applyFont="1" applyFill="1" applyBorder="1" applyAlignment="1">
      <alignment horizontal="center"/>
    </xf>
    <xf numFmtId="44" fontId="3" fillId="2" borderId="0" xfId="1" applyFont="1" applyFill="1" applyAlignment="1">
      <alignment horizontal="center"/>
    </xf>
    <xf numFmtId="0" fontId="3" fillId="5" borderId="55" xfId="0" applyFont="1" applyFill="1" applyBorder="1" applyAlignment="1">
      <alignment horizontal="center"/>
    </xf>
    <xf numFmtId="0" fontId="33" fillId="2" borderId="20" xfId="0" applyFont="1" applyFill="1" applyBorder="1" applyAlignment="1">
      <alignment horizontal="center" vertical="center"/>
    </xf>
    <xf numFmtId="0" fontId="33" fillId="2" borderId="0" xfId="0" applyFont="1" applyFill="1" applyAlignment="1">
      <alignment horizontal="center" vertical="center"/>
    </xf>
    <xf numFmtId="0" fontId="33" fillId="2" borderId="20" xfId="0" applyFont="1" applyFill="1" applyBorder="1" applyAlignment="1">
      <alignment horizontal="center"/>
    </xf>
    <xf numFmtId="0" fontId="33" fillId="2" borderId="0" xfId="0" applyFont="1" applyFill="1" applyAlignment="1">
      <alignment horizontal="center"/>
    </xf>
    <xf numFmtId="16" fontId="34" fillId="7" borderId="24" xfId="0" applyNumberFormat="1" applyFont="1" applyFill="1" applyBorder="1" applyAlignment="1">
      <alignment horizontal="center" vertical="center"/>
    </xf>
    <xf numFmtId="16" fontId="34" fillId="7" borderId="67" xfId="0" applyNumberFormat="1" applyFont="1" applyFill="1" applyBorder="1" applyAlignment="1">
      <alignment horizontal="center" vertical="center"/>
    </xf>
    <xf numFmtId="16" fontId="34" fillId="7" borderId="43" xfId="0" applyNumberFormat="1" applyFont="1" applyFill="1" applyBorder="1" applyAlignment="1">
      <alignment horizontal="center" vertical="center"/>
    </xf>
    <xf numFmtId="16" fontId="34" fillId="7" borderId="20" xfId="0" applyNumberFormat="1" applyFont="1" applyFill="1" applyBorder="1" applyAlignment="1">
      <alignment horizontal="center" vertical="center"/>
    </xf>
    <xf numFmtId="16" fontId="34" fillId="7" borderId="0" xfId="0" applyNumberFormat="1" applyFont="1" applyFill="1" applyBorder="1" applyAlignment="1">
      <alignment horizontal="center" vertical="center"/>
    </xf>
    <xf numFmtId="16" fontId="34" fillId="7" borderId="68" xfId="0" applyNumberFormat="1" applyFont="1" applyFill="1" applyBorder="1" applyAlignment="1">
      <alignment horizontal="center" vertical="center"/>
    </xf>
    <xf numFmtId="16" fontId="34" fillId="7" borderId="39" xfId="0" applyNumberFormat="1" applyFont="1" applyFill="1" applyBorder="1" applyAlignment="1">
      <alignment horizontal="center" vertical="center"/>
    </xf>
    <xf numFmtId="16" fontId="34" fillId="7" borderId="44" xfId="0" applyNumberFormat="1" applyFont="1" applyFill="1" applyBorder="1" applyAlignment="1">
      <alignment horizontal="center" vertical="center"/>
    </xf>
    <xf numFmtId="16" fontId="34" fillId="7" borderId="63" xfId="0" applyNumberFormat="1" applyFont="1" applyFill="1" applyBorder="1" applyAlignment="1">
      <alignment horizontal="center" vertical="center"/>
    </xf>
    <xf numFmtId="16" fontId="34" fillId="7" borderId="1" xfId="0" applyNumberFormat="1" applyFont="1" applyFill="1" applyBorder="1" applyAlignment="1">
      <alignment horizontal="center" vertical="center"/>
    </xf>
    <xf numFmtId="16" fontId="34" fillId="7" borderId="35" xfId="0" applyNumberFormat="1" applyFont="1" applyFill="1" applyBorder="1" applyAlignment="1">
      <alignment horizontal="center" vertical="center"/>
    </xf>
    <xf numFmtId="16" fontId="34" fillId="7" borderId="66" xfId="0" applyNumberFormat="1" applyFont="1" applyFill="1" applyBorder="1" applyAlignment="1">
      <alignment horizontal="center" vertical="center"/>
    </xf>
    <xf numFmtId="16" fontId="34" fillId="7" borderId="38" xfId="0" applyNumberFormat="1" applyFont="1" applyFill="1" applyBorder="1" applyAlignment="1">
      <alignment horizontal="center" vertical="center"/>
    </xf>
    <xf numFmtId="44" fontId="3" fillId="2" borderId="30" xfId="1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29" xfId="0" applyFont="1" applyFill="1" applyBorder="1" applyAlignment="1">
      <alignment horizontal="center" vertical="center"/>
    </xf>
    <xf numFmtId="0" fontId="0" fillId="3" borderId="31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32" fillId="2" borderId="0" xfId="0" applyFont="1" applyFill="1" applyBorder="1" applyAlignment="1">
      <alignment horizontal="center" vertical="center" wrapText="1"/>
    </xf>
    <xf numFmtId="0" fontId="0" fillId="5" borderId="52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36" xfId="0" applyFont="1" applyFill="1" applyBorder="1" applyAlignment="1">
      <alignment horizontal="center" vertical="center" wrapText="1"/>
    </xf>
    <xf numFmtId="14" fontId="0" fillId="2" borderId="0" xfId="0" applyNumberForma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11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10" fontId="0" fillId="8" borderId="34" xfId="2" applyNumberFormat="1" applyFont="1" applyFill="1" applyBorder="1" applyAlignment="1">
      <alignment horizontal="center"/>
    </xf>
    <xf numFmtId="10" fontId="0" fillId="8" borderId="28" xfId="2" applyNumberFormat="1" applyFont="1" applyFill="1" applyBorder="1" applyAlignment="1">
      <alignment horizontal="center"/>
    </xf>
    <xf numFmtId="44" fontId="0" fillId="2" borderId="1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44" fontId="2" fillId="2" borderId="1" xfId="1" applyFont="1" applyFill="1" applyBorder="1" applyAlignment="1">
      <alignment horizontal="center" vertical="center"/>
    </xf>
    <xf numFmtId="0" fontId="25" fillId="4" borderId="67" xfId="0" applyFont="1" applyFill="1" applyBorder="1" applyAlignment="1">
      <alignment horizontal="center"/>
    </xf>
    <xf numFmtId="0" fontId="25" fillId="8" borderId="28" xfId="0" applyFont="1" applyFill="1" applyBorder="1" applyAlignment="1">
      <alignment horizontal="center"/>
    </xf>
    <xf numFmtId="0" fontId="25" fillId="8" borderId="1" xfId="0" applyFont="1" applyFill="1" applyBorder="1" applyAlignment="1">
      <alignment horizontal="center"/>
    </xf>
    <xf numFmtId="0" fontId="25" fillId="8" borderId="25" xfId="0" applyFont="1" applyFill="1" applyBorder="1" applyAlignment="1">
      <alignment horizontal="center"/>
    </xf>
    <xf numFmtId="0" fontId="25" fillId="8" borderId="34" xfId="0" applyFont="1" applyFill="1" applyBorder="1" applyAlignment="1">
      <alignment horizontal="center"/>
    </xf>
    <xf numFmtId="0" fontId="25" fillId="7" borderId="28" xfId="0" applyFont="1" applyFill="1" applyBorder="1" applyAlignment="1">
      <alignment horizontal="center"/>
    </xf>
    <xf numFmtId="0" fontId="25" fillId="7" borderId="1" xfId="0" applyFont="1" applyFill="1" applyBorder="1" applyAlignment="1">
      <alignment horizontal="center"/>
    </xf>
    <xf numFmtId="0" fontId="25" fillId="7" borderId="25" xfId="0" applyFont="1" applyFill="1" applyBorder="1" applyAlignment="1">
      <alignment horizontal="center"/>
    </xf>
    <xf numFmtId="0" fontId="25" fillId="7" borderId="34" xfId="0" applyFont="1" applyFill="1" applyBorder="1" applyAlignment="1">
      <alignment horizontal="center"/>
    </xf>
    <xf numFmtId="0" fontId="25" fillId="10" borderId="28" xfId="0" applyFont="1" applyFill="1" applyBorder="1" applyAlignment="1">
      <alignment horizontal="center"/>
    </xf>
    <xf numFmtId="0" fontId="25" fillId="10" borderId="1" xfId="0" applyFont="1" applyFill="1" applyBorder="1" applyAlignment="1">
      <alignment horizontal="center"/>
    </xf>
    <xf numFmtId="0" fontId="25" fillId="10" borderId="25" xfId="0" applyFont="1" applyFill="1" applyBorder="1" applyAlignment="1">
      <alignment horizontal="center"/>
    </xf>
    <xf numFmtId="0" fontId="25" fillId="10" borderId="34" xfId="0" applyFont="1" applyFill="1" applyBorder="1" applyAlignment="1">
      <alignment horizontal="center"/>
    </xf>
    <xf numFmtId="0" fontId="0" fillId="12" borderId="0" xfId="0" applyFill="1" applyAlignment="1">
      <alignment horizontal="center"/>
    </xf>
    <xf numFmtId="0" fontId="35" fillId="5" borderId="1" xfId="0" applyFont="1" applyFill="1" applyBorder="1" applyAlignment="1">
      <alignment horizontal="center" vertical="center"/>
    </xf>
    <xf numFmtId="0" fontId="35" fillId="3" borderId="1" xfId="0" applyFont="1" applyFill="1" applyBorder="1" applyAlignment="1">
      <alignment horizontal="center" vertical="center"/>
    </xf>
    <xf numFmtId="0" fontId="36" fillId="18" borderId="1" xfId="0" applyFont="1" applyFill="1" applyBorder="1" applyAlignment="1">
      <alignment horizontal="center" vertical="center"/>
    </xf>
    <xf numFmtId="44" fontId="37" fillId="18" borderId="1" xfId="1" applyFont="1" applyFill="1" applyBorder="1" applyAlignment="1">
      <alignment horizontal="center" vertical="center" wrapText="1"/>
    </xf>
    <xf numFmtId="44" fontId="0" fillId="3" borderId="1" xfId="1" applyFont="1" applyFill="1" applyBorder="1" applyAlignment="1">
      <alignment horizontal="center" vertical="center" wrapText="1"/>
    </xf>
    <xf numFmtId="44" fontId="0" fillId="5" borderId="1" xfId="1" applyFont="1" applyFill="1" applyBorder="1" applyAlignment="1">
      <alignment horizontal="center" vertical="center" wrapText="1"/>
    </xf>
    <xf numFmtId="0" fontId="17" fillId="16" borderId="0" xfId="0" applyFont="1" applyFill="1" applyAlignment="1">
      <alignment horizontal="center" vertical="center" wrapText="1"/>
    </xf>
    <xf numFmtId="44" fontId="41" fillId="2" borderId="0" xfId="1" applyFont="1" applyFill="1" applyAlignment="1">
      <alignment horizontal="center" vertical="center"/>
    </xf>
    <xf numFmtId="44" fontId="17" fillId="16" borderId="0" xfId="1" applyFont="1" applyFill="1" applyAlignment="1">
      <alignment horizontal="center" vertical="center"/>
    </xf>
    <xf numFmtId="167" fontId="17" fillId="16" borderId="0" xfId="2" applyNumberFormat="1" applyFont="1" applyFill="1" applyAlignment="1">
      <alignment horizontal="center" vertical="center"/>
    </xf>
    <xf numFmtId="44" fontId="11" fillId="16" borderId="0" xfId="0" applyNumberFormat="1" applyFont="1" applyFill="1" applyAlignment="1">
      <alignment horizontal="center" vertical="center"/>
    </xf>
    <xf numFmtId="0" fontId="39" fillId="16" borderId="2" xfId="0" applyFont="1" applyFill="1" applyBorder="1" applyAlignment="1">
      <alignment horizontal="center" vertical="center" wrapText="1"/>
    </xf>
    <xf numFmtId="0" fontId="39" fillId="16" borderId="37" xfId="0" applyFont="1" applyFill="1" applyBorder="1" applyAlignment="1">
      <alignment horizontal="center" vertical="center" wrapText="1"/>
    </xf>
    <xf numFmtId="0" fontId="31" fillId="16" borderId="10" xfId="0" applyFont="1" applyFill="1" applyBorder="1" applyAlignment="1">
      <alignment horizontal="center" vertical="center" wrapText="1"/>
    </xf>
    <xf numFmtId="0" fontId="31" fillId="16" borderId="25" xfId="0" applyFont="1" applyFill="1" applyBorder="1" applyAlignment="1">
      <alignment horizontal="center" vertical="center" wrapText="1"/>
    </xf>
    <xf numFmtId="0" fontId="38" fillId="16" borderId="11" xfId="0" applyFont="1" applyFill="1" applyBorder="1" applyAlignment="1">
      <alignment horizontal="center" vertical="center" wrapText="1"/>
    </xf>
    <xf numFmtId="0" fontId="38" fillId="16" borderId="52" xfId="0" applyFont="1" applyFill="1" applyBorder="1" applyAlignment="1">
      <alignment horizontal="center" vertical="center" wrapText="1"/>
    </xf>
    <xf numFmtId="44" fontId="11" fillId="11" borderId="58" xfId="1" applyFont="1" applyFill="1" applyBorder="1" applyAlignment="1">
      <alignment horizontal="center" vertical="center"/>
    </xf>
    <xf numFmtId="167" fontId="40" fillId="2" borderId="0" xfId="2" applyNumberFormat="1" applyFont="1" applyFill="1" applyBorder="1" applyAlignment="1">
      <alignment horizontal="center" vertical="center"/>
    </xf>
    <xf numFmtId="0" fontId="17" fillId="16" borderId="20" xfId="0" applyFont="1" applyFill="1" applyBorder="1" applyAlignment="1">
      <alignment horizontal="center" vertical="center" wrapText="1"/>
    </xf>
    <xf numFmtId="10" fontId="11" fillId="2" borderId="0" xfId="2" applyNumberFormat="1" applyFont="1" applyFill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1" fillId="14" borderId="39" xfId="0" applyFont="1" applyFill="1" applyBorder="1" applyAlignment="1">
      <alignment horizontal="center" vertical="center"/>
    </xf>
    <xf numFmtId="0" fontId="11" fillId="14" borderId="44" xfId="0" applyFont="1" applyFill="1" applyBorder="1" applyAlignment="1">
      <alignment horizontal="center" vertical="center"/>
    </xf>
    <xf numFmtId="0" fontId="11" fillId="14" borderId="63" xfId="0" applyFont="1" applyFill="1" applyBorder="1" applyAlignment="1">
      <alignment horizontal="center" vertical="center"/>
    </xf>
    <xf numFmtId="0" fontId="11" fillId="14" borderId="37" xfId="0" applyFont="1" applyFill="1" applyBorder="1" applyAlignment="1">
      <alignment horizontal="center" vertical="center" wrapText="1"/>
    </xf>
    <xf numFmtId="0" fontId="11" fillId="14" borderId="59" xfId="0" applyFont="1" applyFill="1" applyBorder="1" applyAlignment="1">
      <alignment horizontal="center" vertical="center" wrapText="1"/>
    </xf>
    <xf numFmtId="9" fontId="11" fillId="14" borderId="25" xfId="2" applyFont="1" applyFill="1" applyBorder="1" applyAlignment="1">
      <alignment horizontal="center" vertical="center" wrapText="1"/>
    </xf>
    <xf numFmtId="9" fontId="11" fillId="14" borderId="61" xfId="2" applyFont="1" applyFill="1" applyBorder="1" applyAlignment="1">
      <alignment horizontal="center" vertical="center" wrapText="1"/>
    </xf>
    <xf numFmtId="9" fontId="11" fillId="14" borderId="45" xfId="2" applyFont="1" applyFill="1" applyBorder="1" applyAlignment="1">
      <alignment horizontal="center" vertical="center" wrapText="1"/>
    </xf>
    <xf numFmtId="10" fontId="11" fillId="11" borderId="0" xfId="2" applyNumberFormat="1" applyFont="1" applyFill="1" applyAlignment="1">
      <alignment horizontal="center" vertical="center"/>
    </xf>
    <xf numFmtId="0" fontId="17" fillId="16" borderId="0" xfId="0" applyFont="1" applyFill="1" applyBorder="1" applyAlignment="1">
      <alignment horizontal="center" vertical="center"/>
    </xf>
    <xf numFmtId="0" fontId="17" fillId="16" borderId="0" xfId="0" applyNumberFormat="1" applyFont="1" applyFill="1" applyBorder="1" applyAlignment="1">
      <alignment horizontal="center" vertical="center"/>
    </xf>
    <xf numFmtId="0" fontId="11" fillId="14" borderId="34" xfId="0" applyFont="1" applyFill="1" applyBorder="1" applyAlignment="1">
      <alignment horizontal="center" vertical="center"/>
    </xf>
    <xf numFmtId="0" fontId="11" fillId="14" borderId="28" xfId="0" applyFont="1" applyFill="1" applyBorder="1" applyAlignment="1">
      <alignment horizontal="center" vertical="center"/>
    </xf>
    <xf numFmtId="44" fontId="11" fillId="14" borderId="25" xfId="2" applyNumberFormat="1" applyFont="1" applyFill="1" applyBorder="1" applyAlignment="1">
      <alignment horizontal="center" vertical="center" wrapText="1"/>
    </xf>
    <xf numFmtId="44" fontId="11" fillId="14" borderId="50" xfId="2" applyNumberFormat="1" applyFont="1" applyFill="1" applyBorder="1" applyAlignment="1">
      <alignment horizontal="center" vertical="center" wrapText="1"/>
    </xf>
    <xf numFmtId="0" fontId="11" fillId="14" borderId="50" xfId="2" applyNumberFormat="1" applyFont="1" applyFill="1" applyBorder="1" applyAlignment="1">
      <alignment horizontal="center" vertical="center" wrapText="1"/>
    </xf>
    <xf numFmtId="0" fontId="11" fillId="14" borderId="61" xfId="2" applyNumberFormat="1" applyFont="1" applyFill="1" applyBorder="1" applyAlignment="1">
      <alignment horizontal="center" vertical="center" wrapText="1"/>
    </xf>
    <xf numFmtId="0" fontId="11" fillId="14" borderId="45" xfId="2" applyNumberFormat="1" applyFont="1" applyFill="1" applyBorder="1" applyAlignment="1">
      <alignment horizontal="center" vertical="center" wrapText="1"/>
    </xf>
    <xf numFmtId="0" fontId="11" fillId="14" borderId="25" xfId="2" applyNumberFormat="1" applyFont="1" applyFill="1" applyBorder="1" applyAlignment="1">
      <alignment horizontal="center" vertical="center" wrapText="1"/>
    </xf>
    <xf numFmtId="0" fontId="12" fillId="8" borderId="50" xfId="0" applyFont="1" applyFill="1" applyBorder="1" applyAlignment="1">
      <alignment horizontal="center" vertical="center" wrapText="1"/>
    </xf>
    <xf numFmtId="0" fontId="12" fillId="8" borderId="14" xfId="0" applyFont="1" applyFill="1" applyBorder="1" applyAlignment="1">
      <alignment horizontal="center" vertical="center" wrapText="1"/>
    </xf>
    <xf numFmtId="0" fontId="12" fillId="8" borderId="49" xfId="0" applyFont="1" applyFill="1" applyBorder="1" applyAlignment="1">
      <alignment horizontal="center" vertical="center"/>
    </xf>
    <xf numFmtId="0" fontId="12" fillId="8" borderId="59" xfId="0" applyFont="1" applyFill="1" applyBorder="1" applyAlignment="1">
      <alignment horizontal="center" vertical="center"/>
    </xf>
    <xf numFmtId="0" fontId="12" fillId="8" borderId="56" xfId="0" applyFont="1" applyFill="1" applyBorder="1" applyAlignment="1">
      <alignment horizontal="center" vertical="center"/>
    </xf>
    <xf numFmtId="1" fontId="11" fillId="8" borderId="25" xfId="0" applyNumberFormat="1" applyFont="1" applyFill="1" applyBorder="1" applyAlignment="1">
      <alignment horizontal="center" vertical="center"/>
    </xf>
    <xf numFmtId="1" fontId="11" fillId="8" borderId="45" xfId="0" applyNumberFormat="1" applyFont="1" applyFill="1" applyBorder="1" applyAlignment="1">
      <alignment horizontal="center" vertical="center"/>
    </xf>
    <xf numFmtId="44" fontId="11" fillId="8" borderId="52" xfId="0" applyNumberFormat="1" applyFont="1" applyFill="1" applyBorder="1" applyAlignment="1">
      <alignment horizontal="center" vertical="center"/>
    </xf>
    <xf numFmtId="44" fontId="11" fillId="8" borderId="46" xfId="0" applyNumberFormat="1" applyFont="1" applyFill="1" applyBorder="1" applyAlignment="1">
      <alignment horizontal="center" vertical="center"/>
    </xf>
    <xf numFmtId="44" fontId="12" fillId="3" borderId="22" xfId="1" applyFont="1" applyFill="1" applyBorder="1" applyAlignment="1">
      <alignment horizontal="center" vertical="center"/>
    </xf>
    <xf numFmtId="44" fontId="12" fillId="3" borderId="40" xfId="1" applyFont="1" applyFill="1" applyBorder="1" applyAlignment="1">
      <alignment horizontal="center" vertical="center"/>
    </xf>
    <xf numFmtId="0" fontId="11" fillId="14" borderId="49" xfId="0" applyFont="1" applyFill="1" applyBorder="1" applyAlignment="1">
      <alignment horizontal="center" vertical="center" wrapText="1"/>
    </xf>
    <xf numFmtId="0" fontId="11" fillId="14" borderId="56" xfId="0" applyFont="1" applyFill="1" applyBorder="1" applyAlignment="1">
      <alignment horizontal="center" vertical="center" wrapText="1"/>
    </xf>
    <xf numFmtId="9" fontId="11" fillId="14" borderId="50" xfId="2" applyFont="1" applyFill="1" applyBorder="1" applyAlignment="1">
      <alignment horizontal="center" vertical="center" wrapText="1"/>
    </xf>
    <xf numFmtId="167" fontId="11" fillId="8" borderId="25" xfId="2" applyNumberFormat="1" applyFont="1" applyFill="1" applyBorder="1" applyAlignment="1">
      <alignment horizontal="center" vertical="center"/>
    </xf>
    <xf numFmtId="167" fontId="11" fillId="8" borderId="45" xfId="2" applyNumberFormat="1" applyFont="1" applyFill="1" applyBorder="1" applyAlignment="1">
      <alignment horizontal="center" vertical="center"/>
    </xf>
    <xf numFmtId="0" fontId="12" fillId="8" borderId="51" xfId="0" applyFont="1" applyFill="1" applyBorder="1" applyAlignment="1">
      <alignment horizontal="center" vertical="center" wrapText="1"/>
    </xf>
    <xf numFmtId="0" fontId="12" fillId="8" borderId="15" xfId="0" applyFont="1" applyFill="1" applyBorder="1" applyAlignment="1">
      <alignment horizontal="center" vertical="center" wrapText="1"/>
    </xf>
    <xf numFmtId="10" fontId="11" fillId="8" borderId="25" xfId="2" applyNumberFormat="1" applyFont="1" applyFill="1" applyBorder="1" applyAlignment="1">
      <alignment horizontal="center" vertical="center"/>
    </xf>
    <xf numFmtId="10" fontId="11" fillId="8" borderId="45" xfId="2" applyNumberFormat="1" applyFont="1" applyFill="1" applyBorder="1" applyAlignment="1">
      <alignment horizontal="center" vertical="center"/>
    </xf>
    <xf numFmtId="44" fontId="11" fillId="2" borderId="58" xfId="1" applyFont="1" applyFill="1" applyBorder="1" applyAlignment="1">
      <alignment horizontal="center" vertical="center"/>
    </xf>
    <xf numFmtId="10" fontId="50" fillId="7" borderId="26" xfId="0" applyNumberFormat="1" applyFont="1" applyFill="1" applyBorder="1" applyAlignment="1">
      <alignment horizontal="center" vertical="center"/>
    </xf>
    <xf numFmtId="44" fontId="50" fillId="7" borderId="65" xfId="0" applyNumberFormat="1" applyFont="1" applyFill="1" applyBorder="1" applyAlignment="1">
      <alignment horizontal="center" vertical="center"/>
    </xf>
    <xf numFmtId="44" fontId="51" fillId="7" borderId="74" xfId="0" applyNumberFormat="1" applyFont="1" applyFill="1" applyBorder="1" applyAlignment="1">
      <alignment horizontal="center"/>
    </xf>
    <xf numFmtId="44" fontId="51" fillId="7" borderId="58" xfId="0" applyNumberFormat="1" applyFont="1" applyFill="1" applyBorder="1" applyAlignment="1">
      <alignment horizontal="center"/>
    </xf>
    <xf numFmtId="0" fontId="48" fillId="7" borderId="0" xfId="0" applyFont="1" applyFill="1" applyAlignment="1">
      <alignment horizontal="center"/>
    </xf>
    <xf numFmtId="1" fontId="20" fillId="7" borderId="27" xfId="0" applyNumberFormat="1" applyFont="1" applyFill="1" applyBorder="1" applyAlignment="1">
      <alignment horizontal="center"/>
    </xf>
    <xf numFmtId="0" fontId="20" fillId="7" borderId="14" xfId="0" applyFont="1" applyFill="1" applyBorder="1" applyAlignment="1">
      <alignment horizontal="center"/>
    </xf>
    <xf numFmtId="10" fontId="50" fillId="7" borderId="35" xfId="0" applyNumberFormat="1" applyFont="1" applyFill="1" applyBorder="1" applyAlignment="1">
      <alignment horizontal="center" vertical="center"/>
    </xf>
    <xf numFmtId="10" fontId="50" fillId="7" borderId="66" xfId="0" applyNumberFormat="1" applyFont="1" applyFill="1" applyBorder="1" applyAlignment="1">
      <alignment horizontal="center" vertical="center"/>
    </xf>
    <xf numFmtId="0" fontId="48" fillId="7" borderId="38" xfId="0" applyFont="1" applyFill="1" applyBorder="1" applyAlignment="1">
      <alignment horizontal="center"/>
    </xf>
    <xf numFmtId="0" fontId="48" fillId="7" borderId="27" xfId="0" applyFont="1" applyFill="1" applyBorder="1" applyAlignment="1">
      <alignment horizontal="center"/>
    </xf>
    <xf numFmtId="44" fontId="52" fillId="7" borderId="0" xfId="1" applyFont="1" applyFill="1" applyBorder="1" applyAlignment="1">
      <alignment horizontal="center"/>
    </xf>
    <xf numFmtId="0" fontId="61" fillId="21" borderId="79" xfId="0" applyFont="1" applyFill="1" applyBorder="1" applyAlignment="1">
      <alignment horizontal="right" vertical="center"/>
    </xf>
    <xf numFmtId="0" fontId="60" fillId="21" borderId="78" xfId="0" applyFont="1" applyFill="1" applyBorder="1" applyAlignment="1">
      <alignment horizontal="right" vertical="center"/>
    </xf>
    <xf numFmtId="44" fontId="48" fillId="7" borderId="75" xfId="0" applyNumberFormat="1" applyFont="1" applyFill="1" applyBorder="1" applyAlignment="1">
      <alignment horizontal="center"/>
    </xf>
    <xf numFmtId="0" fontId="48" fillId="7" borderId="76" xfId="0" applyFont="1" applyFill="1" applyBorder="1" applyAlignment="1">
      <alignment horizontal="center"/>
    </xf>
    <xf numFmtId="1" fontId="20" fillId="5" borderId="5" xfId="0" applyNumberFormat="1" applyFont="1" applyFill="1" applyBorder="1" applyAlignment="1">
      <alignment horizontal="center" vertical="center"/>
    </xf>
    <xf numFmtId="1" fontId="20" fillId="5" borderId="6" xfId="0" applyNumberFormat="1" applyFont="1" applyFill="1" applyBorder="1" applyAlignment="1">
      <alignment horizontal="center" vertical="center"/>
    </xf>
    <xf numFmtId="10" fontId="20" fillId="5" borderId="35" xfId="2" applyNumberFormat="1" applyFont="1" applyFill="1" applyBorder="1" applyAlignment="1">
      <alignment horizontal="center" vertical="center"/>
    </xf>
    <xf numFmtId="10" fontId="20" fillId="5" borderId="43" xfId="2" applyNumberFormat="1" applyFont="1" applyFill="1" applyBorder="1" applyAlignment="1">
      <alignment horizontal="center" vertical="center"/>
    </xf>
    <xf numFmtId="0" fontId="49" fillId="21" borderId="67" xfId="0" applyFont="1" applyFill="1" applyBorder="1" applyAlignment="1">
      <alignment horizontal="right"/>
    </xf>
    <xf numFmtId="0" fontId="53" fillId="21" borderId="34" xfId="0" applyFont="1" applyFill="1" applyBorder="1" applyAlignment="1">
      <alignment horizontal="center"/>
    </xf>
    <xf numFmtId="0" fontId="53" fillId="21" borderId="28" xfId="0" applyFont="1" applyFill="1" applyBorder="1" applyAlignment="1">
      <alignment horizontal="center"/>
    </xf>
    <xf numFmtId="0" fontId="48" fillId="7" borderId="1" xfId="0" applyFont="1" applyFill="1" applyBorder="1" applyAlignment="1">
      <alignment horizontal="center"/>
    </xf>
    <xf numFmtId="9" fontId="20" fillId="3" borderId="50" xfId="2" applyFont="1" applyFill="1" applyBorder="1" applyAlignment="1">
      <alignment horizontal="center" vertical="center" wrapText="1"/>
    </xf>
    <xf numFmtId="9" fontId="20" fillId="3" borderId="61" xfId="2" applyFont="1" applyFill="1" applyBorder="1" applyAlignment="1">
      <alignment horizontal="center" vertical="center" wrapText="1"/>
    </xf>
    <xf numFmtId="9" fontId="20" fillId="3" borderId="45" xfId="2" applyFont="1" applyFill="1" applyBorder="1" applyAlignment="1">
      <alignment horizontal="center" vertical="center" wrapText="1"/>
    </xf>
    <xf numFmtId="0" fontId="55" fillId="21" borderId="1" xfId="0" applyFont="1" applyFill="1" applyBorder="1" applyAlignment="1">
      <alignment horizontal="center" vertical="center"/>
    </xf>
    <xf numFmtId="44" fontId="53" fillId="21" borderId="1" xfId="1" applyFont="1" applyFill="1" applyBorder="1" applyAlignment="1">
      <alignment horizontal="center" vertical="center" wrapText="1"/>
    </xf>
    <xf numFmtId="0" fontId="47" fillId="22" borderId="1" xfId="0" applyFont="1" applyFill="1" applyBorder="1" applyAlignment="1">
      <alignment horizontal="center" shrinkToFit="1"/>
    </xf>
    <xf numFmtId="0" fontId="47" fillId="22" borderId="1" xfId="0" applyFont="1" applyFill="1" applyBorder="1" applyAlignment="1">
      <alignment horizontal="center"/>
    </xf>
    <xf numFmtId="0" fontId="0" fillId="21" borderId="0" xfId="0" applyFill="1" applyAlignment="1">
      <alignment horizontal="center" shrinkToFit="1"/>
    </xf>
    <xf numFmtId="0" fontId="56" fillId="21" borderId="1" xfId="0" applyFont="1" applyFill="1" applyBorder="1" applyAlignment="1">
      <alignment horizontal="center" vertical="center"/>
    </xf>
    <xf numFmtId="44" fontId="57" fillId="21" borderId="1" xfId="1" applyFont="1" applyFill="1" applyBorder="1" applyAlignment="1">
      <alignment horizontal="center" vertical="center" wrapText="1"/>
    </xf>
    <xf numFmtId="14" fontId="47" fillId="22" borderId="1" xfId="0" applyNumberFormat="1" applyFont="1" applyFill="1" applyBorder="1" applyAlignment="1">
      <alignment horizontal="center" shrinkToFit="1"/>
    </xf>
    <xf numFmtId="14" fontId="47" fillId="22" borderId="1" xfId="0" applyNumberFormat="1" applyFont="1" applyFill="1" applyBorder="1" applyAlignment="1">
      <alignment horizontal="center"/>
    </xf>
    <xf numFmtId="14" fontId="0" fillId="21" borderId="0" xfId="0" applyNumberFormat="1" applyFill="1" applyAlignment="1">
      <alignment horizontal="center" shrinkToFit="1"/>
    </xf>
    <xf numFmtId="0" fontId="20" fillId="5" borderId="22" xfId="0" applyFont="1" applyFill="1" applyBorder="1" applyAlignment="1">
      <alignment horizontal="center" vertical="center"/>
    </xf>
    <xf numFmtId="0" fontId="20" fillId="5" borderId="64" xfId="0" applyFont="1" applyFill="1" applyBorder="1" applyAlignment="1">
      <alignment horizontal="center" vertical="center"/>
    </xf>
    <xf numFmtId="0" fontId="20" fillId="5" borderId="40" xfId="0" applyFont="1" applyFill="1" applyBorder="1" applyAlignment="1">
      <alignment horizontal="center" vertical="center"/>
    </xf>
    <xf numFmtId="0" fontId="0" fillId="21" borderId="0" xfId="0" applyFill="1" applyAlignment="1">
      <alignment horizontal="center"/>
    </xf>
    <xf numFmtId="0" fontId="25" fillId="4" borderId="67" xfId="0" applyFont="1" applyFill="1" applyBorder="1" applyAlignment="1">
      <alignment horizontal="center" vertical="center"/>
    </xf>
    <xf numFmtId="0" fontId="25" fillId="10" borderId="67" xfId="0" applyFont="1" applyFill="1" applyBorder="1" applyAlignment="1">
      <alignment horizontal="center" vertical="center"/>
    </xf>
    <xf numFmtId="10" fontId="20" fillId="5" borderId="48" xfId="2" applyNumberFormat="1" applyFont="1" applyFill="1" applyBorder="1" applyAlignment="1">
      <alignment horizontal="center" vertical="center"/>
    </xf>
    <xf numFmtId="10" fontId="20" fillId="5" borderId="42" xfId="2" applyNumberFormat="1" applyFont="1" applyFill="1" applyBorder="1" applyAlignment="1">
      <alignment horizontal="center" vertical="center"/>
    </xf>
    <xf numFmtId="10" fontId="63" fillId="7" borderId="26" xfId="0" applyNumberFormat="1" applyFont="1" applyFill="1" applyBorder="1" applyAlignment="1">
      <alignment horizontal="center" vertical="center"/>
    </xf>
    <xf numFmtId="44" fontId="63" fillId="7" borderId="65" xfId="0" applyNumberFormat="1" applyFont="1" applyFill="1" applyBorder="1" applyAlignment="1">
      <alignment horizontal="center" vertical="center"/>
    </xf>
    <xf numFmtId="1" fontId="20" fillId="5" borderId="12" xfId="0" applyNumberFormat="1" applyFont="1" applyFill="1" applyBorder="1" applyAlignment="1">
      <alignment horizontal="center" vertical="center"/>
    </xf>
    <xf numFmtId="1" fontId="20" fillId="5" borderId="60" xfId="0" applyNumberFormat="1" applyFont="1" applyFill="1" applyBorder="1" applyAlignment="1">
      <alignment horizontal="center" vertical="center"/>
    </xf>
    <xf numFmtId="1" fontId="20" fillId="5" borderId="37" xfId="0" applyNumberFormat="1" applyFont="1" applyFill="1" applyBorder="1" applyAlignment="1">
      <alignment horizontal="center" vertical="center"/>
    </xf>
    <xf numFmtId="1" fontId="20" fillId="5" borderId="25" xfId="0" applyNumberFormat="1" applyFont="1" applyFill="1" applyBorder="1" applyAlignment="1">
      <alignment horizontal="center" vertical="center"/>
    </xf>
    <xf numFmtId="0" fontId="20" fillId="3" borderId="48" xfId="0" applyFont="1" applyFill="1" applyBorder="1" applyAlignment="1">
      <alignment horizontal="center" vertical="center"/>
    </xf>
    <xf numFmtId="0" fontId="20" fillId="3" borderId="42" xfId="0" applyFont="1" applyFill="1" applyBorder="1" applyAlignment="1">
      <alignment horizontal="center" vertical="center"/>
    </xf>
    <xf numFmtId="0" fontId="48" fillId="3" borderId="1" xfId="0" applyFont="1" applyFill="1" applyBorder="1" applyAlignment="1">
      <alignment horizontal="center"/>
    </xf>
    <xf numFmtId="0" fontId="48" fillId="20" borderId="1" xfId="0" applyFont="1" applyFill="1" applyBorder="1" applyAlignment="1">
      <alignment horizontal="center"/>
    </xf>
    <xf numFmtId="1" fontId="20" fillId="5" borderId="26" xfId="0" applyNumberFormat="1" applyFont="1" applyFill="1" applyBorder="1" applyAlignment="1">
      <alignment horizontal="center" vertical="center"/>
    </xf>
    <xf numFmtId="9" fontId="20" fillId="3" borderId="10" xfId="2" applyFont="1" applyFill="1" applyBorder="1" applyAlignment="1">
      <alignment horizontal="center" vertical="center" wrapText="1"/>
    </xf>
    <xf numFmtId="9" fontId="20" fillId="3" borderId="1" xfId="2" applyFont="1" applyFill="1" applyBorder="1" applyAlignment="1">
      <alignment horizontal="center" vertical="center" wrapText="1"/>
    </xf>
    <xf numFmtId="9" fontId="20" fillId="3" borderId="6" xfId="2" applyFont="1" applyFill="1" applyBorder="1" applyAlignment="1">
      <alignment horizontal="center" vertical="center" wrapText="1"/>
    </xf>
    <xf numFmtId="44" fontId="20" fillId="3" borderId="10" xfId="2" applyNumberFormat="1" applyFont="1" applyFill="1" applyBorder="1" applyAlignment="1">
      <alignment horizontal="center" vertical="center" wrapText="1"/>
    </xf>
    <xf numFmtId="44" fontId="20" fillId="3" borderId="1" xfId="2" applyNumberFormat="1" applyFont="1" applyFill="1" applyBorder="1" applyAlignment="1">
      <alignment horizontal="center" vertical="center" wrapText="1"/>
    </xf>
    <xf numFmtId="44" fontId="20" fillId="3" borderId="6" xfId="2" applyNumberFormat="1" applyFont="1" applyFill="1" applyBorder="1" applyAlignment="1">
      <alignment horizontal="center" vertical="center" wrapText="1"/>
    </xf>
    <xf numFmtId="9" fontId="20" fillId="3" borderId="25" xfId="2" applyFont="1" applyFill="1" applyBorder="1" applyAlignment="1">
      <alignment horizontal="center" vertical="center" wrapText="1"/>
    </xf>
    <xf numFmtId="1" fontId="20" fillId="5" borderId="13" xfId="0" applyNumberFormat="1" applyFont="1" applyFill="1" applyBorder="1" applyAlignment="1">
      <alignment horizontal="center" vertical="center"/>
    </xf>
    <xf numFmtId="1" fontId="20" fillId="5" borderId="24" xfId="0" applyNumberFormat="1" applyFont="1" applyFill="1" applyBorder="1" applyAlignment="1">
      <alignment horizontal="center" vertical="center"/>
    </xf>
    <xf numFmtId="1" fontId="20" fillId="5" borderId="67" xfId="0" applyNumberFormat="1" applyFont="1" applyFill="1" applyBorder="1" applyAlignment="1">
      <alignment horizontal="center" vertical="center"/>
    </xf>
    <xf numFmtId="1" fontId="20" fillId="5" borderId="20" xfId="0" applyNumberFormat="1" applyFont="1" applyFill="1" applyBorder="1" applyAlignment="1">
      <alignment horizontal="center" vertical="center"/>
    </xf>
    <xf numFmtId="1" fontId="20" fillId="5" borderId="0" xfId="0" applyNumberFormat="1" applyFont="1" applyFill="1" applyBorder="1" applyAlignment="1">
      <alignment horizontal="center" vertical="center"/>
    </xf>
    <xf numFmtId="1" fontId="20" fillId="5" borderId="65" xfId="0" applyNumberFormat="1" applyFont="1" applyFill="1" applyBorder="1" applyAlignment="1">
      <alignment horizontal="center" vertical="center"/>
    </xf>
    <xf numFmtId="1" fontId="20" fillId="5" borderId="39" xfId="0" applyNumberFormat="1" applyFont="1" applyFill="1" applyBorder="1" applyAlignment="1">
      <alignment horizontal="center" vertical="center"/>
    </xf>
    <xf numFmtId="1" fontId="20" fillId="5" borderId="44" xfId="0" applyNumberFormat="1" applyFont="1" applyFill="1" applyBorder="1" applyAlignment="1">
      <alignment horizontal="center" vertical="center"/>
    </xf>
    <xf numFmtId="1" fontId="20" fillId="5" borderId="27" xfId="0" applyNumberFormat="1" applyFont="1" applyFill="1" applyBorder="1" applyAlignment="1">
      <alignment horizontal="center" vertical="center"/>
    </xf>
    <xf numFmtId="1" fontId="20" fillId="5" borderId="49" xfId="0" applyNumberFormat="1" applyFont="1" applyFill="1" applyBorder="1" applyAlignment="1">
      <alignment horizontal="center" vertical="center"/>
    </xf>
    <xf numFmtId="1" fontId="20" fillId="5" borderId="59" xfId="0" applyNumberFormat="1" applyFont="1" applyFill="1" applyBorder="1" applyAlignment="1">
      <alignment horizontal="center" vertical="center"/>
    </xf>
    <xf numFmtId="1" fontId="20" fillId="5" borderId="35" xfId="0" applyNumberFormat="1" applyFont="1" applyFill="1" applyBorder="1" applyAlignment="1">
      <alignment horizontal="center" vertical="center"/>
    </xf>
    <xf numFmtId="1" fontId="20" fillId="5" borderId="38" xfId="0" applyNumberFormat="1" applyFont="1" applyFill="1" applyBorder="1" applyAlignment="1">
      <alignment horizontal="center" vertical="center"/>
    </xf>
    <xf numFmtId="0" fontId="40" fillId="3" borderId="22" xfId="0" applyFont="1" applyFill="1" applyBorder="1" applyAlignment="1">
      <alignment horizontal="center" vertical="center"/>
    </xf>
    <xf numFmtId="0" fontId="40" fillId="3" borderId="64" xfId="0" applyFont="1" applyFill="1" applyBorder="1" applyAlignment="1">
      <alignment horizontal="center" vertical="center"/>
    </xf>
    <xf numFmtId="0" fontId="40" fillId="3" borderId="40" xfId="0" applyFont="1" applyFill="1" applyBorder="1" applyAlignment="1">
      <alignment horizontal="center" vertical="center"/>
    </xf>
    <xf numFmtId="0" fontId="20" fillId="3" borderId="10" xfId="2" applyNumberFormat="1" applyFont="1" applyFill="1" applyBorder="1" applyAlignment="1">
      <alignment horizontal="center" vertical="center" wrapText="1"/>
    </xf>
    <xf numFmtId="0" fontId="20" fillId="3" borderId="1" xfId="2" applyNumberFormat="1" applyFont="1" applyFill="1" applyBorder="1" applyAlignment="1">
      <alignment horizontal="center" vertical="center" wrapText="1"/>
    </xf>
    <xf numFmtId="0" fontId="20" fillId="3" borderId="6" xfId="2" applyNumberFormat="1" applyFont="1" applyFill="1" applyBorder="1" applyAlignment="1">
      <alignment horizontal="center" vertical="center" wrapText="1"/>
    </xf>
    <xf numFmtId="0" fontId="20" fillId="3" borderId="2" xfId="0" applyFont="1" applyFill="1" applyBorder="1" applyAlignment="1">
      <alignment horizontal="center" vertical="center" wrapText="1"/>
    </xf>
    <xf numFmtId="0" fontId="20" fillId="3" borderId="3" xfId="0" applyFont="1" applyFill="1" applyBorder="1" applyAlignment="1">
      <alignment horizontal="center" vertical="center" wrapText="1"/>
    </xf>
    <xf numFmtId="0" fontId="20" fillId="3" borderId="5" xfId="0" applyFont="1" applyFill="1" applyBorder="1" applyAlignment="1">
      <alignment horizontal="center" vertical="center" wrapText="1"/>
    </xf>
    <xf numFmtId="0" fontId="20" fillId="3" borderId="34" xfId="0" applyFont="1" applyFill="1" applyBorder="1" applyAlignment="1">
      <alignment horizontal="center" vertical="center"/>
    </xf>
    <xf numFmtId="0" fontId="20" fillId="3" borderId="28" xfId="0" applyFont="1" applyFill="1" applyBorder="1" applyAlignment="1">
      <alignment horizontal="center" vertical="center"/>
    </xf>
    <xf numFmtId="0" fontId="20" fillId="3" borderId="25" xfId="2" applyNumberFormat="1" applyFont="1" applyFill="1" applyBorder="1" applyAlignment="1">
      <alignment horizontal="center" vertical="center" wrapText="1"/>
    </xf>
    <xf numFmtId="0" fontId="20" fillId="3" borderId="61" xfId="2" applyNumberFormat="1" applyFont="1" applyFill="1" applyBorder="1" applyAlignment="1">
      <alignment horizontal="center" vertical="center" wrapText="1"/>
    </xf>
    <xf numFmtId="0" fontId="20" fillId="3" borderId="45" xfId="2" applyNumberFormat="1" applyFont="1" applyFill="1" applyBorder="1" applyAlignment="1">
      <alignment horizontal="center" vertical="center" wrapText="1"/>
    </xf>
    <xf numFmtId="44" fontId="20" fillId="3" borderId="25" xfId="2" applyNumberFormat="1" applyFont="1" applyFill="1" applyBorder="1" applyAlignment="1">
      <alignment horizontal="center" vertical="center" wrapText="1"/>
    </xf>
    <xf numFmtId="44" fontId="20" fillId="3" borderId="61" xfId="2" applyNumberFormat="1" applyFont="1" applyFill="1" applyBorder="1" applyAlignment="1">
      <alignment horizontal="center" vertical="center" wrapText="1"/>
    </xf>
    <xf numFmtId="44" fontId="20" fillId="3" borderId="45" xfId="2" applyNumberFormat="1" applyFont="1" applyFill="1" applyBorder="1" applyAlignment="1">
      <alignment horizontal="center" vertical="center" wrapText="1"/>
    </xf>
    <xf numFmtId="1" fontId="20" fillId="5" borderId="34" xfId="0" applyNumberFormat="1" applyFont="1" applyFill="1" applyBorder="1" applyAlignment="1">
      <alignment horizontal="center" vertical="center"/>
    </xf>
    <xf numFmtId="1" fontId="20" fillId="5" borderId="28" xfId="0" applyNumberFormat="1" applyFont="1" applyFill="1" applyBorder="1" applyAlignment="1">
      <alignment horizontal="center" vertical="center"/>
    </xf>
    <xf numFmtId="44" fontId="0" fillId="2" borderId="61" xfId="0" applyNumberFormat="1" applyFill="1" applyBorder="1" applyAlignment="1">
      <alignment vertical="center"/>
    </xf>
    <xf numFmtId="0" fontId="0" fillId="2" borderId="61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1" fontId="20" fillId="5" borderId="56" xfId="0" applyNumberFormat="1" applyFont="1" applyFill="1" applyBorder="1" applyAlignment="1">
      <alignment horizontal="center" vertical="center"/>
    </xf>
    <xf numFmtId="1" fontId="20" fillId="5" borderId="45" xfId="0" applyNumberFormat="1" applyFont="1" applyFill="1" applyBorder="1" applyAlignment="1">
      <alignment horizontal="center" vertical="center"/>
    </xf>
    <xf numFmtId="44" fontId="48" fillId="2" borderId="25" xfId="0" applyNumberFormat="1" applyFont="1" applyFill="1" applyBorder="1" applyAlignment="1">
      <alignment vertical="center"/>
    </xf>
    <xf numFmtId="0" fontId="48" fillId="2" borderId="61" xfId="0" applyFont="1" applyFill="1" applyBorder="1" applyAlignment="1">
      <alignment vertical="center"/>
    </xf>
    <xf numFmtId="0" fontId="48" fillId="2" borderId="14" xfId="0" applyFont="1" applyFill="1" applyBorder="1" applyAlignment="1">
      <alignment vertical="center"/>
    </xf>
    <xf numFmtId="10" fontId="48" fillId="2" borderId="25" xfId="2" applyNumberFormat="1" applyFont="1" applyFill="1" applyBorder="1" applyAlignment="1">
      <alignment horizontal="center" vertical="center"/>
    </xf>
    <xf numFmtId="10" fontId="48" fillId="2" borderId="61" xfId="2" applyNumberFormat="1" applyFont="1" applyFill="1" applyBorder="1" applyAlignment="1">
      <alignment horizontal="center" vertical="center"/>
    </xf>
    <xf numFmtId="10" fontId="0" fillId="2" borderId="61" xfId="2" applyNumberFormat="1" applyFont="1" applyFill="1" applyBorder="1" applyAlignment="1">
      <alignment horizontal="center" vertical="center"/>
    </xf>
    <xf numFmtId="10" fontId="0" fillId="2" borderId="14" xfId="2" applyNumberFormat="1" applyFont="1" applyFill="1" applyBorder="1" applyAlignment="1">
      <alignment horizontal="center" vertical="center"/>
    </xf>
    <xf numFmtId="44" fontId="20" fillId="5" borderId="24" xfId="1" applyFont="1" applyFill="1" applyBorder="1" applyAlignment="1">
      <alignment horizontal="center" vertical="center"/>
    </xf>
    <xf numFmtId="44" fontId="20" fillId="5" borderId="67" xfId="1" applyFont="1" applyFill="1" applyBorder="1" applyAlignment="1">
      <alignment horizontal="center" vertical="center"/>
    </xf>
    <xf numFmtId="44" fontId="20" fillId="5" borderId="26" xfId="1" applyFont="1" applyFill="1" applyBorder="1" applyAlignment="1">
      <alignment horizontal="center" vertical="center"/>
    </xf>
    <xf numFmtId="44" fontId="20" fillId="5" borderId="20" xfId="1" applyFont="1" applyFill="1" applyBorder="1" applyAlignment="1">
      <alignment horizontal="center" vertical="center"/>
    </xf>
    <xf numFmtId="44" fontId="20" fillId="5" borderId="0" xfId="1" applyFont="1" applyFill="1" applyBorder="1" applyAlignment="1">
      <alignment horizontal="center" vertical="center"/>
    </xf>
    <xf numFmtId="44" fontId="20" fillId="5" borderId="65" xfId="1" applyFont="1" applyFill="1" applyBorder="1" applyAlignment="1">
      <alignment horizontal="center" vertical="center"/>
    </xf>
    <xf numFmtId="44" fontId="20" fillId="5" borderId="39" xfId="1" applyFont="1" applyFill="1" applyBorder="1" applyAlignment="1">
      <alignment horizontal="center" vertical="center"/>
    </xf>
    <xf numFmtId="44" fontId="20" fillId="5" borderId="44" xfId="1" applyFont="1" applyFill="1" applyBorder="1" applyAlignment="1">
      <alignment horizontal="center" vertical="center"/>
    </xf>
    <xf numFmtId="44" fontId="20" fillId="5" borderId="27" xfId="1" applyFont="1" applyFill="1" applyBorder="1" applyAlignment="1">
      <alignment horizontal="center" vertical="center"/>
    </xf>
    <xf numFmtId="44" fontId="20" fillId="5" borderId="69" xfId="1" applyFont="1" applyFill="1" applyBorder="1" applyAlignment="1">
      <alignment horizontal="center" vertical="center"/>
    </xf>
    <xf numFmtId="44" fontId="20" fillId="5" borderId="58" xfId="1" applyFont="1" applyFill="1" applyBorder="1" applyAlignment="1">
      <alignment horizontal="center" vertical="center"/>
    </xf>
    <xf numFmtId="44" fontId="20" fillId="5" borderId="77" xfId="1" applyFont="1" applyFill="1" applyBorder="1" applyAlignment="1">
      <alignment horizontal="center" vertical="center"/>
    </xf>
    <xf numFmtId="1" fontId="20" fillId="5" borderId="69" xfId="0" applyNumberFormat="1" applyFont="1" applyFill="1" applyBorder="1" applyAlignment="1">
      <alignment horizontal="center" vertical="center"/>
    </xf>
    <xf numFmtId="1" fontId="20" fillId="5" borderId="58" xfId="0" applyNumberFormat="1" applyFont="1" applyFill="1" applyBorder="1" applyAlignment="1">
      <alignment horizontal="center" vertical="center"/>
    </xf>
    <xf numFmtId="1" fontId="20" fillId="5" borderId="77" xfId="0" applyNumberFormat="1" applyFont="1" applyFill="1" applyBorder="1" applyAlignment="1">
      <alignment horizontal="center" vertical="center"/>
    </xf>
    <xf numFmtId="1" fontId="20" fillId="5" borderId="66" xfId="0" applyNumberFormat="1" applyFont="1" applyFill="1" applyBorder="1" applyAlignment="1">
      <alignment horizontal="center" vertical="center"/>
    </xf>
    <xf numFmtId="0" fontId="24" fillId="21" borderId="82" xfId="0" applyFont="1" applyFill="1" applyBorder="1" applyAlignment="1">
      <alignment horizontal="right" vertical="center"/>
    </xf>
    <xf numFmtId="0" fontId="20" fillId="3" borderId="6" xfId="0" applyFont="1" applyFill="1" applyBorder="1" applyAlignment="1">
      <alignment horizontal="center" vertical="center"/>
    </xf>
    <xf numFmtId="0" fontId="20" fillId="3" borderId="7" xfId="0" applyFont="1" applyFill="1" applyBorder="1" applyAlignment="1">
      <alignment horizontal="center" vertical="center"/>
    </xf>
    <xf numFmtId="44" fontId="59" fillId="21" borderId="64" xfId="1" applyFont="1" applyFill="1" applyBorder="1" applyAlignment="1">
      <alignment horizontal="center" vertical="top"/>
    </xf>
    <xf numFmtId="0" fontId="59" fillId="21" borderId="64" xfId="0" applyFont="1" applyFill="1" applyBorder="1" applyAlignment="1">
      <alignment horizontal="center" vertical="top"/>
    </xf>
    <xf numFmtId="0" fontId="20" fillId="3" borderId="50" xfId="2" applyNumberFormat="1" applyFont="1" applyFill="1" applyBorder="1" applyAlignment="1">
      <alignment horizontal="center" vertical="center" wrapText="1"/>
    </xf>
    <xf numFmtId="44" fontId="20" fillId="3" borderId="50" xfId="2" applyNumberFormat="1" applyFont="1" applyFill="1" applyBorder="1" applyAlignment="1">
      <alignment horizontal="center" vertical="center" wrapText="1"/>
    </xf>
    <xf numFmtId="0" fontId="20" fillId="3" borderId="49" xfId="0" applyFont="1" applyFill="1" applyBorder="1" applyAlignment="1">
      <alignment horizontal="center" vertical="center" wrapText="1"/>
    </xf>
    <xf numFmtId="0" fontId="20" fillId="3" borderId="59" xfId="0" applyFont="1" applyFill="1" applyBorder="1" applyAlignment="1">
      <alignment horizontal="center" vertical="center" wrapText="1"/>
    </xf>
    <xf numFmtId="0" fontId="20" fillId="3" borderId="56" xfId="0" applyFont="1" applyFill="1" applyBorder="1" applyAlignment="1">
      <alignment horizontal="center" vertical="center" wrapText="1"/>
    </xf>
    <xf numFmtId="1" fontId="20" fillId="5" borderId="23" xfId="0" applyNumberFormat="1" applyFont="1" applyFill="1" applyBorder="1" applyAlignment="1">
      <alignment horizontal="center" vertical="center"/>
    </xf>
    <xf numFmtId="0" fontId="20" fillId="3" borderId="37" xfId="0" applyFont="1" applyFill="1" applyBorder="1" applyAlignment="1">
      <alignment horizontal="center" vertical="center" wrapText="1"/>
    </xf>
    <xf numFmtId="0" fontId="25" fillId="8" borderId="58" xfId="0" applyFont="1" applyFill="1" applyBorder="1" applyAlignment="1">
      <alignment horizontal="center" vertical="center"/>
    </xf>
    <xf numFmtId="0" fontId="25" fillId="8" borderId="70" xfId="0" applyFont="1" applyFill="1" applyBorder="1" applyAlignment="1">
      <alignment horizontal="center" vertical="center"/>
    </xf>
    <xf numFmtId="167" fontId="20" fillId="21" borderId="0" xfId="2" applyNumberFormat="1" applyFont="1" applyFill="1" applyAlignment="1">
      <alignment horizontal="center" vertical="center"/>
    </xf>
    <xf numFmtId="1" fontId="20" fillId="7" borderId="14" xfId="0" applyNumberFormat="1" applyFont="1" applyFill="1" applyBorder="1" applyAlignment="1">
      <alignment horizontal="center"/>
    </xf>
    <xf numFmtId="1" fontId="20" fillId="5" borderId="14" xfId="0" applyNumberFormat="1" applyFont="1" applyFill="1" applyBorder="1" applyAlignment="1">
      <alignment horizontal="center" vertical="center"/>
    </xf>
    <xf numFmtId="1" fontId="20" fillId="5" borderId="73" xfId="0" applyNumberFormat="1" applyFont="1" applyFill="1" applyBorder="1" applyAlignment="1">
      <alignment horizontal="center" vertical="center"/>
    </xf>
    <xf numFmtId="44" fontId="20" fillId="5" borderId="23" xfId="1" applyFont="1" applyFill="1" applyBorder="1" applyAlignment="1">
      <alignment horizontal="center" vertical="center"/>
    </xf>
    <xf numFmtId="44" fontId="20" fillId="5" borderId="73" xfId="1" applyFont="1" applyFill="1" applyBorder="1" applyAlignment="1">
      <alignment horizontal="center" vertical="center"/>
    </xf>
    <xf numFmtId="44" fontId="20" fillId="5" borderId="28" xfId="1" applyFont="1" applyFill="1" applyBorder="1" applyAlignment="1">
      <alignment horizontal="center" vertical="center"/>
    </xf>
    <xf numFmtId="44" fontId="64" fillId="5" borderId="69" xfId="1" applyFont="1" applyFill="1" applyBorder="1" applyAlignment="1">
      <alignment horizontal="center" vertical="center"/>
    </xf>
    <xf numFmtId="44" fontId="64" fillId="5" borderId="58" xfId="1" applyFont="1" applyFill="1" applyBorder="1" applyAlignment="1">
      <alignment horizontal="center" vertical="center"/>
    </xf>
    <xf numFmtId="44" fontId="64" fillId="5" borderId="77" xfId="1" applyFont="1" applyFill="1" applyBorder="1" applyAlignment="1">
      <alignment horizontal="center" vertical="center"/>
    </xf>
    <xf numFmtId="44" fontId="64" fillId="5" borderId="39" xfId="1" applyFont="1" applyFill="1" applyBorder="1" applyAlignment="1">
      <alignment horizontal="center" vertical="center"/>
    </xf>
    <xf numFmtId="44" fontId="64" fillId="5" borderId="44" xfId="1" applyFont="1" applyFill="1" applyBorder="1" applyAlignment="1">
      <alignment horizontal="center" vertical="center"/>
    </xf>
    <xf numFmtId="44" fontId="64" fillId="5" borderId="27" xfId="1" applyFont="1" applyFill="1" applyBorder="1" applyAlignment="1">
      <alignment horizontal="center" vertical="center"/>
    </xf>
    <xf numFmtId="10" fontId="20" fillId="5" borderId="81" xfId="2" applyNumberFormat="1" applyFont="1" applyFill="1" applyBorder="1" applyAlignment="1">
      <alignment horizontal="center" vertical="center"/>
    </xf>
    <xf numFmtId="10" fontId="20" fillId="5" borderId="80" xfId="2" applyNumberFormat="1" applyFont="1" applyFill="1" applyBorder="1" applyAlignment="1">
      <alignment horizontal="center" vertical="center"/>
    </xf>
    <xf numFmtId="10" fontId="20" fillId="5" borderId="57" xfId="2" applyNumberFormat="1" applyFont="1" applyFill="1" applyBorder="1" applyAlignment="1">
      <alignment horizontal="center" vertical="center"/>
    </xf>
    <xf numFmtId="44" fontId="20" fillId="5" borderId="41" xfId="1" applyFont="1" applyFill="1" applyBorder="1" applyAlignment="1">
      <alignment horizontal="center" vertical="center"/>
    </xf>
    <xf numFmtId="44" fontId="64" fillId="5" borderId="24" xfId="1" applyFont="1" applyFill="1" applyBorder="1" applyAlignment="1">
      <alignment horizontal="center" vertical="center"/>
    </xf>
    <xf numFmtId="44" fontId="64" fillId="5" borderId="67" xfId="1" applyFont="1" applyFill="1" applyBorder="1" applyAlignment="1">
      <alignment horizontal="center" vertical="center"/>
    </xf>
    <xf numFmtId="44" fontId="64" fillId="5" borderId="26" xfId="1" applyFont="1" applyFill="1" applyBorder="1" applyAlignment="1">
      <alignment horizontal="center" vertical="center"/>
    </xf>
    <xf numFmtId="44" fontId="64" fillId="5" borderId="20" xfId="1" applyFont="1" applyFill="1" applyBorder="1" applyAlignment="1">
      <alignment horizontal="center" vertical="center"/>
    </xf>
    <xf numFmtId="44" fontId="64" fillId="5" borderId="0" xfId="1" applyFont="1" applyFill="1" applyBorder="1" applyAlignment="1">
      <alignment horizontal="center" vertical="center"/>
    </xf>
    <xf numFmtId="44" fontId="64" fillId="5" borderId="65" xfId="1" applyFont="1" applyFill="1" applyBorder="1" applyAlignment="1">
      <alignment horizontal="center" vertical="center"/>
    </xf>
    <xf numFmtId="44" fontId="64" fillId="5" borderId="23" xfId="1" applyFont="1" applyFill="1" applyBorder="1" applyAlignment="1">
      <alignment horizontal="center" vertical="center"/>
    </xf>
    <xf numFmtId="44" fontId="64" fillId="5" borderId="73" xfId="1" applyFont="1" applyFill="1" applyBorder="1" applyAlignment="1">
      <alignment horizontal="center" vertical="center"/>
    </xf>
    <xf numFmtId="44" fontId="64" fillId="5" borderId="41" xfId="1" applyFont="1" applyFill="1" applyBorder="1" applyAlignment="1">
      <alignment horizontal="center" vertical="center"/>
    </xf>
    <xf numFmtId="44" fontId="48" fillId="3" borderId="34" xfId="1" applyFont="1" applyFill="1" applyBorder="1" applyAlignment="1">
      <alignment horizontal="center"/>
    </xf>
    <xf numFmtId="44" fontId="48" fillId="3" borderId="73" xfId="1" applyFont="1" applyFill="1" applyBorder="1" applyAlignment="1">
      <alignment horizontal="center"/>
    </xf>
    <xf numFmtId="44" fontId="48" fillId="3" borderId="28" xfId="1" applyFont="1" applyFill="1" applyBorder="1" applyAlignment="1">
      <alignment horizontal="center"/>
    </xf>
    <xf numFmtId="44" fontId="48" fillId="20" borderId="34" xfId="1" applyFont="1" applyFill="1" applyBorder="1" applyAlignment="1">
      <alignment horizontal="center"/>
    </xf>
    <xf numFmtId="44" fontId="48" fillId="20" borderId="73" xfId="1" applyFont="1" applyFill="1" applyBorder="1" applyAlignment="1">
      <alignment horizontal="center"/>
    </xf>
    <xf numFmtId="44" fontId="48" fillId="20" borderId="28" xfId="1" applyFont="1" applyFill="1" applyBorder="1" applyAlignment="1">
      <alignment horizontal="center"/>
    </xf>
    <xf numFmtId="0" fontId="0" fillId="3" borderId="62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2" borderId="62" xfId="0" applyFill="1" applyBorder="1" applyAlignment="1">
      <alignment horizontal="center"/>
    </xf>
    <xf numFmtId="0" fontId="0" fillId="12" borderId="29" xfId="0" applyFill="1" applyBorder="1" applyAlignment="1">
      <alignment horizontal="center"/>
    </xf>
    <xf numFmtId="0" fontId="0" fillId="12" borderId="22" xfId="0" applyFill="1" applyBorder="1" applyAlignment="1">
      <alignment horizontal="center" vertical="center"/>
    </xf>
    <xf numFmtId="0" fontId="0" fillId="12" borderId="2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" fontId="0" fillId="2" borderId="30" xfId="0" applyNumberFormat="1" applyFill="1" applyBorder="1" applyAlignment="1">
      <alignment horizontal="center"/>
    </xf>
    <xf numFmtId="0" fontId="0" fillId="15" borderId="25" xfId="0" applyFill="1" applyBorder="1" applyAlignment="1">
      <alignment horizontal="center"/>
    </xf>
    <xf numFmtId="0" fontId="0" fillId="15" borderId="28" xfId="0" applyFill="1" applyBorder="1" applyAlignment="1">
      <alignment horizontal="center"/>
    </xf>
    <xf numFmtId="0" fontId="0" fillId="15" borderId="1" xfId="0" applyFill="1" applyBorder="1" applyAlignment="1">
      <alignment horizontal="center" vertical="center"/>
    </xf>
    <xf numFmtId="0" fontId="0" fillId="15" borderId="34" xfId="0" applyFill="1" applyBorder="1" applyAlignment="1">
      <alignment horizontal="center" vertical="center"/>
    </xf>
    <xf numFmtId="170" fontId="2" fillId="4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/>
    </xf>
    <xf numFmtId="167" fontId="0" fillId="2" borderId="1" xfId="2" applyNumberFormat="1" applyFont="1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7" borderId="0" xfId="0" applyFill="1" applyAlignment="1">
      <alignment horizontal="center"/>
    </xf>
    <xf numFmtId="44" fontId="0" fillId="0" borderId="34" xfId="0" applyNumberForma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4" borderId="44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0" borderId="34" xfId="0" applyBorder="1" applyAlignment="1">
      <alignment horizontal="center"/>
    </xf>
    <xf numFmtId="0" fontId="0" fillId="0" borderId="73" xfId="0" applyBorder="1" applyAlignment="1">
      <alignment horizontal="center"/>
    </xf>
    <xf numFmtId="170" fontId="42" fillId="2" borderId="67" xfId="0" applyNumberFormat="1" applyFont="1" applyFill="1" applyBorder="1" applyAlignment="1">
      <alignment horizontal="center" vertical="center"/>
    </xf>
    <xf numFmtId="170" fontId="42" fillId="2" borderId="44" xfId="0" applyNumberFormat="1" applyFont="1" applyFill="1" applyBorder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0" fillId="14" borderId="22" xfId="0" applyFill="1" applyBorder="1" applyAlignment="1">
      <alignment horizontal="center" vertical="center"/>
    </xf>
    <xf numFmtId="0" fontId="0" fillId="14" borderId="64" xfId="0" applyFill="1" applyBorder="1" applyAlignment="1">
      <alignment horizontal="center" vertical="center"/>
    </xf>
    <xf numFmtId="0" fontId="0" fillId="14" borderId="40" xfId="0" applyFill="1" applyBorder="1" applyAlignment="1">
      <alignment horizontal="center" vertical="center"/>
    </xf>
    <xf numFmtId="0" fontId="0" fillId="14" borderId="25" xfId="0" applyFill="1" applyBorder="1" applyAlignment="1">
      <alignment horizontal="center" vertical="center" wrapText="1"/>
    </xf>
    <xf numFmtId="0" fontId="0" fillId="14" borderId="61" xfId="0" applyFill="1" applyBorder="1" applyAlignment="1">
      <alignment horizontal="center" vertical="center" wrapText="1"/>
    </xf>
    <xf numFmtId="0" fontId="0" fillId="14" borderId="14" xfId="0" applyFill="1" applyBorder="1" applyAlignment="1">
      <alignment horizontal="center" vertical="center" wrapText="1"/>
    </xf>
    <xf numFmtId="0" fontId="0" fillId="14" borderId="39" xfId="0" applyFill="1" applyBorder="1" applyAlignment="1">
      <alignment horizontal="center" vertical="center"/>
    </xf>
    <xf numFmtId="0" fontId="0" fillId="14" borderId="44" xfId="0" applyFill="1" applyBorder="1" applyAlignment="1">
      <alignment horizontal="center" vertical="center"/>
    </xf>
    <xf numFmtId="0" fontId="0" fillId="14" borderId="63" xfId="0" applyFill="1" applyBorder="1" applyAlignment="1">
      <alignment horizontal="center" vertical="center"/>
    </xf>
    <xf numFmtId="0" fontId="2" fillId="14" borderId="31" xfId="0" applyFont="1" applyFill="1" applyBorder="1" applyAlignment="1">
      <alignment horizontal="center" vertical="center"/>
    </xf>
    <xf numFmtId="0" fontId="2" fillId="14" borderId="32" xfId="0" applyFont="1" applyFill="1" applyBorder="1" applyAlignment="1">
      <alignment horizontal="center" vertical="center"/>
    </xf>
    <xf numFmtId="0" fontId="2" fillId="14" borderId="33" xfId="0" applyFont="1" applyFill="1" applyBorder="1" applyAlignment="1">
      <alignment horizontal="center" vertical="center"/>
    </xf>
    <xf numFmtId="0" fontId="0" fillId="14" borderId="66" xfId="0" applyFill="1" applyBorder="1" applyAlignment="1">
      <alignment horizontal="center" vertical="center"/>
    </xf>
    <xf numFmtId="0" fontId="0" fillId="14" borderId="38" xfId="0" applyFill="1" applyBorder="1" applyAlignment="1">
      <alignment horizontal="center" vertical="center"/>
    </xf>
    <xf numFmtId="0" fontId="0" fillId="14" borderId="61" xfId="0" applyFill="1" applyBorder="1" applyAlignment="1">
      <alignment horizontal="center" vertical="center"/>
    </xf>
    <xf numFmtId="0" fontId="0" fillId="14" borderId="14" xfId="0" applyFill="1" applyBorder="1" applyAlignment="1">
      <alignment horizontal="center" vertical="center"/>
    </xf>
    <xf numFmtId="44" fontId="4" fillId="5" borderId="0" xfId="1" applyFont="1" applyFill="1" applyBorder="1"/>
    <xf numFmtId="44" fontId="4" fillId="4" borderId="0" xfId="1" applyFont="1" applyFill="1" applyBorder="1"/>
    <xf numFmtId="44" fontId="4" fillId="7" borderId="0" xfId="1" applyFont="1" applyFill="1" applyBorder="1"/>
    <xf numFmtId="44" fontId="4" fillId="10" borderId="0" xfId="1" applyFont="1" applyFill="1" applyBorder="1"/>
    <xf numFmtId="10" fontId="4" fillId="10" borderId="0" xfId="2" applyNumberFormat="1" applyFont="1" applyFill="1" applyBorder="1" applyAlignment="1">
      <alignment horizontal="center"/>
    </xf>
    <xf numFmtId="0" fontId="0" fillId="5" borderId="0" xfId="0" applyFill="1" applyBorder="1" applyAlignment="1">
      <alignment horizontal="center" vertical="center"/>
    </xf>
    <xf numFmtId="44" fontId="11" fillId="5" borderId="0" xfId="1" applyFont="1" applyFill="1" applyBorder="1" applyAlignment="1">
      <alignment horizontal="center" vertical="center"/>
    </xf>
    <xf numFmtId="0" fontId="12" fillId="5" borderId="0" xfId="0" applyFont="1" applyFill="1" applyBorder="1" applyAlignment="1">
      <alignment horizontal="center" vertical="center"/>
    </xf>
    <xf numFmtId="44" fontId="12" fillId="4" borderId="0" xfId="1" applyFont="1" applyFill="1" applyBorder="1" applyAlignment="1">
      <alignment horizontal="center" vertical="center"/>
    </xf>
    <xf numFmtId="44" fontId="4" fillId="2" borderId="9" xfId="1" applyFont="1" applyFill="1" applyBorder="1" applyAlignment="1"/>
    <xf numFmtId="44" fontId="4" fillId="2" borderId="0" xfId="1" applyFont="1" applyFill="1" applyBorder="1" applyAlignment="1"/>
    <xf numFmtId="0" fontId="3" fillId="3" borderId="20" xfId="0" applyFont="1" applyFill="1" applyBorder="1" applyAlignment="1">
      <alignment horizontal="center" vertical="center" wrapText="1"/>
    </xf>
  </cellXfs>
  <cellStyles count="4">
    <cellStyle name="Hyperlink" xfId="3" builtinId="8"/>
    <cellStyle name="Moeda" xfId="1" builtinId="4"/>
    <cellStyle name="Normal" xfId="0" builtinId="0"/>
    <cellStyle name="Porcentagem" xfId="2" builtinId="5"/>
  </cellStyles>
  <dxfs count="84">
    <dxf>
      <font>
        <color theme="1"/>
      </font>
    </dxf>
    <dxf>
      <font>
        <color theme="1"/>
      </font>
    </dxf>
    <dxf>
      <font>
        <color theme="3" tint="0.79998168889431442"/>
      </font>
    </dxf>
    <dxf>
      <font>
        <color theme="3" tint="0.79998168889431442"/>
      </font>
    </dxf>
    <dxf>
      <font>
        <color theme="1"/>
      </font>
    </dxf>
    <dxf>
      <font>
        <color theme="1"/>
      </font>
    </dxf>
    <dxf>
      <font>
        <color theme="3" tint="0.79998168889431442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ill>
        <patternFill>
          <bgColor theme="6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6" tint="0.59996337778862885"/>
      </font>
    </dxf>
    <dxf>
      <font>
        <color theme="6" tint="0.59996337778862885"/>
      </font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6" tint="0.59996337778862885"/>
      </font>
    </dxf>
    <dxf>
      <font>
        <color theme="6" tint="0.59996337778862885"/>
      </font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6" tint="0.59996337778862885"/>
      </font>
    </dxf>
    <dxf>
      <font>
        <color theme="6" tint="0.59996337778862885"/>
      </font>
    </dxf>
    <dxf>
      <font>
        <color rgb="FF92D050"/>
      </font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rgb="FF92D05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/>
    <c:plotArea>
      <c:layout/>
      <c:pieChart>
        <c:varyColors val="1"/>
        <c:ser>
          <c:idx val="0"/>
          <c:order val="0"/>
          <c:tx>
            <c:strRef>
              <c:f>'2022b'!$B$3:$AM$3</c:f>
              <c:strCache>
                <c:ptCount val="1"/>
                <c:pt idx="0">
                  <c:v>RENDIMENTOS DE 2022</c:v>
                </c:pt>
              </c:strCache>
            </c:strRef>
          </c:tx>
          <c:dLbls>
            <c:dLbl>
              <c:idx val="0"/>
              <c:layout>
                <c:manualLayout>
                  <c:x val="-0.10894575479725672"/>
                  <c:y val="0.15085983384187274"/>
                </c:manualLayout>
              </c:layout>
              <c:showCatName val="1"/>
              <c:showPercent val="1"/>
            </c:dLbl>
            <c:dLbl>
              <c:idx val="1"/>
              <c:layout>
                <c:manualLayout>
                  <c:x val="-2.1367952847320411E-2"/>
                  <c:y val="-7.0643912839311795E-3"/>
                </c:manualLayout>
              </c:layout>
              <c:showCatName val="1"/>
              <c:showPercent val="1"/>
            </c:dLbl>
            <c:dLbl>
              <c:idx val="2"/>
              <c:layout>
                <c:manualLayout>
                  <c:x val="-1.52562040628485E-2"/>
                  <c:y val="-2.5549094097669645E-3"/>
                </c:manualLayout>
              </c:layout>
              <c:showCatName val="1"/>
              <c:showPercent val="1"/>
            </c:dLbl>
            <c:dLbl>
              <c:idx val="3"/>
              <c:layout>
                <c:manualLayout>
                  <c:x val="-0.37519816272967227"/>
                  <c:y val="-1.6026011629218125E-2"/>
                </c:manualLayout>
              </c:layout>
              <c:showCatName val="1"/>
              <c:showPercent val="1"/>
            </c:dLbl>
            <c:dLbl>
              <c:idx val="5"/>
              <c:layout>
                <c:manualLayout>
                  <c:x val="0.58972369277993897"/>
                  <c:y val="-2.7745693041432706E-2"/>
                </c:manualLayout>
              </c:layout>
              <c:showCatName val="1"/>
              <c:showPercent val="1"/>
            </c:dLbl>
            <c:dLbl>
              <c:idx val="6"/>
              <c:layout>
                <c:manualLayout>
                  <c:x val="-0.21805654511719968"/>
                  <c:y val="-0.18032808775713802"/>
                </c:manualLayout>
              </c:layout>
              <c:showCatName val="1"/>
              <c:showPercent val="1"/>
            </c:dLbl>
            <c:dLbl>
              <c:idx val="7"/>
              <c:layout>
                <c:manualLayout>
                  <c:x val="0.50475785684927565"/>
                  <c:y val="-0.20199585606156994"/>
                </c:manualLayout>
              </c:layout>
              <c:showCatName val="1"/>
              <c:showPercent val="1"/>
            </c:dLbl>
            <c:dLbl>
              <c:idx val="8"/>
              <c:layout>
                <c:manualLayout>
                  <c:x val="1.8811351706036861E-2"/>
                  <c:y val="3.7005073420334697E-2"/>
                </c:manualLayout>
              </c:layout>
              <c:showCatName val="1"/>
              <c:showPercent val="1"/>
            </c:dLbl>
            <c:dLbl>
              <c:idx val="9"/>
              <c:layout>
                <c:manualLayout>
                  <c:x val="0.56387689894534576"/>
                  <c:y val="-0.14900874856175433"/>
                </c:manualLayout>
              </c:layout>
              <c:showCatName val="1"/>
              <c:showPercent val="1"/>
            </c:dLbl>
            <c:dLbl>
              <c:idx val="11"/>
              <c:layout>
                <c:manualLayout>
                  <c:x val="0.34722112860892379"/>
                  <c:y val="-3.5091917215963331E-2"/>
                </c:manualLayout>
              </c:layout>
              <c:showCatName val="1"/>
              <c:showPercent val="1"/>
            </c:dLbl>
            <c:dLbl>
              <c:idx val="12"/>
              <c:layout>
                <c:manualLayout>
                  <c:x val="9.3106062924588062E-2"/>
                  <c:y val="-8.1843896815488005E-4"/>
                </c:manualLayout>
              </c:layout>
              <c:showCatName val="1"/>
              <c:showPercent val="1"/>
            </c:dLbl>
            <c:dLbl>
              <c:idx val="13"/>
              <c:layout>
                <c:manualLayout>
                  <c:x val="0.40443313444216283"/>
                  <c:y val="0.4149051590030513"/>
                </c:manualLayout>
              </c:layout>
              <c:showCatName val="1"/>
              <c:showPercent val="1"/>
            </c:dLbl>
            <c:dLbl>
              <c:idx val="14"/>
              <c:layout>
                <c:manualLayout>
                  <c:x val="-0.428259458723522"/>
                  <c:y val="0.45413848588235284"/>
                </c:manualLayout>
              </c:layout>
              <c:showCatName val="1"/>
              <c:showPercent val="1"/>
            </c:dLbl>
            <c:dLbl>
              <c:idx val="15"/>
              <c:layout>
                <c:manualLayout>
                  <c:x val="0.41049683128937342"/>
                  <c:y val="0.61995388700090004"/>
                </c:manualLayout>
              </c:layout>
              <c:showCatName val="1"/>
              <c:showPercent val="1"/>
            </c:dLbl>
            <c:showCatName val="1"/>
            <c:showPercent val="1"/>
          </c:dLbls>
          <c:cat>
            <c:strRef>
              <c:f>'2022b'!$C$6:$C$21</c:f>
              <c:strCache>
                <c:ptCount val="16"/>
                <c:pt idx="0">
                  <c:v>MXRF11</c:v>
                </c:pt>
                <c:pt idx="1">
                  <c:v>KISU11</c:v>
                </c:pt>
                <c:pt idx="2">
                  <c:v>RZAK11</c:v>
                </c:pt>
                <c:pt idx="3">
                  <c:v>VGHF11</c:v>
                </c:pt>
                <c:pt idx="4">
                  <c:v>XPLG11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XPCM11</c:v>
                </c:pt>
                <c:pt idx="9">
                  <c:v>BBPO11</c:v>
                </c:pt>
                <c:pt idx="10">
                  <c:v>0</c:v>
                </c:pt>
                <c:pt idx="11">
                  <c:v>0</c:v>
                </c:pt>
                <c:pt idx="12">
                  <c:v>IRDM11</c:v>
                </c:pt>
                <c:pt idx="13">
                  <c:v>BIME11</c:v>
                </c:pt>
                <c:pt idx="14">
                  <c:v>CPTS11</c:v>
                </c:pt>
                <c:pt idx="15">
                  <c:v>URPR11</c:v>
                </c:pt>
              </c:strCache>
            </c:strRef>
          </c:cat>
          <c:val>
            <c:numRef>
              <c:f>'2022b'!$AN$6:$AN$21</c:f>
              <c:numCache>
                <c:formatCode>_-"R$"\ * #,##0.00_-;\-"R$"\ * #,##0.00_-;_-"R$"\ * "-"??_-;_-@_-</c:formatCode>
                <c:ptCount val="16"/>
                <c:pt idx="0">
                  <c:v>7.1999999999999993</c:v>
                </c:pt>
                <c:pt idx="1">
                  <c:v>2.9000000000000004</c:v>
                </c:pt>
                <c:pt idx="2">
                  <c:v>6.01</c:v>
                </c:pt>
                <c:pt idx="3">
                  <c:v>1.08</c:v>
                </c:pt>
                <c:pt idx="4">
                  <c:v>6.28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0.72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2.8899999999999997</c:v>
                </c:pt>
                <c:pt idx="13">
                  <c:v>0.08</c:v>
                </c:pt>
                <c:pt idx="14">
                  <c:v>0.85</c:v>
                </c:pt>
                <c:pt idx="15">
                  <c:v>1.1299999999999999</c:v>
                </c:pt>
              </c:numCache>
            </c:numRef>
          </c:val>
        </c:ser>
        <c:dLbls>
          <c:showCatName val="1"/>
          <c:showPercent val="1"/>
        </c:dLbls>
        <c:firstSliceAng val="0"/>
      </c:pieChart>
    </c:plotArea>
    <c:plotVisOnly val="1"/>
    <c:dispBlanksAs val="zero"/>
  </c:chart>
  <c:printSettings>
    <c:headerFooter/>
    <c:pageMargins b="0.78740157499999996" l="0.511811024" r="0.511811024" t="0.78740157499999996" header="0.31496062000000913" footer="0.3149606200000091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/>
    <c:plotArea>
      <c:layout/>
      <c:lineChart>
        <c:grouping val="standard"/>
        <c:ser>
          <c:idx val="0"/>
          <c:order val="0"/>
          <c:tx>
            <c:strRef>
              <c:f>'2022b'!$L$5</c:f>
              <c:strCache>
                <c:ptCount val="1"/>
                <c:pt idx="0">
                  <c:v>Rend. Tot</c:v>
                </c:pt>
              </c:strCache>
            </c:strRef>
          </c:tx>
          <c:dLbls>
            <c:dLblPos val="t"/>
            <c:showVal val="1"/>
          </c:dLbls>
          <c:cat>
            <c:strRef>
              <c:f>'2022b'!$E$23:$P$23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('2022b'!$F$22,'2022b'!$I$22,'2022b'!$L$22,'2022b'!$O$22,'2022b'!$R$22,'2022b'!$U$22,'2022b'!$X$22,'2022b'!$AA$22,'2022b'!$AD$22,'2022b'!$AG$22,'2022b'!$AJ$22,'2022b'!$AM$22)</c:f>
              <c:numCache>
                <c:formatCode>_-"R$"\ * #,##0.00_-;\-"R$"\ * #,##0.00_-;_-"R$"\ 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1.1099999999999999</c:v>
                </c:pt>
                <c:pt idx="3">
                  <c:v>1.1600000000000001</c:v>
                </c:pt>
                <c:pt idx="4">
                  <c:v>1.21</c:v>
                </c:pt>
                <c:pt idx="5">
                  <c:v>1.34</c:v>
                </c:pt>
                <c:pt idx="6">
                  <c:v>1.3</c:v>
                </c:pt>
                <c:pt idx="7">
                  <c:v>4.3599999999999994</c:v>
                </c:pt>
                <c:pt idx="8">
                  <c:v>5.0599999999999996</c:v>
                </c:pt>
                <c:pt idx="9">
                  <c:v>5.29</c:v>
                </c:pt>
                <c:pt idx="10">
                  <c:v>8.31</c:v>
                </c:pt>
                <c:pt idx="11">
                  <c:v>0</c:v>
                </c:pt>
              </c:numCache>
            </c:numRef>
          </c:val>
        </c:ser>
        <c:marker val="1"/>
        <c:axId val="150996864"/>
        <c:axId val="150998400"/>
      </c:lineChart>
      <c:catAx>
        <c:axId val="150996864"/>
        <c:scaling>
          <c:orientation val="minMax"/>
        </c:scaling>
        <c:axPos val="b"/>
        <c:numFmt formatCode="General" sourceLinked="1"/>
        <c:tickLblPos val="nextTo"/>
        <c:crossAx val="150998400"/>
        <c:crosses val="autoZero"/>
        <c:auto val="1"/>
        <c:lblAlgn val="ctr"/>
        <c:lblOffset val="100"/>
      </c:catAx>
      <c:valAx>
        <c:axId val="150998400"/>
        <c:scaling>
          <c:orientation val="minMax"/>
        </c:scaling>
        <c:axPos val="l"/>
        <c:majorGridlines/>
        <c:numFmt formatCode="_-&quot;R$&quot;\ * #,##0.00_-;\-&quot;R$&quot;\ * #,##0.00_-;_-&quot;R$&quot;\ * &quot;-&quot;??_-;_-@_-" sourceLinked="1"/>
        <c:tickLblPos val="nextTo"/>
        <c:crossAx val="150996864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8740157499999996" l="0.511811024" r="0.511811024" t="0.78740157499999996" header="0.31496062000000913" footer="0.3149606200000091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lineChart>
        <c:grouping val="standard"/>
        <c:ser>
          <c:idx val="0"/>
          <c:order val="0"/>
          <c:tx>
            <c:strRef>
              <c:f>'2022b'!$C$6</c:f>
              <c:strCache>
                <c:ptCount val="1"/>
                <c:pt idx="0">
                  <c:v>MXRF11</c:v>
                </c:pt>
              </c:strCache>
            </c:strRef>
          </c:tx>
          <c:val>
            <c:numRef>
              <c:f>('2022b'!$F$6,'2022b'!$I$6,'2022b'!$L$6,'2022b'!$O$6,'2022b'!$O$6,'2022b'!$O$6,'2022b'!$R$6,'2022b'!$U$6,'2022b'!$X$6,'2022b'!$AA$6,'2022b'!$AD$6,'2022b'!$AG$6,'2022b'!$AJ$6,'2022b'!$AM$6)</c:f>
              <c:numCache>
                <c:formatCode>_-"R$"\ * #,##0.00_-;\-"R$"\ * #,##0.00_-;_-"R$"\ * "-"??_-;_-@_-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0.44999999999999996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0.55000000000000004</c:v>
                </c:pt>
                <c:pt idx="7">
                  <c:v>0.66</c:v>
                </c:pt>
                <c:pt idx="8">
                  <c:v>0.60000000000000009</c:v>
                </c:pt>
                <c:pt idx="9">
                  <c:v>0.72</c:v>
                </c:pt>
                <c:pt idx="10">
                  <c:v>0.72</c:v>
                </c:pt>
                <c:pt idx="11">
                  <c:v>1.5</c:v>
                </c:pt>
                <c:pt idx="12">
                  <c:v>1.5</c:v>
                </c:pt>
                <c:pt idx="13">
                  <c:v>0</c:v>
                </c:pt>
              </c:numCache>
            </c:numRef>
          </c:val>
        </c:ser>
        <c:ser>
          <c:idx val="1"/>
          <c:order val="1"/>
          <c:tx>
            <c:strRef>
              <c:f>'2022b'!$C$7</c:f>
              <c:strCache>
                <c:ptCount val="1"/>
                <c:pt idx="0">
                  <c:v>KISU11</c:v>
                </c:pt>
              </c:strCache>
            </c:strRef>
          </c:tx>
          <c:val>
            <c:numRef>
              <c:f>('2022b'!$F$7,'2022b'!$I$7,'2022b'!$L$7,'2022b'!$O$7,'2022b'!$R$7,'2022b'!$U$7,'2022b'!$X$7,'2022b'!$AA$7,'2022b'!$AD$7,'2022b'!$AG$7,'2022b'!$AJ$7,'2022b'!$AM$7)</c:f>
              <c:numCache>
                <c:formatCode>_-"R$"\ * #,##0.00_-;\-"R$"\ * #,##0.00_-;_-"R$"\ 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0.70000000000000007</c:v>
                </c:pt>
                <c:pt idx="8">
                  <c:v>0.70000000000000007</c:v>
                </c:pt>
                <c:pt idx="9">
                  <c:v>0.75</c:v>
                </c:pt>
                <c:pt idx="10">
                  <c:v>0.75</c:v>
                </c:pt>
                <c:pt idx="11">
                  <c:v>0</c:v>
                </c:pt>
              </c:numCache>
            </c:numRef>
          </c:val>
        </c:ser>
        <c:ser>
          <c:idx val="2"/>
          <c:order val="2"/>
          <c:tx>
            <c:strRef>
              <c:f>'2022b'!$C$8</c:f>
              <c:strCache>
                <c:ptCount val="1"/>
                <c:pt idx="0">
                  <c:v>RZAK11</c:v>
                </c:pt>
              </c:strCache>
            </c:strRef>
          </c:tx>
          <c:val>
            <c:numRef>
              <c:f>('2022b'!$F$8,'2022b'!$I$8,'2022b'!$L$8,'2022b'!$O$8,'2022b'!$R$8,'2022b'!$U$8,'2022b'!$X$8,'2022b'!$AA$8,'2022b'!$AD$8,'2022b'!$AG$8,'2022b'!$AJ$8,'2022b'!$AM$8)</c:f>
              <c:numCache>
                <c:formatCode>_-"R$"\ * #,##0.00_-;\-"R$"\ * #,##0.00_-;_-"R$"\ 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1.5</c:v>
                </c:pt>
                <c:pt idx="8">
                  <c:v>1.66</c:v>
                </c:pt>
                <c:pt idx="9">
                  <c:v>1.45</c:v>
                </c:pt>
                <c:pt idx="10">
                  <c:v>1.4</c:v>
                </c:pt>
                <c:pt idx="11">
                  <c:v>0</c:v>
                </c:pt>
              </c:numCache>
            </c:numRef>
          </c:val>
        </c:ser>
        <c:ser>
          <c:idx val="3"/>
          <c:order val="3"/>
          <c:tx>
            <c:strRef>
              <c:f>'2022b'!$C$9</c:f>
              <c:strCache>
                <c:ptCount val="1"/>
                <c:pt idx="0">
                  <c:v>VGHF11</c:v>
                </c:pt>
              </c:strCache>
            </c:strRef>
          </c:tx>
          <c:val>
            <c:numRef>
              <c:f>('2022b'!$F$9,'2022b'!$I$9,'2022b'!$L$9,'2022b'!$O$9,'2022b'!$R$9,'2022b'!$U$9,'2022b'!$X$9,'2022b'!$AA$9,'2022b'!$AD$9,'2022b'!$AG$9,'2022b'!$AJ$9,'2022b'!$AM$9)</c:f>
              <c:numCache>
                <c:formatCode>_-"R$"\ * #,##0.00_-;\-"R$"\ * #,##0.00_-;_-"R$"\ 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1.08</c:v>
                </c:pt>
                <c:pt idx="11">
                  <c:v>0</c:v>
                </c:pt>
              </c:numCache>
            </c:numRef>
          </c:val>
        </c:ser>
        <c:ser>
          <c:idx val="4"/>
          <c:order val="4"/>
          <c:tx>
            <c:strRef>
              <c:f>'2022b'!$C$10</c:f>
              <c:strCache>
                <c:ptCount val="1"/>
                <c:pt idx="0">
                  <c:v>XPLG11</c:v>
                </c:pt>
              </c:strCache>
            </c:strRef>
          </c:tx>
          <c:val>
            <c:numRef>
              <c:f>('2022b'!$F$10,'2022b'!$I$10,'2022b'!$L$10,'2022b'!$O$10,'2022b'!$R$10,'2022b'!$U$10,'2022b'!$X$10,'2022b'!$AA$10,'2022b'!$AD$10,'2022b'!$AG$10,'2022b'!$AJ$10,'2022b'!$AM$10)</c:f>
              <c:numCache>
                <c:formatCode>_-"R$"\ * #,##0.00_-;\-"R$"\ * #,##0.00_-;_-"R$"\ 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0.66</c:v>
                </c:pt>
                <c:pt idx="3">
                  <c:v>0.66</c:v>
                </c:pt>
                <c:pt idx="4">
                  <c:v>0.66</c:v>
                </c:pt>
                <c:pt idx="5">
                  <c:v>0.68</c:v>
                </c:pt>
                <c:pt idx="6">
                  <c:v>0.7</c:v>
                </c:pt>
                <c:pt idx="7">
                  <c:v>0.72</c:v>
                </c:pt>
                <c:pt idx="8">
                  <c:v>0.72</c:v>
                </c:pt>
                <c:pt idx="9">
                  <c:v>0.74</c:v>
                </c:pt>
                <c:pt idx="10">
                  <c:v>0.74</c:v>
                </c:pt>
                <c:pt idx="11">
                  <c:v>0</c:v>
                </c:pt>
              </c:numCache>
            </c:numRef>
          </c:val>
        </c:ser>
        <c:ser>
          <c:idx val="5"/>
          <c:order val="5"/>
          <c:tx>
            <c:strRef>
              <c:f>'2022b'!$C$11</c:f>
              <c:strCache>
                <c:ptCount val="1"/>
                <c:pt idx="0">
                  <c:v>0</c:v>
                </c:pt>
              </c:strCache>
            </c:strRef>
          </c:tx>
          <c:val>
            <c:numRef>
              <c:f>('2022b'!$F$11,'2022b'!$I$11,'2022b'!$L$11,'2022b'!$O$11,'2022b'!$R$11,'2022b'!$U$11,'2022b'!$X$11,'2022b'!$AA$11,'2022b'!$AD$11,'2022b'!$AG$11,'2022b'!$AJ$11,'2022b'!$AM$11)</c:f>
              <c:numCache>
                <c:formatCode>_-"R$"\ * #,##0.00_-;\-"R$"\ * #,##0.00_-;_-"R$"\ 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6"/>
          <c:order val="6"/>
          <c:tx>
            <c:strRef>
              <c:f>'2022b'!$C$12</c:f>
              <c:strCache>
                <c:ptCount val="1"/>
                <c:pt idx="0">
                  <c:v>0</c:v>
                </c:pt>
              </c:strCache>
            </c:strRef>
          </c:tx>
          <c:val>
            <c:numRef>
              <c:f>('2022b'!$F$12,'2022b'!$I$12,'2022b'!$L$12,'2022b'!$O$12,'2022b'!$R$12,'2022b'!$U$12,'2022b'!$X$12,'2022b'!$AA$12,'2022b'!$AD$12,'2022b'!$AG$12,'2022b'!$AJ$12,'2022b'!$AM$12)</c:f>
              <c:numCache>
                <c:formatCode>_-"R$"\ * #,##0.00_-;\-"R$"\ * #,##0.00_-;_-"R$"\ 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7"/>
          <c:order val="7"/>
          <c:tx>
            <c:strRef>
              <c:f>'2022b'!$C$13</c:f>
              <c:strCache>
                <c:ptCount val="1"/>
                <c:pt idx="0">
                  <c:v>0</c:v>
                </c:pt>
              </c:strCache>
            </c:strRef>
          </c:tx>
          <c:val>
            <c:numRef>
              <c:f>('2022b'!$F$13,'2022b'!$I$13,'2022b'!$L$13,'2022b'!$O$13,'2022b'!$R$13,'2022b'!$U$13,'2022b'!$X$13,'2022b'!$AA$13)</c:f>
              <c:numCache>
                <c:formatCode>_-"R$"\ * #,##0.00_-;\-"R$"\ * #,##0.00_-;_-"R$"\ * "-"??_-;_-@_-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8"/>
          <c:order val="8"/>
          <c:tx>
            <c:strRef>
              <c:f>'2022b'!$C$14</c:f>
              <c:strCache>
                <c:ptCount val="1"/>
                <c:pt idx="0">
                  <c:v>XPCM11</c:v>
                </c:pt>
              </c:strCache>
            </c:strRef>
          </c:tx>
          <c:val>
            <c:numRef>
              <c:f>('2022b'!$F$14,'2022b'!$I$14,'2022b'!$L$14,'2022b'!$O$14,'2022b'!$R$14,'2022b'!$U$14,'2022b'!$X$14,'2022b'!$AA$14,'2022b'!$AD$14,'2022b'!$AG$14,'2022b'!$AJ$14,'2022b'!$AM$14)</c:f>
              <c:numCache>
                <c:formatCode>_-"R$"\ * #,##0.00_-;\-"R$"\ * #,##0.00_-;_-"R$"\ 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0.72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9"/>
          <c:order val="9"/>
          <c:tx>
            <c:strRef>
              <c:f>'2022b'!$C$15</c:f>
              <c:strCache>
                <c:ptCount val="1"/>
                <c:pt idx="0">
                  <c:v>BBPO11</c:v>
                </c:pt>
              </c:strCache>
            </c:strRef>
          </c:tx>
          <c:val>
            <c:numRef>
              <c:f>('2022b'!$F$15,'2022b'!$I$15,'2022b'!$L$15,'2022b'!$O$15,'2022b'!$R$15,'2022b'!$U$15,'2022b'!$X$15,'2022b'!$AA$15,'2022b'!$AD$15,'2022b'!$AG$15,'2022b'!$AJ$15,'2022b'!$AM$15)</c:f>
              <c:numCache>
                <c:formatCode>_-"R$"\ * #,##0.00_-;\-"R$"\ * #,##0.00_-;_-"R$"\ 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0"/>
          <c:order val="10"/>
          <c:tx>
            <c:strRef>
              <c:f>'2022b'!$C$16</c:f>
              <c:strCache>
                <c:ptCount val="1"/>
                <c:pt idx="0">
                  <c:v>0</c:v>
                </c:pt>
              </c:strCache>
            </c:strRef>
          </c:tx>
          <c:val>
            <c:numRef>
              <c:f>('2022b'!$F$16,'2022b'!$I$16,'2022b'!$L$16,'2022b'!$O$16,'2022b'!$R$16,'2022b'!$U$16,'2022b'!$X$16,'2022b'!$AA$16,'2022b'!$AD$16,'2022b'!$AG$16,'2022b'!$AJ$16,'2022b'!$AM$16)</c:f>
              <c:numCache>
                <c:formatCode>_-"R$"\ * #,##0.00_-;\-"R$"\ * #,##0.00_-;_-"R$"\ 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1"/>
          <c:order val="11"/>
          <c:tx>
            <c:strRef>
              <c:f>'2022b'!$C$17</c:f>
              <c:strCache>
                <c:ptCount val="1"/>
                <c:pt idx="0">
                  <c:v>0</c:v>
                </c:pt>
              </c:strCache>
            </c:strRef>
          </c:tx>
          <c:val>
            <c:numRef>
              <c:f>('2022b'!$F$17,'2022b'!$I$17,'2022b'!$L$17,'2022b'!$O$17,'2022b'!$R$17,'2022b'!$U$17,'2022b'!$X$17,'2022b'!$AA$17,'2022b'!$AD$17,'2022b'!$AG$17,'2022b'!$AJ$17,'2022b'!$AM$17)</c:f>
              <c:numCache>
                <c:formatCode>_-"R$"\ * #,##0.00_-;\-"R$"\ * #,##0.00_-;_-"R$"\ 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2"/>
          <c:order val="12"/>
          <c:tx>
            <c:strRef>
              <c:f>'2022b'!$C$18</c:f>
              <c:strCache>
                <c:ptCount val="1"/>
                <c:pt idx="0">
                  <c:v>IRDM11</c:v>
                </c:pt>
              </c:strCache>
            </c:strRef>
          </c:tx>
          <c:val>
            <c:numRef>
              <c:f>('2022b'!$F$18,'2022b'!$I$18,'2022b'!$L$18,'2022b'!$O$18,'2022b'!$R$18,'2022b'!$U$18,'2022b'!$X$18,'2022b'!$AA$18,'2022b'!$AD$18,'2022b'!$AG$18,'2022b'!$AJ$18,'2022b'!$AM$18)</c:f>
              <c:numCache>
                <c:formatCode>_-"R$"\ * #,##0.00_-;\-"R$"\ * #,##0.00_-;_-"R$"\ 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1.26</c:v>
                </c:pt>
                <c:pt idx="9">
                  <c:v>0.85</c:v>
                </c:pt>
                <c:pt idx="10">
                  <c:v>0.78</c:v>
                </c:pt>
                <c:pt idx="11">
                  <c:v>0</c:v>
                </c:pt>
              </c:numCache>
            </c:numRef>
          </c:val>
        </c:ser>
        <c:ser>
          <c:idx val="13"/>
          <c:order val="13"/>
          <c:tx>
            <c:strRef>
              <c:f>'2022b'!$C$19</c:f>
              <c:strCache>
                <c:ptCount val="1"/>
                <c:pt idx="0">
                  <c:v>BIME11</c:v>
                </c:pt>
              </c:strCache>
            </c:strRef>
          </c:tx>
          <c:val>
            <c:numRef>
              <c:f>('2022b'!$F$19,'2022b'!$I$19,'2022b'!$L$19,'2022b'!$O$19,'2022b'!$R$19,'2022b'!$U$19,'2022b'!$X$19,'2022b'!$AA$19,'2022b'!$AD$19,'2022b'!$AG$19,'2022b'!$AJ$19,'2022b'!$AM$19)</c:f>
              <c:numCache>
                <c:formatCode>_-"R$"\ * #,##0.00_-;\-"R$"\ * #,##0.00_-;_-"R$"\ 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0.08</c:v>
                </c:pt>
                <c:pt idx="11">
                  <c:v>0</c:v>
                </c:pt>
              </c:numCache>
            </c:numRef>
          </c:val>
        </c:ser>
        <c:ser>
          <c:idx val="14"/>
          <c:order val="14"/>
          <c:tx>
            <c:strRef>
              <c:f>'2022b'!$C$20</c:f>
              <c:strCache>
                <c:ptCount val="1"/>
                <c:pt idx="0">
                  <c:v>CPTS11</c:v>
                </c:pt>
              </c:strCache>
            </c:strRef>
          </c:tx>
          <c:val>
            <c:numRef>
              <c:f>('2022b'!$F$20,'2022b'!$I$20,'2022b'!$L$20,'2022b'!$O$20,'2022b'!$R$20,'2022b'!$U$20,'2022b'!$X$20,'2022b'!$AA$20,'2022b'!$AD$20,'2022b'!$AG$20,'2022b'!$AJ$20,'2022b'!$AM$20)</c:f>
              <c:numCache>
                <c:formatCode>_-"R$"\ * #,##0.00_-;\-"R$"\ * #,##0.00_-;_-"R$"\ 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0.85</c:v>
                </c:pt>
                <c:pt idx="11">
                  <c:v>0</c:v>
                </c:pt>
              </c:numCache>
            </c:numRef>
          </c:val>
        </c:ser>
        <c:ser>
          <c:idx val="15"/>
          <c:order val="15"/>
          <c:tx>
            <c:strRef>
              <c:f>'2022b'!$C$21</c:f>
              <c:strCache>
                <c:ptCount val="1"/>
                <c:pt idx="0">
                  <c:v>URPR11</c:v>
                </c:pt>
              </c:strCache>
            </c:strRef>
          </c:tx>
          <c:val>
            <c:numRef>
              <c:f>('2022b'!$F$21,'2022b'!$I$21,'2022b'!$L$21,'2022b'!$O$21,'2022b'!$R$21,'2022b'!$U$21,'2022b'!$X$21,'2022b'!$AA$21,'2022b'!$AD$21,'2022b'!$AG$21,'2022b'!$AJ$21,'2022b'!$AM$21)</c:f>
              <c:numCache>
                <c:formatCode>_-"R$"\ * #,##0.00_-;\-"R$"\ * #,##0.00_-;_-"R$"\ 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1.1299999999999999</c:v>
                </c:pt>
                <c:pt idx="11">
                  <c:v>0</c:v>
                </c:pt>
              </c:numCache>
            </c:numRef>
          </c:val>
        </c:ser>
        <c:marker val="1"/>
        <c:axId val="151241472"/>
        <c:axId val="151243008"/>
      </c:lineChart>
      <c:catAx>
        <c:axId val="151241472"/>
        <c:scaling>
          <c:orientation val="minMax"/>
        </c:scaling>
        <c:axPos val="b"/>
        <c:tickLblPos val="nextTo"/>
        <c:crossAx val="151243008"/>
        <c:crosses val="autoZero"/>
        <c:auto val="1"/>
        <c:lblAlgn val="ctr"/>
        <c:lblOffset val="100"/>
      </c:catAx>
      <c:valAx>
        <c:axId val="151243008"/>
        <c:scaling>
          <c:orientation val="minMax"/>
        </c:scaling>
        <c:axPos val="l"/>
        <c:majorGridlines/>
        <c:numFmt formatCode="_-&quot;R$&quot;\ * #,##0.00_-;\-&quot;R$&quot;\ * #,##0.00_-;_-&quot;R$&quot;\ * &quot;-&quot;??_-;_-@_-" sourceLinked="1"/>
        <c:tickLblPos val="nextTo"/>
        <c:crossAx val="151241472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8740157499999996" l="0.511811024" r="0.511811024" t="0.78740157499999996" header="0.31496062000000913" footer="0.3149606200000091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lineChart>
        <c:grouping val="standard"/>
        <c:ser>
          <c:idx val="0"/>
          <c:order val="0"/>
          <c:tx>
            <c:strRef>
              <c:f>'2022b'!$C$6</c:f>
              <c:strCache>
                <c:ptCount val="1"/>
                <c:pt idx="0">
                  <c:v>MXRF11</c:v>
                </c:pt>
              </c:strCache>
            </c:strRef>
          </c:tx>
          <c:cat>
            <c:strRef>
              <c:f>'2022b'!$E$71:$P$71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('2022b'!$D$6,'2022b'!$G$6,'2022b'!$J$6,'2022b'!$M$6,'2022b'!$P$6,'2022b'!$S$6,'2022b'!$V$6,'2022b'!$Y$6,'2022b'!$AB$6,'2022b'!$AE$6,'2022b'!$AH$6,'2022b'!$AK$6)</c:f>
              <c:numCache>
                <c:formatCode>0</c:formatCode>
                <c:ptCount val="12"/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</c:numCache>
            </c:numRef>
          </c:val>
        </c:ser>
        <c:ser>
          <c:idx val="1"/>
          <c:order val="1"/>
          <c:tx>
            <c:strRef>
              <c:f>'2022b'!$C$7</c:f>
              <c:strCache>
                <c:ptCount val="1"/>
                <c:pt idx="0">
                  <c:v>KISU11</c:v>
                </c:pt>
              </c:strCache>
            </c:strRef>
          </c:tx>
          <c:cat>
            <c:strRef>
              <c:f>'2022b'!$E$71:$P$71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('2022b'!$D$7,'2022b'!$G$7,'2022b'!$J$7,'2022b'!$M$7,'2022b'!$P$7,'2022b'!$S$7,'2022b'!$V$7,'2022b'!$Y$7,'2022b'!$AB$7,'2022b'!$AE$7,'2022b'!$AH$7,'2022b'!$AK$7)</c:f>
              <c:numCache>
                <c:formatCode>0</c:formatCode>
                <c:ptCount val="12"/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</c:numCache>
            </c:numRef>
          </c:val>
        </c:ser>
        <c:ser>
          <c:idx val="2"/>
          <c:order val="2"/>
          <c:tx>
            <c:strRef>
              <c:f>'2022b'!$C$8</c:f>
              <c:strCache>
                <c:ptCount val="1"/>
                <c:pt idx="0">
                  <c:v>RZAK11</c:v>
                </c:pt>
              </c:strCache>
            </c:strRef>
          </c:tx>
          <c:val>
            <c:numRef>
              <c:f>('2022b'!$D$8,'2022b'!$G$8,'2022b'!$J$8,'2022b'!$M$8,'2022b'!$P$8,'2022b'!$S$8,'2022b'!$V$8,'2022b'!$Y$8,'2022b'!$AB$8,'2022b'!$AE$8,'2022b'!$AH$8,'2022b'!$AK$8)</c:f>
              <c:numCache>
                <c:formatCode>0</c:formatCode>
                <c:ptCount val="12"/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ser>
          <c:idx val="3"/>
          <c:order val="3"/>
          <c:tx>
            <c:strRef>
              <c:f>'2022b'!$C$9</c:f>
              <c:strCache>
                <c:ptCount val="1"/>
                <c:pt idx="0">
                  <c:v>VGHF11</c:v>
                </c:pt>
              </c:strCache>
            </c:strRef>
          </c:tx>
          <c:val>
            <c:numRef>
              <c:f>('2022b'!$D$9,'2022b'!$G$9,'2022b'!$J$9,'2022b'!$M$9,'2022b'!$P$9,'2022b'!$S$9,'2022b'!$V$9,'2022b'!$Y$9,'2022b'!$AB$9,'2022b'!$AE$9,'2022b'!$AH$9,'2022b'!$AK$9)</c:f>
              <c:numCache>
                <c:formatCode>0</c:formatCode>
                <c:ptCount val="12"/>
                <c:pt idx="10">
                  <c:v>12</c:v>
                </c:pt>
                <c:pt idx="11">
                  <c:v>12</c:v>
                </c:pt>
              </c:numCache>
            </c:numRef>
          </c:val>
        </c:ser>
        <c:ser>
          <c:idx val="4"/>
          <c:order val="4"/>
          <c:tx>
            <c:strRef>
              <c:f>'2022b'!$C$14</c:f>
              <c:strCache>
                <c:ptCount val="1"/>
                <c:pt idx="0">
                  <c:v>XPCM11</c:v>
                </c:pt>
              </c:strCache>
            </c:strRef>
          </c:tx>
          <c:val>
            <c:numRef>
              <c:f>('2022b'!$D$14,'2022b'!$G$14,'2022b'!$J$14,'2022b'!$M$14,'2022b'!$P$14,'2022b'!$S$14,'2022b'!$V$14,'2022b'!$Y$14,'2022b'!$AB$14,'2022b'!$AE$14,'2022b'!$AH$14,'2022b'!$AK$14)</c:f>
              <c:numCache>
                <c:formatCode>0</c:formatCode>
                <c:ptCount val="12"/>
                <c:pt idx="7">
                  <c:v>6</c:v>
                </c:pt>
              </c:numCache>
            </c:numRef>
          </c:val>
        </c:ser>
        <c:ser>
          <c:idx val="5"/>
          <c:order val="5"/>
          <c:tx>
            <c:strRef>
              <c:f>'2022b'!$C$18</c:f>
              <c:strCache>
                <c:ptCount val="1"/>
                <c:pt idx="0">
                  <c:v>IRDM11</c:v>
                </c:pt>
              </c:strCache>
            </c:strRef>
          </c:tx>
          <c:val>
            <c:numRef>
              <c:f>('2022b'!$D$18,'2022b'!$G$18,'2022b'!$J$18,'2022b'!$M$18,'2022b'!$P$18,'2022b'!$S$18,'2022b'!$V$18,'2022b'!$Y$18,'2022b'!$AB$18,'2022b'!$AE$18,'2022b'!$AH$18,'2022b'!$AK$18)</c:f>
              <c:numCache>
                <c:formatCode>0</c:formatCode>
                <c:ptCount val="12"/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</c:ser>
        <c:ser>
          <c:idx val="6"/>
          <c:order val="6"/>
          <c:tx>
            <c:strRef>
              <c:f>'2022b'!$C$20</c:f>
              <c:strCache>
                <c:ptCount val="1"/>
                <c:pt idx="0">
                  <c:v>CPTS11</c:v>
                </c:pt>
              </c:strCache>
            </c:strRef>
          </c:tx>
          <c:val>
            <c:numRef>
              <c:f>('2022b'!$D$20,'2022b'!$G$20,'2022b'!$J$20,'2022b'!$M$20,'2022b'!$P$20,'2022b'!$S$20,'2022b'!$V$20,'2022b'!$Y$20,'2022b'!$AB$20,'2022b'!$AE$20,'2022b'!$AH$20,'2022b'!$AK$20)</c:f>
              <c:numCache>
                <c:formatCode>0</c:formatCode>
                <c:ptCount val="12"/>
                <c:pt idx="10">
                  <c:v>1</c:v>
                </c:pt>
                <c:pt idx="11">
                  <c:v>1</c:v>
                </c:pt>
              </c:numCache>
            </c:numRef>
          </c:val>
        </c:ser>
        <c:ser>
          <c:idx val="7"/>
          <c:order val="7"/>
          <c:tx>
            <c:strRef>
              <c:f>'2022b'!$C$19</c:f>
              <c:strCache>
                <c:ptCount val="1"/>
                <c:pt idx="0">
                  <c:v>BIME11</c:v>
                </c:pt>
              </c:strCache>
            </c:strRef>
          </c:tx>
          <c:val>
            <c:numRef>
              <c:f>('2022b'!$D$19,'2022b'!$G$19,'2022b'!$J$19,'2022b'!$M$19,'2022b'!$P$19,'2022b'!$S$19,'2022b'!$V$19,'2022b'!$Y$19,'2022b'!$AB$19,'2022b'!$AE$19,'2022b'!$AH$19,'2022b'!$AK$19)</c:f>
              <c:numCache>
                <c:formatCode>0</c:formatCode>
                <c:ptCount val="12"/>
                <c:pt idx="10">
                  <c:v>2</c:v>
                </c:pt>
                <c:pt idx="11">
                  <c:v>12</c:v>
                </c:pt>
              </c:numCache>
            </c:numRef>
          </c:val>
        </c:ser>
        <c:ser>
          <c:idx val="8"/>
          <c:order val="8"/>
          <c:tx>
            <c:strRef>
              <c:f>'2022b'!$C$21</c:f>
              <c:strCache>
                <c:ptCount val="1"/>
                <c:pt idx="0">
                  <c:v>URPR11</c:v>
                </c:pt>
              </c:strCache>
            </c:strRef>
          </c:tx>
          <c:val>
            <c:numRef>
              <c:f>('2022b'!$D$21,'2022b'!$G$21,'2022b'!$J$21,'2022b'!$M$21,'2022b'!$P$21,'2022b'!$S$21,'2022b'!$V$21,'2022b'!$Y$21,'2022b'!$AB$21,'2022b'!$AE$21,'2022b'!$AH$21,'2022b'!$AK$21)</c:f>
              <c:numCache>
                <c:formatCode>0</c:formatCode>
                <c:ptCount val="12"/>
                <c:pt idx="10">
                  <c:v>1</c:v>
                </c:pt>
                <c:pt idx="11">
                  <c:v>1</c:v>
                </c:pt>
              </c:numCache>
            </c:numRef>
          </c:val>
        </c:ser>
        <c:marker val="1"/>
        <c:axId val="151606784"/>
        <c:axId val="151608320"/>
      </c:lineChart>
      <c:catAx>
        <c:axId val="151606784"/>
        <c:scaling>
          <c:orientation val="minMax"/>
        </c:scaling>
        <c:axPos val="b"/>
        <c:tickLblPos val="nextTo"/>
        <c:crossAx val="151608320"/>
        <c:crosses val="autoZero"/>
        <c:auto val="1"/>
        <c:lblAlgn val="ctr"/>
        <c:lblOffset val="100"/>
      </c:catAx>
      <c:valAx>
        <c:axId val="151608320"/>
        <c:scaling>
          <c:orientation val="minMax"/>
        </c:scaling>
        <c:axPos val="l"/>
        <c:majorGridlines/>
        <c:numFmt formatCode="0" sourceLinked="1"/>
        <c:tickLblPos val="nextTo"/>
        <c:crossAx val="151606784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8740157499999996" l="0.511811024" r="0.511811024" t="0.78740157499999996" header="0.31496062000000935" footer="0.31496062000000935"/>
    <c:pageSetup/>
  </c:printSettings>
</c:chartSpace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" name="Conector reto 1"/>
        <xdr:cNvCxnSpPr/>
      </xdr:nvCxnSpPr>
      <xdr:spPr>
        <a:xfrm>
          <a:off x="14335125" y="5362575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" name="Conector reto 2"/>
        <xdr:cNvCxnSpPr/>
      </xdr:nvCxnSpPr>
      <xdr:spPr>
        <a:xfrm>
          <a:off x="14355350" y="5113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" name="Conector reto 3"/>
        <xdr:cNvCxnSpPr/>
      </xdr:nvCxnSpPr>
      <xdr:spPr>
        <a:xfrm flipH="1">
          <a:off x="14319633" y="515540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" name="Conector reto 1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" name="Conector reto 2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" name="Conector reto 3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" name="Conector reto 1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" name="Conector reto 2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" name="Conector reto 3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" name="Conector reto 4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" name="Conector reto 5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" name="Conector reto 6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2" name="Conector reto 1"/>
        <xdr:cNvCxnSpPr/>
      </xdr:nvCxnSpPr>
      <xdr:spPr>
        <a:xfrm>
          <a:off x="1445895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" name="Conector reto 2"/>
        <xdr:cNvCxnSpPr/>
      </xdr:nvCxnSpPr>
      <xdr:spPr>
        <a:xfrm>
          <a:off x="1447917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" name="Conector reto 3"/>
        <xdr:cNvCxnSpPr/>
      </xdr:nvCxnSpPr>
      <xdr:spPr>
        <a:xfrm flipH="1">
          <a:off x="1444345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5" name="Conector reto 4"/>
        <xdr:cNvCxnSpPr/>
      </xdr:nvCxnSpPr>
      <xdr:spPr>
        <a:xfrm>
          <a:off x="1445895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" name="Conector reto 5"/>
        <xdr:cNvCxnSpPr/>
      </xdr:nvCxnSpPr>
      <xdr:spPr>
        <a:xfrm>
          <a:off x="1447917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" name="Conector reto 6"/>
        <xdr:cNvCxnSpPr/>
      </xdr:nvCxnSpPr>
      <xdr:spPr>
        <a:xfrm flipH="1">
          <a:off x="1444345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8" name="Conector reto 7"/>
        <xdr:cNvCxnSpPr/>
      </xdr:nvCxnSpPr>
      <xdr:spPr>
        <a:xfrm flipH="1">
          <a:off x="14568471" y="5349474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9" name="Conector reto 8"/>
        <xdr:cNvCxnSpPr/>
      </xdr:nvCxnSpPr>
      <xdr:spPr>
        <a:xfrm>
          <a:off x="14610141" y="5313755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10" name="Conector reto 9"/>
        <xdr:cNvCxnSpPr/>
      </xdr:nvCxnSpPr>
      <xdr:spPr>
        <a:xfrm>
          <a:off x="14612525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11" name="Conector reto 10"/>
        <xdr:cNvCxnSpPr/>
      </xdr:nvCxnSpPr>
      <xdr:spPr>
        <a:xfrm>
          <a:off x="14582775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809625</xdr:colOff>
      <xdr:row>28</xdr:row>
      <xdr:rowOff>47625</xdr:rowOff>
    </xdr:from>
    <xdr:to>
      <xdr:col>50</xdr:col>
      <xdr:colOff>1181100</xdr:colOff>
      <xdr:row>33</xdr:row>
      <xdr:rowOff>133350</xdr:rowOff>
    </xdr:to>
    <xdr:cxnSp macro="">
      <xdr:nvCxnSpPr>
        <xdr:cNvPr id="13" name="Conector angulado 12"/>
        <xdr:cNvCxnSpPr/>
      </xdr:nvCxnSpPr>
      <xdr:spPr>
        <a:xfrm>
          <a:off x="9182100" y="5953125"/>
          <a:ext cx="5305425" cy="1162050"/>
        </a:xfrm>
        <a:prstGeom prst="bentConnector3">
          <a:avLst>
            <a:gd name="adj1" fmla="val 44075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" name="Conector reto 1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" name="Conector reto 2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" name="Conector reto 3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" name="Conector reto 4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" name="Conector reto 5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" name="Conector reto 6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" name="Conector reto 7"/>
        <xdr:cNvCxnSpPr/>
      </xdr:nvCxnSpPr>
      <xdr:spPr>
        <a:xfrm>
          <a:off x="1445895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" name="Conector reto 8"/>
        <xdr:cNvCxnSpPr/>
      </xdr:nvCxnSpPr>
      <xdr:spPr>
        <a:xfrm>
          <a:off x="1447917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" name="Conector reto 9"/>
        <xdr:cNvCxnSpPr/>
      </xdr:nvCxnSpPr>
      <xdr:spPr>
        <a:xfrm flipH="1">
          <a:off x="1444345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" name="Conector reto 10"/>
        <xdr:cNvCxnSpPr/>
      </xdr:nvCxnSpPr>
      <xdr:spPr>
        <a:xfrm>
          <a:off x="1445895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" name="Conector reto 11"/>
        <xdr:cNvCxnSpPr/>
      </xdr:nvCxnSpPr>
      <xdr:spPr>
        <a:xfrm>
          <a:off x="1447917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" name="Conector reto 12"/>
        <xdr:cNvCxnSpPr/>
      </xdr:nvCxnSpPr>
      <xdr:spPr>
        <a:xfrm flipH="1">
          <a:off x="1444345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0" name="Conector reto 19"/>
        <xdr:cNvCxnSpPr/>
      </xdr:nvCxnSpPr>
      <xdr:spPr>
        <a:xfrm>
          <a:off x="1445895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1" name="Conector reto 20"/>
        <xdr:cNvCxnSpPr/>
      </xdr:nvCxnSpPr>
      <xdr:spPr>
        <a:xfrm>
          <a:off x="1447917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2" name="Conector reto 21"/>
        <xdr:cNvCxnSpPr/>
      </xdr:nvCxnSpPr>
      <xdr:spPr>
        <a:xfrm flipH="1">
          <a:off x="1444345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" name="Conector reto 22"/>
        <xdr:cNvCxnSpPr/>
      </xdr:nvCxnSpPr>
      <xdr:spPr>
        <a:xfrm>
          <a:off x="1445895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" name="Conector reto 23"/>
        <xdr:cNvCxnSpPr/>
      </xdr:nvCxnSpPr>
      <xdr:spPr>
        <a:xfrm>
          <a:off x="1447917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" name="Conector reto 24"/>
        <xdr:cNvCxnSpPr/>
      </xdr:nvCxnSpPr>
      <xdr:spPr>
        <a:xfrm flipH="1">
          <a:off x="1444345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6" name="Conector reto 35"/>
        <xdr:cNvCxnSpPr/>
      </xdr:nvCxnSpPr>
      <xdr:spPr>
        <a:xfrm>
          <a:off x="14592300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7" name="Conector reto 36"/>
        <xdr:cNvCxnSpPr/>
      </xdr:nvCxnSpPr>
      <xdr:spPr>
        <a:xfrm>
          <a:off x="146125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8" name="Conector reto 37"/>
        <xdr:cNvCxnSpPr/>
      </xdr:nvCxnSpPr>
      <xdr:spPr>
        <a:xfrm flipH="1">
          <a:off x="145768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9" name="Conector reto 38"/>
        <xdr:cNvCxnSpPr/>
      </xdr:nvCxnSpPr>
      <xdr:spPr>
        <a:xfrm>
          <a:off x="14592300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0" name="Conector reto 39"/>
        <xdr:cNvCxnSpPr/>
      </xdr:nvCxnSpPr>
      <xdr:spPr>
        <a:xfrm>
          <a:off x="146125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1" name="Conector reto 40"/>
        <xdr:cNvCxnSpPr/>
      </xdr:nvCxnSpPr>
      <xdr:spPr>
        <a:xfrm flipH="1">
          <a:off x="145768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42" name="Conector reto 41"/>
        <xdr:cNvCxnSpPr/>
      </xdr:nvCxnSpPr>
      <xdr:spPr>
        <a:xfrm flipH="1">
          <a:off x="14572043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43" name="Conector reto 42"/>
        <xdr:cNvCxnSpPr/>
      </xdr:nvCxnSpPr>
      <xdr:spPr>
        <a:xfrm>
          <a:off x="14613713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44" name="Conector reto 43"/>
        <xdr:cNvCxnSpPr/>
      </xdr:nvCxnSpPr>
      <xdr:spPr>
        <a:xfrm>
          <a:off x="14612525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45" name="Conector reto 44"/>
        <xdr:cNvCxnSpPr/>
      </xdr:nvCxnSpPr>
      <xdr:spPr>
        <a:xfrm>
          <a:off x="14582775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0" name="Conector reto 29"/>
        <xdr:cNvCxnSpPr/>
      </xdr:nvCxnSpPr>
      <xdr:spPr>
        <a:xfrm>
          <a:off x="14592300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1" name="Conector reto 30"/>
        <xdr:cNvCxnSpPr/>
      </xdr:nvCxnSpPr>
      <xdr:spPr>
        <a:xfrm>
          <a:off x="146125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2" name="Conector reto 31"/>
        <xdr:cNvCxnSpPr/>
      </xdr:nvCxnSpPr>
      <xdr:spPr>
        <a:xfrm flipH="1">
          <a:off x="145768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3" name="Conector reto 32"/>
        <xdr:cNvCxnSpPr/>
      </xdr:nvCxnSpPr>
      <xdr:spPr>
        <a:xfrm>
          <a:off x="14592300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4" name="Conector reto 33"/>
        <xdr:cNvCxnSpPr/>
      </xdr:nvCxnSpPr>
      <xdr:spPr>
        <a:xfrm>
          <a:off x="146125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5" name="Conector reto 34"/>
        <xdr:cNvCxnSpPr/>
      </xdr:nvCxnSpPr>
      <xdr:spPr>
        <a:xfrm flipH="1">
          <a:off x="145768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46" name="Conector reto 45"/>
        <xdr:cNvCxnSpPr/>
      </xdr:nvCxnSpPr>
      <xdr:spPr>
        <a:xfrm flipH="1">
          <a:off x="14572043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47" name="Conector reto 46"/>
        <xdr:cNvCxnSpPr/>
      </xdr:nvCxnSpPr>
      <xdr:spPr>
        <a:xfrm>
          <a:off x="14613713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48" name="Conector reto 47"/>
        <xdr:cNvCxnSpPr/>
      </xdr:nvCxnSpPr>
      <xdr:spPr>
        <a:xfrm>
          <a:off x="14612525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49" name="Conector reto 48"/>
        <xdr:cNvCxnSpPr/>
      </xdr:nvCxnSpPr>
      <xdr:spPr>
        <a:xfrm>
          <a:off x="14582775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50" name="Conector angulado 49"/>
        <xdr:cNvCxnSpPr/>
      </xdr:nvCxnSpPr>
      <xdr:spPr>
        <a:xfrm>
          <a:off x="9172575" y="584835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3" name="Conector reto 2"/>
        <xdr:cNvCxnSpPr/>
      </xdr:nvCxnSpPr>
      <xdr:spPr>
        <a:xfrm>
          <a:off x="11668125" y="6858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5" name="Conector reto 4"/>
        <xdr:cNvCxnSpPr/>
      </xdr:nvCxnSpPr>
      <xdr:spPr>
        <a:xfrm>
          <a:off x="11688350" y="66091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7" name="Conector reto 6"/>
        <xdr:cNvCxnSpPr/>
      </xdr:nvCxnSpPr>
      <xdr:spPr>
        <a:xfrm flipH="1">
          <a:off x="11652633" y="66508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" name="Conector reto 5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" name="Conector reto 7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" name="Conector reto 8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" name="Conector reto 9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" name="Conector reto 10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" name="Conector reto 11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" name="Conector reto 12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" name="Conector reto 13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5" name="Conector reto 14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6" name="Conector reto 15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7" name="Conector reto 16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8" name="Conector reto 17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9" name="Conector reto 18"/>
        <xdr:cNvCxnSpPr/>
      </xdr:nvCxnSpPr>
      <xdr:spPr>
        <a:xfrm>
          <a:off x="1445895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0" name="Conector reto 19"/>
        <xdr:cNvCxnSpPr/>
      </xdr:nvCxnSpPr>
      <xdr:spPr>
        <a:xfrm>
          <a:off x="1447917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1" name="Conector reto 20"/>
        <xdr:cNvCxnSpPr/>
      </xdr:nvCxnSpPr>
      <xdr:spPr>
        <a:xfrm flipH="1">
          <a:off x="1444345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2" name="Conector reto 21"/>
        <xdr:cNvCxnSpPr/>
      </xdr:nvCxnSpPr>
      <xdr:spPr>
        <a:xfrm>
          <a:off x="1445895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3" name="Conector reto 22"/>
        <xdr:cNvCxnSpPr/>
      </xdr:nvCxnSpPr>
      <xdr:spPr>
        <a:xfrm>
          <a:off x="1447917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4" name="Conector reto 23"/>
        <xdr:cNvCxnSpPr/>
      </xdr:nvCxnSpPr>
      <xdr:spPr>
        <a:xfrm flipH="1">
          <a:off x="1444345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5" name="Conector reto 2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6" name="Conector reto 2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7" name="Conector reto 2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8" name="Conector reto 2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9" name="Conector reto 2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0" name="Conector reto 2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1" name="Conector reto 3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2" name="Conector reto 3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3" name="Conector reto 3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4" name="Conector reto 3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5" name="Conector reto 3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6" name="Conector reto 3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7" name="Conector reto 3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8" name="Conector reto 3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9" name="Conector reto 3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0" name="Conector reto 3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1" name="Conector reto 4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2" name="Conector reto 4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3" name="Conector reto 42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4" name="Conector reto 4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5" name="Conector reto 4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6" name="Conector reto 45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7" name="Conector reto 4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8" name="Conector reto 4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49" name="Conector reto 48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50" name="Conector reto 49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51" name="Conector reto 50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52" name="Conector reto 51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53" name="Conector reto 52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4" name="Conector reto 5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5" name="Conector reto 5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56" name="Conector reto 55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7" name="Conector reto 5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8" name="Conector reto 5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59" name="Conector reto 58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60" name="Conector reto 59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61" name="Conector reto 60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62" name="Conector reto 61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63" name="Conector angulado 62"/>
        <xdr:cNvCxnSpPr/>
      </xdr:nvCxnSpPr>
      <xdr:spPr>
        <a:xfrm>
          <a:off x="9296400" y="584835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2" name="Conector reto 1"/>
        <xdr:cNvCxnSpPr/>
      </xdr:nvCxnSpPr>
      <xdr:spPr>
        <a:xfrm>
          <a:off x="11668125" y="6858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3" name="Conector reto 2"/>
        <xdr:cNvCxnSpPr/>
      </xdr:nvCxnSpPr>
      <xdr:spPr>
        <a:xfrm>
          <a:off x="11688350" y="66091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4" name="Conector reto 3"/>
        <xdr:cNvCxnSpPr/>
      </xdr:nvCxnSpPr>
      <xdr:spPr>
        <a:xfrm flipH="1">
          <a:off x="11652633" y="66508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" name="Conector reto 4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" name="Conector reto 5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" name="Conector reto 6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" name="Conector reto 7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" name="Conector reto 8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" name="Conector reto 9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1" name="Conector reto 10"/>
        <xdr:cNvCxnSpPr/>
      </xdr:nvCxnSpPr>
      <xdr:spPr>
        <a:xfrm>
          <a:off x="7115175" y="6858000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2" name="Conector reto 11"/>
        <xdr:cNvCxnSpPr/>
      </xdr:nvCxnSpPr>
      <xdr:spPr>
        <a:xfrm>
          <a:off x="7115175" y="66091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3" name="Conector reto 12"/>
        <xdr:cNvCxnSpPr/>
      </xdr:nvCxnSpPr>
      <xdr:spPr>
        <a:xfrm flipH="1">
          <a:off x="7115175" y="6650831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" name="Conector reto 13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" name="Conector reto 14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" name="Conector reto 15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" name="Conector reto 16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" name="Conector reto 17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" name="Conector reto 18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0" name="Conector reto 19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1" name="Conector reto 20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2" name="Conector reto 21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" name="Conector reto 22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" name="Conector reto 23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" name="Conector reto 24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" name="Conector reto 25"/>
        <xdr:cNvCxnSpPr/>
      </xdr:nvCxnSpPr>
      <xdr:spPr>
        <a:xfrm>
          <a:off x="1445895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" name="Conector reto 26"/>
        <xdr:cNvCxnSpPr/>
      </xdr:nvCxnSpPr>
      <xdr:spPr>
        <a:xfrm>
          <a:off x="1447917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" name="Conector reto 27"/>
        <xdr:cNvCxnSpPr/>
      </xdr:nvCxnSpPr>
      <xdr:spPr>
        <a:xfrm flipH="1">
          <a:off x="1444345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" name="Conector reto 28"/>
        <xdr:cNvCxnSpPr/>
      </xdr:nvCxnSpPr>
      <xdr:spPr>
        <a:xfrm>
          <a:off x="1445895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" name="Conector reto 29"/>
        <xdr:cNvCxnSpPr/>
      </xdr:nvCxnSpPr>
      <xdr:spPr>
        <a:xfrm>
          <a:off x="1447917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" name="Conector reto 30"/>
        <xdr:cNvCxnSpPr/>
      </xdr:nvCxnSpPr>
      <xdr:spPr>
        <a:xfrm flipH="1">
          <a:off x="1444345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32" name="Conector reto 31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33" name="Conector reto 32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34" name="Conector reto 33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5" name="Conector reto 3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" name="Conector reto 3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" name="Conector reto 3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" name="Conector reto 3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" name="Conector reto 3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" name="Conector reto 3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1" name="Conector reto 4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2" name="Conector reto 4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3" name="Conector reto 4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4" name="Conector reto 4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5" name="Conector reto 4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6" name="Conector reto 4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7" name="Conector reto 4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8" name="Conector reto 4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9" name="Conector reto 4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0" name="Conector reto 4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1" name="Conector reto 5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2" name="Conector reto 5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3" name="Conector reto 5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4" name="Conector reto 5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5" name="Conector reto 5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6" name="Conector reto 5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7" name="Conector reto 5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8" name="Conector reto 5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9" name="Conector reto 5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0" name="Conector reto 5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1" name="Conector reto 6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2" name="Conector reto 6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3" name="Conector reto 6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4" name="Conector reto 6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5" name="Conector reto 6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6" name="Conector reto 6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7" name="Conector reto 6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8" name="Conector reto 6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9" name="Conector reto 6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0" name="Conector reto 6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71" name="Conector reto 70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2" name="Conector reto 7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3" name="Conector reto 7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74" name="Conector reto 73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5" name="Conector reto 7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6" name="Conector reto 7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77" name="Conector reto 76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78" name="Conector reto 77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79" name="Conector reto 78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80" name="Conector reto 79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81" name="Conector reto 80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2" name="Conector reto 8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3" name="Conector reto 8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84" name="Conector reto 83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5" name="Conector reto 8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6" name="Conector reto 8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87" name="Conector reto 86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88" name="Conector reto 87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89" name="Conector reto 88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90" name="Conector reto 89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91" name="Conector angulado 90"/>
        <xdr:cNvCxnSpPr/>
      </xdr:nvCxnSpPr>
      <xdr:spPr>
        <a:xfrm>
          <a:off x="9296400" y="584835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" name="Conector reto 1"/>
        <xdr:cNvCxnSpPr/>
      </xdr:nvCxnSpPr>
      <xdr:spPr>
        <a:xfrm>
          <a:off x="12277725" y="43243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3" name="Conector reto 2"/>
        <xdr:cNvCxnSpPr/>
      </xdr:nvCxnSpPr>
      <xdr:spPr>
        <a:xfrm>
          <a:off x="12297950" y="40755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4" name="Conector reto 3"/>
        <xdr:cNvCxnSpPr/>
      </xdr:nvCxnSpPr>
      <xdr:spPr>
        <a:xfrm flipH="1">
          <a:off x="12262233" y="41171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" name="Conector reto 4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" name="Conector reto 5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" name="Conector reto 6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" name="Conector reto 7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" name="Conector reto 8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" name="Conector reto 9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11" name="Conector reto 10"/>
        <xdr:cNvCxnSpPr/>
      </xdr:nvCxnSpPr>
      <xdr:spPr>
        <a:xfrm>
          <a:off x="7115175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12" name="Conector reto 11"/>
        <xdr:cNvCxnSpPr/>
      </xdr:nvCxnSpPr>
      <xdr:spPr>
        <a:xfrm>
          <a:off x="7115175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13" name="Conector reto 12"/>
        <xdr:cNvCxnSpPr/>
      </xdr:nvCxnSpPr>
      <xdr:spPr>
        <a:xfrm flipH="1">
          <a:off x="7115175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" name="Conector reto 13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" name="Conector reto 14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" name="Conector reto 15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" name="Conector reto 16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" name="Conector reto 17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" name="Conector reto 18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20" name="Conector reto 19"/>
        <xdr:cNvCxnSpPr/>
      </xdr:nvCxnSpPr>
      <xdr:spPr>
        <a:xfrm>
          <a:off x="7115175" y="6858000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21" name="Conector reto 20"/>
        <xdr:cNvCxnSpPr/>
      </xdr:nvCxnSpPr>
      <xdr:spPr>
        <a:xfrm>
          <a:off x="7115175" y="66091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22" name="Conector reto 21"/>
        <xdr:cNvCxnSpPr/>
      </xdr:nvCxnSpPr>
      <xdr:spPr>
        <a:xfrm flipH="1">
          <a:off x="7115175" y="6650831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" name="Conector reto 22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" name="Conector reto 23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" name="Conector reto 24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" name="Conector reto 25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" name="Conector reto 26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" name="Conector reto 27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" name="Conector reto 28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" name="Conector reto 29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" name="Conector reto 30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" name="Conector reto 31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" name="Conector reto 32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4" name="Conector reto 33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5" name="Conector reto 34"/>
        <xdr:cNvCxnSpPr/>
      </xdr:nvCxnSpPr>
      <xdr:spPr>
        <a:xfrm>
          <a:off x="1445895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" name="Conector reto 35"/>
        <xdr:cNvCxnSpPr/>
      </xdr:nvCxnSpPr>
      <xdr:spPr>
        <a:xfrm>
          <a:off x="1447917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" name="Conector reto 36"/>
        <xdr:cNvCxnSpPr/>
      </xdr:nvCxnSpPr>
      <xdr:spPr>
        <a:xfrm flipH="1">
          <a:off x="1444345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" name="Conector reto 37"/>
        <xdr:cNvCxnSpPr/>
      </xdr:nvCxnSpPr>
      <xdr:spPr>
        <a:xfrm>
          <a:off x="1445895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" name="Conector reto 38"/>
        <xdr:cNvCxnSpPr/>
      </xdr:nvCxnSpPr>
      <xdr:spPr>
        <a:xfrm>
          <a:off x="1447917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" name="Conector reto 39"/>
        <xdr:cNvCxnSpPr/>
      </xdr:nvCxnSpPr>
      <xdr:spPr>
        <a:xfrm flipH="1">
          <a:off x="1444345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41" name="Conector reto 40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42" name="Conector reto 41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43" name="Conector reto 42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4" name="Conector reto 4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5" name="Conector reto 4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6" name="Conector reto 4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7" name="Conector reto 4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8" name="Conector reto 4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9" name="Conector reto 4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0" name="Conector reto 4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1" name="Conector reto 5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2" name="Conector reto 5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3" name="Conector reto 5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4" name="Conector reto 5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5" name="Conector reto 5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6" name="Conector reto 5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7" name="Conector reto 5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8" name="Conector reto 5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9" name="Conector reto 5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0" name="Conector reto 5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1" name="Conector reto 6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2" name="Conector reto 6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3" name="Conector reto 6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4" name="Conector reto 6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5" name="Conector reto 6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6" name="Conector reto 6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7" name="Conector reto 6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8" name="Conector reto 6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9" name="Conector reto 6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0" name="Conector reto 6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1" name="Conector reto 7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2" name="Conector reto 7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3" name="Conector reto 7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4" name="Conector reto 7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5" name="Conector reto 7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6" name="Conector reto 7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7" name="Conector reto 7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8" name="Conector reto 7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9" name="Conector reto 7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80" name="Conector reto 79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1" name="Conector reto 8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2" name="Conector reto 8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83" name="Conector reto 82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4" name="Conector reto 8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5" name="Conector reto 8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86" name="Conector reto 85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87" name="Conector reto 86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88" name="Conector reto 87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89" name="Conector reto 88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90" name="Conector reto 89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1" name="Conector reto 9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2" name="Conector reto 9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93" name="Conector reto 92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4" name="Conector reto 9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5" name="Conector reto 9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96" name="Conector reto 95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97" name="Conector reto 96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98" name="Conector reto 97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99" name="Conector reto 98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100" name="Conector angulado 99"/>
        <xdr:cNvCxnSpPr/>
      </xdr:nvCxnSpPr>
      <xdr:spPr>
        <a:xfrm>
          <a:off x="9296400" y="584835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101" name="Conector reto 100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102" name="Conector reto 101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103" name="Conector reto 102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4" name="Conector reto 10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5" name="Conector reto 10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6" name="Conector reto 10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7" name="Conector reto 10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8" name="Conector reto 10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9" name="Conector reto 10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10" name="Conector reto 109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11" name="Conector reto 110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12" name="Conector reto 111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3" name="Conector reto 11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4" name="Conector reto 11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5" name="Conector reto 11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6" name="Conector reto 11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7" name="Conector reto 11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8" name="Conector reto 11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9" name="Conector reto 11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0" name="Conector reto 11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1" name="Conector reto 12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2" name="Conector reto 12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3" name="Conector reto 12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4" name="Conector reto 12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5" name="Conector reto 12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6" name="Conector reto 12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7" name="Conector reto 12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8" name="Conector reto 12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9" name="Conector reto 12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0" name="Conector reto 12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31" name="Conector reto 130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32" name="Conector reto 131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33" name="Conector reto 132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4" name="Conector reto 13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5" name="Conector reto 13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6" name="Conector reto 13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7" name="Conector reto 13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8" name="Conector reto 13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9" name="Conector reto 13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0" name="Conector reto 13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1" name="Conector reto 14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2" name="Conector reto 14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3" name="Conector reto 14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4" name="Conector reto 14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5" name="Conector reto 14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6" name="Conector reto 14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7" name="Conector reto 14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8" name="Conector reto 14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9" name="Conector reto 14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0" name="Conector reto 14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51" name="Conector reto 15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52" name="Conector reto 15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3" name="Conector reto 15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54" name="Conector reto 15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55" name="Conector reto 15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6" name="Conector reto 15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57" name="Conector reto 15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58" name="Conector reto 15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9" name="Conector reto 15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0" name="Conector reto 15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61" name="Conector reto 16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62" name="Conector reto 16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3" name="Conector reto 16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64" name="Conector reto 16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65" name="Conector reto 16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6" name="Conector reto 16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67" name="Conector reto 16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68" name="Conector reto 16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9" name="Conector reto 16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170" name="Conector reto 169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71" name="Conector reto 17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72" name="Conector reto 17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173" name="Conector reto 172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74" name="Conector reto 17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75" name="Conector reto 17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176" name="Conector reto 175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177" name="Conector reto 176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178" name="Conector reto 177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179" name="Conector reto 178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180" name="Conector reto 179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1" name="Conector reto 18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82" name="Conector reto 18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183" name="Conector reto 182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4" name="Conector reto 18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85" name="Conector reto 18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186" name="Conector reto 185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187" name="Conector reto 186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188" name="Conector reto 187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189" name="Conector reto 188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190" name="Conector angulado 189"/>
        <xdr:cNvCxnSpPr/>
      </xdr:nvCxnSpPr>
      <xdr:spPr>
        <a:xfrm>
          <a:off x="9296400" y="584835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" name="Conector reto 1"/>
        <xdr:cNvCxnSpPr/>
      </xdr:nvCxnSpPr>
      <xdr:spPr>
        <a:xfrm>
          <a:off x="12277725" y="39052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3" name="Conector reto 2"/>
        <xdr:cNvCxnSpPr/>
      </xdr:nvCxnSpPr>
      <xdr:spPr>
        <a:xfrm>
          <a:off x="12297950" y="36564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4" name="Conector reto 3"/>
        <xdr:cNvCxnSpPr/>
      </xdr:nvCxnSpPr>
      <xdr:spPr>
        <a:xfrm flipH="1">
          <a:off x="12262233" y="36980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" name="Conector reto 4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" name="Conector reto 5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" name="Conector reto 6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" name="Conector reto 7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" name="Conector reto 8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" name="Conector reto 9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1" name="Conector reto 10"/>
        <xdr:cNvCxnSpPr/>
      </xdr:nvCxnSpPr>
      <xdr:spPr>
        <a:xfrm>
          <a:off x="7115175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2" name="Conector reto 11"/>
        <xdr:cNvCxnSpPr/>
      </xdr:nvCxnSpPr>
      <xdr:spPr>
        <a:xfrm>
          <a:off x="7115175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3" name="Conector reto 12"/>
        <xdr:cNvCxnSpPr/>
      </xdr:nvCxnSpPr>
      <xdr:spPr>
        <a:xfrm flipH="1">
          <a:off x="7115175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" name="Conector reto 13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" name="Conector reto 14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" name="Conector reto 15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" name="Conector reto 16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" name="Conector reto 17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" name="Conector reto 18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20" name="Conector reto 19"/>
        <xdr:cNvCxnSpPr/>
      </xdr:nvCxnSpPr>
      <xdr:spPr>
        <a:xfrm>
          <a:off x="7115175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21" name="Conector reto 20"/>
        <xdr:cNvCxnSpPr/>
      </xdr:nvCxnSpPr>
      <xdr:spPr>
        <a:xfrm>
          <a:off x="7115175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22" name="Conector reto 21"/>
        <xdr:cNvCxnSpPr/>
      </xdr:nvCxnSpPr>
      <xdr:spPr>
        <a:xfrm flipH="1">
          <a:off x="7115175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" name="Conector reto 22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" name="Conector reto 23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" name="Conector reto 24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" name="Conector reto 25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" name="Conector reto 26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" name="Conector reto 27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29" name="Conector reto 28"/>
        <xdr:cNvCxnSpPr/>
      </xdr:nvCxnSpPr>
      <xdr:spPr>
        <a:xfrm>
          <a:off x="7115175" y="6858000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30" name="Conector reto 29"/>
        <xdr:cNvCxnSpPr/>
      </xdr:nvCxnSpPr>
      <xdr:spPr>
        <a:xfrm>
          <a:off x="7115175" y="66091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31" name="Conector reto 30"/>
        <xdr:cNvCxnSpPr/>
      </xdr:nvCxnSpPr>
      <xdr:spPr>
        <a:xfrm flipH="1">
          <a:off x="7115175" y="6650831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" name="Conector reto 31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" name="Conector reto 32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4" name="Conector reto 33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5" name="Conector reto 34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" name="Conector reto 35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" name="Conector reto 36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" name="Conector reto 37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" name="Conector reto 38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" name="Conector reto 39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1" name="Conector reto 40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2" name="Conector reto 41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3" name="Conector reto 42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4" name="Conector reto 43"/>
        <xdr:cNvCxnSpPr/>
      </xdr:nvCxnSpPr>
      <xdr:spPr>
        <a:xfrm>
          <a:off x="1445895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5" name="Conector reto 44"/>
        <xdr:cNvCxnSpPr/>
      </xdr:nvCxnSpPr>
      <xdr:spPr>
        <a:xfrm>
          <a:off x="1447917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6" name="Conector reto 45"/>
        <xdr:cNvCxnSpPr/>
      </xdr:nvCxnSpPr>
      <xdr:spPr>
        <a:xfrm flipH="1">
          <a:off x="1444345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7" name="Conector reto 46"/>
        <xdr:cNvCxnSpPr/>
      </xdr:nvCxnSpPr>
      <xdr:spPr>
        <a:xfrm>
          <a:off x="1445895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8" name="Conector reto 47"/>
        <xdr:cNvCxnSpPr/>
      </xdr:nvCxnSpPr>
      <xdr:spPr>
        <a:xfrm>
          <a:off x="1447917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9" name="Conector reto 48"/>
        <xdr:cNvCxnSpPr/>
      </xdr:nvCxnSpPr>
      <xdr:spPr>
        <a:xfrm flipH="1">
          <a:off x="1444345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50" name="Conector reto 49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51" name="Conector reto 50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52" name="Conector reto 51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3" name="Conector reto 5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4" name="Conector reto 5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5" name="Conector reto 5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6" name="Conector reto 5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7" name="Conector reto 5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8" name="Conector reto 5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59" name="Conector reto 58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60" name="Conector reto 59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61" name="Conector reto 60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2" name="Conector reto 6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3" name="Conector reto 6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4" name="Conector reto 6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5" name="Conector reto 6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6" name="Conector reto 6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7" name="Conector reto 6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68" name="Conector reto 67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69" name="Conector reto 68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70" name="Conector reto 69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1" name="Conector reto 7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2" name="Conector reto 7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3" name="Conector reto 7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4" name="Conector reto 7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5" name="Conector reto 7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6" name="Conector reto 7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7" name="Conector reto 7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8" name="Conector reto 7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9" name="Conector reto 7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0" name="Conector reto 7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1" name="Conector reto 8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2" name="Conector reto 8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3" name="Conector reto 8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4" name="Conector reto 8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5" name="Conector reto 8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6" name="Conector reto 8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7" name="Conector reto 8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8" name="Conector reto 8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89" name="Conector reto 88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90" name="Conector reto 89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91" name="Conector reto 90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2" name="Conector reto 9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3" name="Conector reto 9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4" name="Conector reto 9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5" name="Conector reto 9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6" name="Conector reto 9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7" name="Conector reto 9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8" name="Conector reto 9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9" name="Conector reto 9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0" name="Conector reto 9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1" name="Conector reto 10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2" name="Conector reto 10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3" name="Conector reto 10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4" name="Conector reto 10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5" name="Conector reto 10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6" name="Conector reto 10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7" name="Conector reto 10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8" name="Conector reto 10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9" name="Conector reto 10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0" name="Conector reto 10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1" name="Conector reto 11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2" name="Conector reto 11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3" name="Conector reto 11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4" name="Conector reto 11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5" name="Conector reto 11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6" name="Conector reto 11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7" name="Conector reto 11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8" name="Conector reto 11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9" name="Conector reto 11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0" name="Conector reto 11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1" name="Conector reto 12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2" name="Conector reto 12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3" name="Conector reto 12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4" name="Conector reto 12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5" name="Conector reto 12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6" name="Conector reto 12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7" name="Conector reto 12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128" name="Conector reto 127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9" name="Conector reto 12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0" name="Conector reto 12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131" name="Conector reto 130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2" name="Conector reto 13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3" name="Conector reto 13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134" name="Conector reto 133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135" name="Conector reto 134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136" name="Conector reto 135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137" name="Conector reto 136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138" name="Conector reto 137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9" name="Conector reto 13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0" name="Conector reto 13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141" name="Conector reto 140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2" name="Conector reto 14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3" name="Conector reto 14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144" name="Conector reto 143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145" name="Conector reto 144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146" name="Conector reto 145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147" name="Conector reto 146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148" name="Conector angulado 147"/>
        <xdr:cNvCxnSpPr/>
      </xdr:nvCxnSpPr>
      <xdr:spPr>
        <a:xfrm>
          <a:off x="9296400" y="586740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149" name="Conector reto 148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150" name="Conector reto 149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151" name="Conector reto 150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52" name="Conector reto 15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3" name="Conector reto 15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54" name="Conector reto 15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55" name="Conector reto 15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6" name="Conector reto 15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57" name="Conector reto 15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58" name="Conector reto 157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59" name="Conector reto 158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60" name="Conector reto 159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61" name="Conector reto 16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62" name="Conector reto 16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3" name="Conector reto 16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64" name="Conector reto 16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65" name="Conector reto 16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6" name="Conector reto 16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67" name="Conector reto 16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68" name="Conector reto 16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9" name="Conector reto 16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0" name="Conector reto 16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71" name="Conector reto 17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72" name="Conector reto 17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3" name="Conector reto 17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74" name="Conector reto 17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75" name="Conector reto 17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6" name="Conector reto 17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77" name="Conector reto 17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78" name="Conector reto 17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79" name="Conector reto 178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80" name="Conector reto 179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81" name="Conector reto 180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82" name="Conector reto 18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3" name="Conector reto 18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84" name="Conector reto 18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85" name="Conector reto 18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6" name="Conector reto 18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87" name="Conector reto 18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88" name="Conector reto 18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9" name="Conector reto 18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0" name="Conector reto 18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91" name="Conector reto 19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92" name="Conector reto 19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3" name="Conector reto 19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94" name="Conector reto 19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95" name="Conector reto 19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6" name="Conector reto 19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97" name="Conector reto 19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98" name="Conector reto 19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9" name="Conector reto 19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00" name="Conector reto 19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01" name="Conector reto 20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02" name="Conector reto 20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03" name="Conector reto 20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04" name="Conector reto 20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05" name="Conector reto 20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06" name="Conector reto 20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07" name="Conector reto 20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08" name="Conector reto 20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09" name="Conector reto 20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10" name="Conector reto 20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11" name="Conector reto 21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12" name="Conector reto 21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13" name="Conector reto 21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14" name="Conector reto 21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15" name="Conector reto 21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16" name="Conector reto 21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17" name="Conector reto 21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218" name="Conector reto 217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19" name="Conector reto 21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20" name="Conector reto 21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221" name="Conector reto 220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22" name="Conector reto 22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23" name="Conector reto 22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224" name="Conector reto 223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225" name="Conector reto 224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226" name="Conector reto 225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227" name="Conector reto 226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228" name="Conector reto 227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29" name="Conector reto 22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30" name="Conector reto 22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231" name="Conector reto 230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32" name="Conector reto 23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33" name="Conector reto 23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234" name="Conector reto 233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235" name="Conector reto 234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236" name="Conector reto 235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237" name="Conector reto 236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238" name="Conector angulado 237"/>
        <xdr:cNvCxnSpPr/>
      </xdr:nvCxnSpPr>
      <xdr:spPr>
        <a:xfrm>
          <a:off x="9296400" y="586740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39" name="Conector reto 238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240" name="Conector reto 239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241" name="Conector reto 240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42" name="Conector reto 24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3" name="Conector reto 24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44" name="Conector reto 24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45" name="Conector reto 24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6" name="Conector reto 24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47" name="Conector reto 24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248" name="Conector reto 247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249" name="Conector reto 248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250" name="Conector reto 249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51" name="Conector reto 25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52" name="Conector reto 25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3" name="Conector reto 25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54" name="Conector reto 25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55" name="Conector reto 25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6" name="Conector reto 25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257" name="Conector reto 256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258" name="Conector reto 257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259" name="Conector reto 258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0" name="Conector reto 25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61" name="Conector reto 26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62" name="Conector reto 26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3" name="Conector reto 26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64" name="Conector reto 26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65" name="Conector reto 26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6" name="Conector reto 26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67" name="Conector reto 26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68" name="Conector reto 26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9" name="Conector reto 26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0" name="Conector reto 26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71" name="Conector reto 27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72" name="Conector reto 27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3" name="Conector reto 27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74" name="Conector reto 27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75" name="Conector reto 27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6" name="Conector reto 27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77" name="Conector reto 27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278" name="Conector reto 277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279" name="Conector reto 278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280" name="Conector reto 279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81" name="Conector reto 28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82" name="Conector reto 28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3" name="Conector reto 28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84" name="Conector reto 28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85" name="Conector reto 28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6" name="Conector reto 28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87" name="Conector reto 28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88" name="Conector reto 28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9" name="Conector reto 28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0" name="Conector reto 28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91" name="Conector reto 29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92" name="Conector reto 29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3" name="Conector reto 29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94" name="Conector reto 29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95" name="Conector reto 29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6" name="Conector reto 29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97" name="Conector reto 29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98" name="Conector reto 29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9" name="Conector reto 29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0" name="Conector reto 29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01" name="Conector reto 30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02" name="Conector reto 30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3" name="Conector reto 30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04" name="Conector reto 30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05" name="Conector reto 30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6" name="Conector reto 30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07" name="Conector reto 30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08" name="Conector reto 30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9" name="Conector reto 30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0" name="Conector reto 30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11" name="Conector reto 31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12" name="Conector reto 31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3" name="Conector reto 31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14" name="Conector reto 31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15" name="Conector reto 31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6" name="Conector reto 31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17" name="Conector reto 316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18" name="Conector reto 31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9" name="Conector reto 31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20" name="Conector reto 319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21" name="Conector reto 32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22" name="Conector reto 32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323" name="Conector reto 322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324" name="Conector reto 323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325" name="Conector reto 324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326" name="Conector reto 325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27" name="Conector reto 326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28" name="Conector reto 32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29" name="Conector reto 32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30" name="Conector reto 329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1" name="Conector reto 33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32" name="Conector reto 33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333" name="Conector reto 332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334" name="Conector reto 333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335" name="Conector reto 334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336" name="Conector reto 335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337" name="Conector angulado 336"/>
        <xdr:cNvCxnSpPr/>
      </xdr:nvCxnSpPr>
      <xdr:spPr>
        <a:xfrm>
          <a:off x="9296400" y="586740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338" name="Conector reto 337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339" name="Conector reto 338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340" name="Conector reto 339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41" name="Conector reto 34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42" name="Conector reto 34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43" name="Conector reto 34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44" name="Conector reto 34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45" name="Conector reto 34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46" name="Conector reto 34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347" name="Conector reto 346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348" name="Conector reto 347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349" name="Conector reto 348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50" name="Conector reto 34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51" name="Conector reto 35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52" name="Conector reto 35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53" name="Conector reto 35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54" name="Conector reto 35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55" name="Conector reto 35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56" name="Conector reto 35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57" name="Conector reto 35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58" name="Conector reto 35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59" name="Conector reto 35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0" name="Conector reto 35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61" name="Conector reto 36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62" name="Conector reto 36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3" name="Conector reto 36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64" name="Conector reto 36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65" name="Conector reto 36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6" name="Conector reto 36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67" name="Conector reto 36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368" name="Conector reto 367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369" name="Conector reto 368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370" name="Conector reto 369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71" name="Conector reto 37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72" name="Conector reto 37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3" name="Conector reto 37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74" name="Conector reto 37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75" name="Conector reto 37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6" name="Conector reto 37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77" name="Conector reto 37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78" name="Conector reto 37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9" name="Conector reto 37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0" name="Conector reto 37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81" name="Conector reto 38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82" name="Conector reto 38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3" name="Conector reto 38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84" name="Conector reto 38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85" name="Conector reto 38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6" name="Conector reto 38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87" name="Conector reto 38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88" name="Conector reto 38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9" name="Conector reto 38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0" name="Conector reto 38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91" name="Conector reto 39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92" name="Conector reto 39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3" name="Conector reto 39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94" name="Conector reto 39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95" name="Conector reto 39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6" name="Conector reto 39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97" name="Conector reto 39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98" name="Conector reto 39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9" name="Conector reto 39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0" name="Conector reto 39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01" name="Conector reto 40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02" name="Conector reto 40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3" name="Conector reto 40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04" name="Conector reto 40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05" name="Conector reto 40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6" name="Conector reto 40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07" name="Conector reto 406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08" name="Conector reto 40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9" name="Conector reto 40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10" name="Conector reto 409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11" name="Conector reto 41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12" name="Conector reto 41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413" name="Conector reto 412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414" name="Conector reto 413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415" name="Conector reto 414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416" name="Conector reto 415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17" name="Conector reto 416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18" name="Conector reto 41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19" name="Conector reto 41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20" name="Conector reto 419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21" name="Conector reto 42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22" name="Conector reto 42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423" name="Conector reto 422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424" name="Conector reto 423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425" name="Conector reto 424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426" name="Conector reto 425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427" name="Conector angulado 426"/>
        <xdr:cNvCxnSpPr/>
      </xdr:nvCxnSpPr>
      <xdr:spPr>
        <a:xfrm>
          <a:off x="9296400" y="586740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2" name="Conector reto 1"/>
        <xdr:cNvCxnSpPr/>
      </xdr:nvCxnSpPr>
      <xdr:spPr>
        <a:xfrm>
          <a:off x="12277725" y="39052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3" name="Conector reto 2"/>
        <xdr:cNvCxnSpPr/>
      </xdr:nvCxnSpPr>
      <xdr:spPr>
        <a:xfrm>
          <a:off x="12297950" y="36564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4" name="Conector reto 3"/>
        <xdr:cNvCxnSpPr/>
      </xdr:nvCxnSpPr>
      <xdr:spPr>
        <a:xfrm flipH="1">
          <a:off x="12262233" y="36980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" name="Conector reto 4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" name="Conector reto 5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" name="Conector reto 6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" name="Conector reto 7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" name="Conector reto 8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" name="Conector reto 9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1" name="Conector reto 10"/>
        <xdr:cNvCxnSpPr/>
      </xdr:nvCxnSpPr>
      <xdr:spPr>
        <a:xfrm>
          <a:off x="7115175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2" name="Conector reto 11"/>
        <xdr:cNvCxnSpPr/>
      </xdr:nvCxnSpPr>
      <xdr:spPr>
        <a:xfrm>
          <a:off x="7115175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3" name="Conector reto 12"/>
        <xdr:cNvCxnSpPr/>
      </xdr:nvCxnSpPr>
      <xdr:spPr>
        <a:xfrm flipH="1">
          <a:off x="7115175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" name="Conector reto 13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" name="Conector reto 14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" name="Conector reto 15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" name="Conector reto 16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" name="Conector reto 17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" name="Conector reto 18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0" name="Conector reto 19"/>
        <xdr:cNvCxnSpPr/>
      </xdr:nvCxnSpPr>
      <xdr:spPr>
        <a:xfrm>
          <a:off x="7115175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21" name="Conector reto 20"/>
        <xdr:cNvCxnSpPr/>
      </xdr:nvCxnSpPr>
      <xdr:spPr>
        <a:xfrm>
          <a:off x="7115175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22" name="Conector reto 21"/>
        <xdr:cNvCxnSpPr/>
      </xdr:nvCxnSpPr>
      <xdr:spPr>
        <a:xfrm flipH="1">
          <a:off x="7115175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" name="Conector reto 22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" name="Conector reto 23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" name="Conector reto 24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" name="Conector reto 25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" name="Conector reto 26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" name="Conector reto 27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29" name="Conector reto 28"/>
        <xdr:cNvCxnSpPr/>
      </xdr:nvCxnSpPr>
      <xdr:spPr>
        <a:xfrm>
          <a:off x="7115175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30" name="Conector reto 29"/>
        <xdr:cNvCxnSpPr/>
      </xdr:nvCxnSpPr>
      <xdr:spPr>
        <a:xfrm>
          <a:off x="7115175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31" name="Conector reto 30"/>
        <xdr:cNvCxnSpPr/>
      </xdr:nvCxnSpPr>
      <xdr:spPr>
        <a:xfrm flipH="1">
          <a:off x="7115175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" name="Conector reto 31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" name="Conector reto 32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4" name="Conector reto 33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5" name="Conector reto 34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" name="Conector reto 35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" name="Conector reto 36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38" name="Conector reto 37"/>
        <xdr:cNvCxnSpPr/>
      </xdr:nvCxnSpPr>
      <xdr:spPr>
        <a:xfrm>
          <a:off x="7115175" y="6858000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39" name="Conector reto 38"/>
        <xdr:cNvCxnSpPr/>
      </xdr:nvCxnSpPr>
      <xdr:spPr>
        <a:xfrm>
          <a:off x="7115175" y="66091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40" name="Conector reto 39"/>
        <xdr:cNvCxnSpPr/>
      </xdr:nvCxnSpPr>
      <xdr:spPr>
        <a:xfrm flipH="1">
          <a:off x="7115175" y="6650831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1" name="Conector reto 40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2" name="Conector reto 41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3" name="Conector reto 42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4" name="Conector reto 43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5" name="Conector reto 44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6" name="Conector reto 45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7" name="Conector reto 46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8" name="Conector reto 47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9" name="Conector reto 48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0" name="Conector reto 49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1" name="Conector reto 50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2" name="Conector reto 51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3" name="Conector reto 52"/>
        <xdr:cNvCxnSpPr/>
      </xdr:nvCxnSpPr>
      <xdr:spPr>
        <a:xfrm>
          <a:off x="1445895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4" name="Conector reto 53"/>
        <xdr:cNvCxnSpPr/>
      </xdr:nvCxnSpPr>
      <xdr:spPr>
        <a:xfrm>
          <a:off x="1447917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5" name="Conector reto 54"/>
        <xdr:cNvCxnSpPr/>
      </xdr:nvCxnSpPr>
      <xdr:spPr>
        <a:xfrm flipH="1">
          <a:off x="1444345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6" name="Conector reto 55"/>
        <xdr:cNvCxnSpPr/>
      </xdr:nvCxnSpPr>
      <xdr:spPr>
        <a:xfrm>
          <a:off x="1445895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7" name="Conector reto 56"/>
        <xdr:cNvCxnSpPr/>
      </xdr:nvCxnSpPr>
      <xdr:spPr>
        <a:xfrm>
          <a:off x="1447917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8" name="Conector reto 57"/>
        <xdr:cNvCxnSpPr/>
      </xdr:nvCxnSpPr>
      <xdr:spPr>
        <a:xfrm flipH="1">
          <a:off x="1444345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59" name="Conector reto 58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60" name="Conector reto 59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61" name="Conector reto 60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2" name="Conector reto 6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3" name="Conector reto 6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4" name="Conector reto 6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5" name="Conector reto 6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6" name="Conector reto 6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7" name="Conector reto 6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68" name="Conector reto 67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69" name="Conector reto 68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70" name="Conector reto 69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1" name="Conector reto 7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2" name="Conector reto 7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3" name="Conector reto 7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4" name="Conector reto 7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5" name="Conector reto 7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6" name="Conector reto 7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77" name="Conector reto 76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78" name="Conector reto 77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79" name="Conector reto 78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0" name="Conector reto 7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1" name="Conector reto 8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2" name="Conector reto 8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3" name="Conector reto 8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4" name="Conector reto 8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5" name="Conector reto 8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86" name="Conector reto 85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87" name="Conector reto 86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88" name="Conector reto 87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9" name="Conector reto 8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0" name="Conector reto 8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1" name="Conector reto 9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2" name="Conector reto 9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3" name="Conector reto 9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4" name="Conector reto 9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5" name="Conector reto 9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6" name="Conector reto 9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7" name="Conector reto 9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8" name="Conector reto 9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9" name="Conector reto 9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0" name="Conector reto 9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1" name="Conector reto 10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2" name="Conector reto 10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3" name="Conector reto 10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4" name="Conector reto 10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5" name="Conector reto 10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6" name="Conector reto 10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07" name="Conector reto 106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08" name="Conector reto 107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09" name="Conector reto 108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0" name="Conector reto 10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1" name="Conector reto 11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2" name="Conector reto 11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3" name="Conector reto 11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4" name="Conector reto 11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5" name="Conector reto 11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116" name="Conector reto 115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117" name="Conector reto 116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118" name="Conector reto 117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9" name="Conector reto 11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0" name="Conector reto 11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1" name="Conector reto 12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2" name="Conector reto 12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3" name="Conector reto 12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4" name="Conector reto 12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25" name="Conector reto 124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26" name="Conector reto 125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27" name="Conector reto 126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8" name="Conector reto 12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9" name="Conector reto 12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0" name="Conector reto 12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1" name="Conector reto 13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2" name="Conector reto 13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3" name="Conector reto 13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4" name="Conector reto 13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5" name="Conector reto 13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6" name="Conector reto 13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7" name="Conector reto 13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8" name="Conector reto 13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9" name="Conector reto 13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0" name="Conector reto 13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1" name="Conector reto 14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2" name="Conector reto 14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3" name="Conector reto 14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4" name="Conector reto 14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5" name="Conector reto 14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46" name="Conector reto 145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47" name="Conector reto 146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48" name="Conector reto 147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9" name="Conector reto 14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0" name="Conector reto 14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51" name="Conector reto 15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52" name="Conector reto 15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3" name="Conector reto 15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54" name="Conector reto 15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55" name="Conector reto 15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6" name="Conector reto 15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57" name="Conector reto 15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58" name="Conector reto 15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9" name="Conector reto 15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0" name="Conector reto 15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61" name="Conector reto 16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62" name="Conector reto 16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3" name="Conector reto 16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64" name="Conector reto 16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65" name="Conector reto 16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6" name="Conector reto 16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67" name="Conector reto 16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68" name="Conector reto 16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9" name="Conector reto 16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0" name="Conector reto 16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71" name="Conector reto 17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72" name="Conector reto 17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3" name="Conector reto 17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74" name="Conector reto 17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75" name="Conector reto 17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6" name="Conector reto 17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77" name="Conector reto 17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78" name="Conector reto 17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9" name="Conector reto 17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0" name="Conector reto 17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81" name="Conector reto 18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82" name="Conector reto 18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3" name="Conector reto 18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84" name="Conector reto 18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185" name="Conector reto 184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6" name="Conector reto 18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87" name="Conector reto 18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188" name="Conector reto 187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9" name="Conector reto 18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0" name="Conector reto 18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191" name="Conector reto 190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192" name="Conector reto 191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193" name="Conector reto 192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194" name="Conector reto 193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195" name="Conector reto 194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96" name="Conector reto 19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7" name="Conector reto 19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198" name="Conector reto 197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99" name="Conector reto 19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00" name="Conector reto 19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201" name="Conector reto 200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202" name="Conector reto 201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203" name="Conector reto 202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204" name="Conector reto 203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205" name="Conector angulado 204"/>
        <xdr:cNvCxnSpPr/>
      </xdr:nvCxnSpPr>
      <xdr:spPr>
        <a:xfrm>
          <a:off x="9296400" y="586740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206" name="Conector reto 205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207" name="Conector reto 206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208" name="Conector reto 207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09" name="Conector reto 20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10" name="Conector reto 20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11" name="Conector reto 21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12" name="Conector reto 21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13" name="Conector reto 21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14" name="Conector reto 21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215" name="Conector reto 214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216" name="Conector reto 215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217" name="Conector reto 216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18" name="Conector reto 21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19" name="Conector reto 21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20" name="Conector reto 21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21" name="Conector reto 22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22" name="Conector reto 22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23" name="Conector reto 22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24" name="Conector reto 22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25" name="Conector reto 22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26" name="Conector reto 22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27" name="Conector reto 22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28" name="Conector reto 22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29" name="Conector reto 22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0" name="Conector reto 22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31" name="Conector reto 23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32" name="Conector reto 23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3" name="Conector reto 23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34" name="Conector reto 23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35" name="Conector reto 23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236" name="Conector reto 235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237" name="Conector reto 236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238" name="Conector reto 237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9" name="Conector reto 23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0" name="Conector reto 23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41" name="Conector reto 24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42" name="Conector reto 24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3" name="Conector reto 24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44" name="Conector reto 24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45" name="Conector reto 24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6" name="Conector reto 24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47" name="Conector reto 24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48" name="Conector reto 24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9" name="Conector reto 24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0" name="Conector reto 24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51" name="Conector reto 25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52" name="Conector reto 25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3" name="Conector reto 25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54" name="Conector reto 25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55" name="Conector reto 25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6" name="Conector reto 25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57" name="Conector reto 25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58" name="Conector reto 25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9" name="Conector reto 25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0" name="Conector reto 25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61" name="Conector reto 26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62" name="Conector reto 26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3" name="Conector reto 26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64" name="Conector reto 26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65" name="Conector reto 26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6" name="Conector reto 26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67" name="Conector reto 26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68" name="Conector reto 26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9" name="Conector reto 26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0" name="Conector reto 26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71" name="Conector reto 27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72" name="Conector reto 27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3" name="Conector reto 27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74" name="Conector reto 27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275" name="Conector reto 274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6" name="Conector reto 27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77" name="Conector reto 27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278" name="Conector reto 277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9" name="Conector reto 27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0" name="Conector reto 27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281" name="Conector reto 280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282" name="Conector reto 281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283" name="Conector reto 282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284" name="Conector reto 283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285" name="Conector reto 284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86" name="Conector reto 28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7" name="Conector reto 28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288" name="Conector reto 287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89" name="Conector reto 28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90" name="Conector reto 28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291" name="Conector reto 290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292" name="Conector reto 291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293" name="Conector reto 292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294" name="Conector reto 293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295" name="Conector angulado 294"/>
        <xdr:cNvCxnSpPr/>
      </xdr:nvCxnSpPr>
      <xdr:spPr>
        <a:xfrm>
          <a:off x="9296400" y="586740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96" name="Conector reto 295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297" name="Conector reto 296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298" name="Conector reto 297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9" name="Conector reto 29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0" name="Conector reto 29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01" name="Conector reto 30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02" name="Conector reto 30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3" name="Conector reto 30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04" name="Conector reto 30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305" name="Conector reto 304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306" name="Conector reto 305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307" name="Conector reto 306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08" name="Conector reto 30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9" name="Conector reto 30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0" name="Conector reto 30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11" name="Conector reto 31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12" name="Conector reto 31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3" name="Conector reto 31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314" name="Conector reto 313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315" name="Conector reto 314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316" name="Conector reto 315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17" name="Conector reto 31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18" name="Conector reto 31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9" name="Conector reto 31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0" name="Conector reto 31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21" name="Conector reto 32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22" name="Conector reto 32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323" name="Conector reto 322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324" name="Conector reto 323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325" name="Conector reto 324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6" name="Conector reto 32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27" name="Conector reto 32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28" name="Conector reto 32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9" name="Conector reto 32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0" name="Conector reto 32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31" name="Conector reto 33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32" name="Conector reto 33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3" name="Conector reto 33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34" name="Conector reto 33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35" name="Conector reto 33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6" name="Conector reto 33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37" name="Conector reto 33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38" name="Conector reto 33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9" name="Conector reto 33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40" name="Conector reto 33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41" name="Conector reto 34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42" name="Conector reto 34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43" name="Conector reto 34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344" name="Conector reto 343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345" name="Conector reto 344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346" name="Conector reto 345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47" name="Conector reto 34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48" name="Conector reto 34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49" name="Conector reto 34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50" name="Conector reto 34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51" name="Conector reto 35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52" name="Conector reto 35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353" name="Conector reto 352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354" name="Conector reto 353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355" name="Conector reto 354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56" name="Conector reto 35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57" name="Conector reto 35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58" name="Conector reto 35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59" name="Conector reto 35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0" name="Conector reto 35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61" name="Conector reto 36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362" name="Conector reto 361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363" name="Conector reto 362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364" name="Conector reto 363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65" name="Conector reto 36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6" name="Conector reto 36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67" name="Conector reto 36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68" name="Conector reto 36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9" name="Conector reto 36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0" name="Conector reto 36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71" name="Conector reto 37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72" name="Conector reto 37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3" name="Conector reto 37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74" name="Conector reto 37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75" name="Conector reto 37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6" name="Conector reto 37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77" name="Conector reto 37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78" name="Conector reto 37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9" name="Conector reto 37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0" name="Conector reto 37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81" name="Conector reto 38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82" name="Conector reto 38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383" name="Conector reto 382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384" name="Conector reto 383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385" name="Conector reto 384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6" name="Conector reto 38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87" name="Conector reto 38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88" name="Conector reto 38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9" name="Conector reto 38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0" name="Conector reto 38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91" name="Conector reto 39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92" name="Conector reto 39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3" name="Conector reto 39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94" name="Conector reto 39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95" name="Conector reto 39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6" name="Conector reto 39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97" name="Conector reto 39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98" name="Conector reto 39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9" name="Conector reto 39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0" name="Conector reto 39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01" name="Conector reto 40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02" name="Conector reto 40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3" name="Conector reto 40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04" name="Conector reto 40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05" name="Conector reto 40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6" name="Conector reto 40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07" name="Conector reto 40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08" name="Conector reto 40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9" name="Conector reto 40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10" name="Conector reto 40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11" name="Conector reto 41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12" name="Conector reto 41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13" name="Conector reto 41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14" name="Conector reto 41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15" name="Conector reto 41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16" name="Conector reto 41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17" name="Conector reto 41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18" name="Conector reto 41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19" name="Conector reto 41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20" name="Conector reto 41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21" name="Conector reto 42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22" name="Conector reto 421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23" name="Conector reto 42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24" name="Conector reto 42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25" name="Conector reto 424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26" name="Conector reto 42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27" name="Conector reto 42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428" name="Conector reto 427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429" name="Conector reto 428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430" name="Conector reto 429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431" name="Conector reto 430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32" name="Conector reto 431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33" name="Conector reto 43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34" name="Conector reto 43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35" name="Conector reto 434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36" name="Conector reto 43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37" name="Conector reto 43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438" name="Conector reto 437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439" name="Conector reto 438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440" name="Conector reto 439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441" name="Conector reto 440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442" name="Conector angulado 441"/>
        <xdr:cNvCxnSpPr/>
      </xdr:nvCxnSpPr>
      <xdr:spPr>
        <a:xfrm>
          <a:off x="9296400" y="586740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443" name="Conector reto 442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444" name="Conector reto 443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445" name="Conector reto 444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46" name="Conector reto 44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47" name="Conector reto 44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48" name="Conector reto 44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49" name="Conector reto 44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50" name="Conector reto 44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51" name="Conector reto 45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452" name="Conector reto 451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453" name="Conector reto 452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454" name="Conector reto 453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55" name="Conector reto 45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56" name="Conector reto 45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57" name="Conector reto 45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58" name="Conector reto 45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59" name="Conector reto 45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60" name="Conector reto 45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61" name="Conector reto 46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62" name="Conector reto 46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63" name="Conector reto 46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64" name="Conector reto 46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65" name="Conector reto 46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66" name="Conector reto 46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67" name="Conector reto 46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68" name="Conector reto 46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69" name="Conector reto 46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70" name="Conector reto 46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71" name="Conector reto 47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72" name="Conector reto 47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473" name="Conector reto 472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474" name="Conector reto 473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475" name="Conector reto 474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76" name="Conector reto 47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77" name="Conector reto 47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78" name="Conector reto 47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79" name="Conector reto 47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80" name="Conector reto 47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81" name="Conector reto 48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82" name="Conector reto 48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83" name="Conector reto 48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84" name="Conector reto 48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85" name="Conector reto 48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86" name="Conector reto 48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87" name="Conector reto 48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88" name="Conector reto 48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89" name="Conector reto 48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90" name="Conector reto 48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91" name="Conector reto 49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92" name="Conector reto 49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93" name="Conector reto 49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94" name="Conector reto 49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95" name="Conector reto 49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96" name="Conector reto 49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97" name="Conector reto 49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98" name="Conector reto 49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99" name="Conector reto 49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00" name="Conector reto 49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01" name="Conector reto 50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02" name="Conector reto 50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03" name="Conector reto 50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04" name="Conector reto 50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05" name="Conector reto 50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06" name="Conector reto 50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07" name="Conector reto 50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08" name="Conector reto 50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09" name="Conector reto 50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10" name="Conector reto 50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11" name="Conector reto 51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512" name="Conector reto 511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13" name="Conector reto 51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14" name="Conector reto 51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515" name="Conector reto 514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16" name="Conector reto 51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17" name="Conector reto 51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518" name="Conector reto 517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519" name="Conector reto 518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520" name="Conector reto 519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521" name="Conector reto 520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522" name="Conector reto 521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23" name="Conector reto 52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24" name="Conector reto 52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525" name="Conector reto 524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26" name="Conector reto 52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27" name="Conector reto 52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528" name="Conector reto 527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529" name="Conector reto 528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530" name="Conector reto 529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531" name="Conector reto 530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532" name="Conector angulado 531"/>
        <xdr:cNvCxnSpPr/>
      </xdr:nvCxnSpPr>
      <xdr:spPr>
        <a:xfrm>
          <a:off x="9296400" y="586740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533" name="Conector reto 532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534" name="Conector reto 533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535" name="Conector reto 534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36" name="Conector reto 53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37" name="Conector reto 53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38" name="Conector reto 53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39" name="Conector reto 53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40" name="Conector reto 53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41" name="Conector reto 54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542" name="Conector reto 541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543" name="Conector reto 542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544" name="Conector reto 543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45" name="Conector reto 54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46" name="Conector reto 54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47" name="Conector reto 54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48" name="Conector reto 54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49" name="Conector reto 54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50" name="Conector reto 54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551" name="Conector reto 550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552" name="Conector reto 551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553" name="Conector reto 552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54" name="Conector reto 55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55" name="Conector reto 55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56" name="Conector reto 55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57" name="Conector reto 55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58" name="Conector reto 55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59" name="Conector reto 55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60" name="Conector reto 55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61" name="Conector reto 56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62" name="Conector reto 56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63" name="Conector reto 56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64" name="Conector reto 56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65" name="Conector reto 56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66" name="Conector reto 56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67" name="Conector reto 56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68" name="Conector reto 56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69" name="Conector reto 56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70" name="Conector reto 56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71" name="Conector reto 57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572" name="Conector reto 571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573" name="Conector reto 572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574" name="Conector reto 573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75" name="Conector reto 57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76" name="Conector reto 57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77" name="Conector reto 57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78" name="Conector reto 57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79" name="Conector reto 57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80" name="Conector reto 57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81" name="Conector reto 58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82" name="Conector reto 58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83" name="Conector reto 58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84" name="Conector reto 58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85" name="Conector reto 58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86" name="Conector reto 58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87" name="Conector reto 58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88" name="Conector reto 58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89" name="Conector reto 58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90" name="Conector reto 58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91" name="Conector reto 59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92" name="Conector reto 59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93" name="Conector reto 59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94" name="Conector reto 59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95" name="Conector reto 59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96" name="Conector reto 59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97" name="Conector reto 59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98" name="Conector reto 59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99" name="Conector reto 59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00" name="Conector reto 59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01" name="Conector reto 60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02" name="Conector reto 60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03" name="Conector reto 60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04" name="Conector reto 60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05" name="Conector reto 60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06" name="Conector reto 60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07" name="Conector reto 60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08" name="Conector reto 60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09" name="Conector reto 60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10" name="Conector reto 60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611" name="Conector reto 610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12" name="Conector reto 61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13" name="Conector reto 61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614" name="Conector reto 613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15" name="Conector reto 61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16" name="Conector reto 61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617" name="Conector reto 616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618" name="Conector reto 617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619" name="Conector reto 618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620" name="Conector reto 619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621" name="Conector reto 620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22" name="Conector reto 62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23" name="Conector reto 62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624" name="Conector reto 623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25" name="Conector reto 62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26" name="Conector reto 62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627" name="Conector reto 626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628" name="Conector reto 627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629" name="Conector reto 628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630" name="Conector reto 629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631" name="Conector angulado 630"/>
        <xdr:cNvCxnSpPr/>
      </xdr:nvCxnSpPr>
      <xdr:spPr>
        <a:xfrm>
          <a:off x="9296400" y="586740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632" name="Conector reto 631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633" name="Conector reto 632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634" name="Conector reto 633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35" name="Conector reto 63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36" name="Conector reto 63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37" name="Conector reto 63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38" name="Conector reto 63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39" name="Conector reto 63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40" name="Conector reto 63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641" name="Conector reto 640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642" name="Conector reto 641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643" name="Conector reto 642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44" name="Conector reto 64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45" name="Conector reto 64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46" name="Conector reto 64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47" name="Conector reto 64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48" name="Conector reto 64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49" name="Conector reto 64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50" name="Conector reto 64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51" name="Conector reto 65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52" name="Conector reto 65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53" name="Conector reto 65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54" name="Conector reto 65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55" name="Conector reto 65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56" name="Conector reto 65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57" name="Conector reto 65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58" name="Conector reto 65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59" name="Conector reto 65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60" name="Conector reto 65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61" name="Conector reto 66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662" name="Conector reto 661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663" name="Conector reto 662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664" name="Conector reto 663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65" name="Conector reto 66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66" name="Conector reto 66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67" name="Conector reto 66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68" name="Conector reto 66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69" name="Conector reto 66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70" name="Conector reto 66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71" name="Conector reto 67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72" name="Conector reto 67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73" name="Conector reto 67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74" name="Conector reto 67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75" name="Conector reto 67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76" name="Conector reto 67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77" name="Conector reto 67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78" name="Conector reto 67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79" name="Conector reto 67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80" name="Conector reto 67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81" name="Conector reto 68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82" name="Conector reto 68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83" name="Conector reto 68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84" name="Conector reto 68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85" name="Conector reto 68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86" name="Conector reto 68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87" name="Conector reto 68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88" name="Conector reto 68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89" name="Conector reto 68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90" name="Conector reto 68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91" name="Conector reto 69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92" name="Conector reto 69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93" name="Conector reto 69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94" name="Conector reto 69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95" name="Conector reto 69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96" name="Conector reto 69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97" name="Conector reto 69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98" name="Conector reto 69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99" name="Conector reto 69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00" name="Conector reto 69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701" name="Conector reto 700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02" name="Conector reto 70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03" name="Conector reto 70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704" name="Conector reto 703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05" name="Conector reto 70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06" name="Conector reto 70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707" name="Conector reto 706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708" name="Conector reto 707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709" name="Conector reto 708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710" name="Conector reto 709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711" name="Conector reto 710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12" name="Conector reto 71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13" name="Conector reto 71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714" name="Conector reto 713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15" name="Conector reto 71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16" name="Conector reto 71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717" name="Conector reto 716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718" name="Conector reto 717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719" name="Conector reto 718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720" name="Conector reto 719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721" name="Conector angulado 720"/>
        <xdr:cNvCxnSpPr/>
      </xdr:nvCxnSpPr>
      <xdr:spPr>
        <a:xfrm>
          <a:off x="9296400" y="586740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" name="Conector reto 1"/>
        <xdr:cNvCxnSpPr/>
      </xdr:nvCxnSpPr>
      <xdr:spPr>
        <a:xfrm>
          <a:off x="12277725" y="41148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3" name="Conector reto 2"/>
        <xdr:cNvCxnSpPr/>
      </xdr:nvCxnSpPr>
      <xdr:spPr>
        <a:xfrm>
          <a:off x="12297950" y="38659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4" name="Conector reto 3"/>
        <xdr:cNvCxnSpPr/>
      </xdr:nvCxnSpPr>
      <xdr:spPr>
        <a:xfrm flipH="1">
          <a:off x="12262233" y="39076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" name="Conector reto 4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" name="Conector reto 5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" name="Conector reto 6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" name="Conector reto 7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" name="Conector reto 8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" name="Conector reto 9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11" name="Conector reto 10"/>
        <xdr:cNvCxnSpPr/>
      </xdr:nvCxnSpPr>
      <xdr:spPr>
        <a:xfrm>
          <a:off x="7115175" y="41052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12" name="Conector reto 11"/>
        <xdr:cNvCxnSpPr/>
      </xdr:nvCxnSpPr>
      <xdr:spPr>
        <a:xfrm>
          <a:off x="7115175" y="38564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13" name="Conector reto 12"/>
        <xdr:cNvCxnSpPr/>
      </xdr:nvCxnSpPr>
      <xdr:spPr>
        <a:xfrm flipH="1">
          <a:off x="7115175" y="38981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" name="Conector reto 13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" name="Conector reto 14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" name="Conector reto 15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" name="Conector reto 16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" name="Conector reto 17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" name="Conector reto 18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0" name="Conector reto 19"/>
        <xdr:cNvCxnSpPr/>
      </xdr:nvCxnSpPr>
      <xdr:spPr>
        <a:xfrm>
          <a:off x="7115175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21" name="Conector reto 20"/>
        <xdr:cNvCxnSpPr/>
      </xdr:nvCxnSpPr>
      <xdr:spPr>
        <a:xfrm>
          <a:off x="7115175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22" name="Conector reto 21"/>
        <xdr:cNvCxnSpPr/>
      </xdr:nvCxnSpPr>
      <xdr:spPr>
        <a:xfrm flipH="1">
          <a:off x="7115175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" name="Conector reto 22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" name="Conector reto 23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" name="Conector reto 24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" name="Conector reto 25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" name="Conector reto 26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" name="Conector reto 27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9" name="Conector reto 28"/>
        <xdr:cNvCxnSpPr/>
      </xdr:nvCxnSpPr>
      <xdr:spPr>
        <a:xfrm>
          <a:off x="7115175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30" name="Conector reto 29"/>
        <xdr:cNvCxnSpPr/>
      </xdr:nvCxnSpPr>
      <xdr:spPr>
        <a:xfrm>
          <a:off x="7115175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31" name="Conector reto 30"/>
        <xdr:cNvCxnSpPr/>
      </xdr:nvCxnSpPr>
      <xdr:spPr>
        <a:xfrm flipH="1">
          <a:off x="7115175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" name="Conector reto 31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" name="Conector reto 32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4" name="Conector reto 33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5" name="Conector reto 34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" name="Conector reto 35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" name="Conector reto 36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38" name="Conector reto 37"/>
        <xdr:cNvCxnSpPr/>
      </xdr:nvCxnSpPr>
      <xdr:spPr>
        <a:xfrm>
          <a:off x="7115175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39" name="Conector reto 38"/>
        <xdr:cNvCxnSpPr/>
      </xdr:nvCxnSpPr>
      <xdr:spPr>
        <a:xfrm>
          <a:off x="7115175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40" name="Conector reto 39"/>
        <xdr:cNvCxnSpPr/>
      </xdr:nvCxnSpPr>
      <xdr:spPr>
        <a:xfrm flipH="1">
          <a:off x="7115175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1" name="Conector reto 40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2" name="Conector reto 41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3" name="Conector reto 42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4" name="Conector reto 43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5" name="Conector reto 44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6" name="Conector reto 45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47" name="Conector reto 46"/>
        <xdr:cNvCxnSpPr/>
      </xdr:nvCxnSpPr>
      <xdr:spPr>
        <a:xfrm>
          <a:off x="7115175" y="6858000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48" name="Conector reto 47"/>
        <xdr:cNvCxnSpPr/>
      </xdr:nvCxnSpPr>
      <xdr:spPr>
        <a:xfrm>
          <a:off x="7115175" y="66091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49" name="Conector reto 48"/>
        <xdr:cNvCxnSpPr/>
      </xdr:nvCxnSpPr>
      <xdr:spPr>
        <a:xfrm flipH="1">
          <a:off x="7115175" y="6650831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0" name="Conector reto 49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1" name="Conector reto 50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2" name="Conector reto 51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3" name="Conector reto 52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4" name="Conector reto 53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5" name="Conector reto 54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6" name="Conector reto 55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7" name="Conector reto 56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8" name="Conector reto 57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9" name="Conector reto 58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0" name="Conector reto 59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1" name="Conector reto 60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2" name="Conector reto 61"/>
        <xdr:cNvCxnSpPr/>
      </xdr:nvCxnSpPr>
      <xdr:spPr>
        <a:xfrm>
          <a:off x="1445895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3" name="Conector reto 62"/>
        <xdr:cNvCxnSpPr/>
      </xdr:nvCxnSpPr>
      <xdr:spPr>
        <a:xfrm>
          <a:off x="1447917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4" name="Conector reto 63"/>
        <xdr:cNvCxnSpPr/>
      </xdr:nvCxnSpPr>
      <xdr:spPr>
        <a:xfrm flipH="1">
          <a:off x="1444345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5" name="Conector reto 64"/>
        <xdr:cNvCxnSpPr/>
      </xdr:nvCxnSpPr>
      <xdr:spPr>
        <a:xfrm>
          <a:off x="1445895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6" name="Conector reto 65"/>
        <xdr:cNvCxnSpPr/>
      </xdr:nvCxnSpPr>
      <xdr:spPr>
        <a:xfrm>
          <a:off x="1447917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7" name="Conector reto 66"/>
        <xdr:cNvCxnSpPr/>
      </xdr:nvCxnSpPr>
      <xdr:spPr>
        <a:xfrm flipH="1">
          <a:off x="1444345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68" name="Conector reto 67"/>
        <xdr:cNvCxnSpPr/>
      </xdr:nvCxnSpPr>
      <xdr:spPr>
        <a:xfrm>
          <a:off x="7010400" y="41243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69" name="Conector reto 68"/>
        <xdr:cNvCxnSpPr/>
      </xdr:nvCxnSpPr>
      <xdr:spPr>
        <a:xfrm>
          <a:off x="7010400" y="38754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70" name="Conector reto 69"/>
        <xdr:cNvCxnSpPr/>
      </xdr:nvCxnSpPr>
      <xdr:spPr>
        <a:xfrm flipH="1">
          <a:off x="7010400" y="39171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1" name="Conector reto 7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2" name="Conector reto 7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3" name="Conector reto 7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4" name="Conector reto 7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5" name="Conector reto 7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6" name="Conector reto 7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77" name="Conector reto 76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78" name="Conector reto 77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79" name="Conector reto 78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0" name="Conector reto 7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1" name="Conector reto 8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2" name="Conector reto 8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3" name="Conector reto 8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4" name="Conector reto 8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5" name="Conector reto 8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86" name="Conector reto 85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87" name="Conector reto 86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88" name="Conector reto 87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9" name="Conector reto 8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0" name="Conector reto 8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1" name="Conector reto 9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2" name="Conector reto 9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3" name="Conector reto 9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4" name="Conector reto 9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95" name="Conector reto 94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96" name="Conector reto 95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97" name="Conector reto 96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8" name="Conector reto 9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9" name="Conector reto 9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0" name="Conector reto 9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1" name="Conector reto 10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2" name="Conector reto 10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3" name="Conector reto 10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04" name="Conector reto 103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05" name="Conector reto 104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06" name="Conector reto 105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7" name="Conector reto 10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8" name="Conector reto 10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9" name="Conector reto 10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0" name="Conector reto 10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1" name="Conector reto 11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2" name="Conector reto 11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3" name="Conector reto 11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4" name="Conector reto 11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5" name="Conector reto 11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6" name="Conector reto 11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7" name="Conector reto 11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8" name="Conector reto 11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9" name="Conector reto 11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0" name="Conector reto 11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1" name="Conector reto 12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2" name="Conector reto 12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3" name="Conector reto 12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4" name="Conector reto 12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25" name="Conector reto 124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26" name="Conector reto 125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27" name="Conector reto 126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8" name="Conector reto 12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9" name="Conector reto 12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0" name="Conector reto 12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1" name="Conector reto 13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2" name="Conector reto 13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3" name="Conector reto 13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34" name="Conector reto 133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35" name="Conector reto 134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36" name="Conector reto 135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7" name="Conector reto 13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8" name="Conector reto 13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9" name="Conector reto 13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0" name="Conector reto 13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1" name="Conector reto 14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2" name="Conector reto 14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143" name="Conector reto 142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144" name="Conector reto 143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145" name="Conector reto 144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6" name="Conector reto 14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7" name="Conector reto 14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8" name="Conector reto 14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9" name="Conector reto 14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0" name="Conector reto 14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51" name="Conector reto 15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52" name="Conector reto 151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53" name="Conector reto 152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54" name="Conector reto 153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55" name="Conector reto 15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6" name="Conector reto 15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57" name="Conector reto 15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58" name="Conector reto 15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9" name="Conector reto 15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0" name="Conector reto 15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61" name="Conector reto 16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62" name="Conector reto 16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3" name="Conector reto 16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64" name="Conector reto 16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65" name="Conector reto 16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6" name="Conector reto 16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67" name="Conector reto 16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68" name="Conector reto 16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9" name="Conector reto 16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0" name="Conector reto 16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71" name="Conector reto 17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72" name="Conector reto 17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73" name="Conector reto 172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74" name="Conector reto 173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75" name="Conector reto 174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6" name="Conector reto 17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77" name="Conector reto 17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78" name="Conector reto 17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9" name="Conector reto 17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0" name="Conector reto 17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81" name="Conector reto 18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182" name="Conector reto 181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183" name="Conector reto 182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184" name="Conector reto 183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85" name="Conector reto 18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6" name="Conector reto 18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87" name="Conector reto 18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88" name="Conector reto 18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9" name="Conector reto 18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0" name="Conector reto 18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91" name="Conector reto 190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92" name="Conector reto 191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93" name="Conector reto 192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94" name="Conector reto 19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95" name="Conector reto 19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6" name="Conector reto 19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97" name="Conector reto 19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98" name="Conector reto 19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9" name="Conector reto 19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00" name="Conector reto 19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01" name="Conector reto 20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02" name="Conector reto 20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03" name="Conector reto 20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04" name="Conector reto 20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05" name="Conector reto 20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06" name="Conector reto 20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07" name="Conector reto 20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08" name="Conector reto 20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09" name="Conector reto 20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10" name="Conector reto 20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11" name="Conector reto 21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212" name="Conector reto 211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213" name="Conector reto 212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214" name="Conector reto 213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15" name="Conector reto 21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16" name="Conector reto 21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17" name="Conector reto 21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18" name="Conector reto 21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19" name="Conector reto 21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20" name="Conector reto 21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21" name="Conector reto 22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22" name="Conector reto 22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23" name="Conector reto 22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24" name="Conector reto 22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25" name="Conector reto 22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26" name="Conector reto 22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27" name="Conector reto 22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28" name="Conector reto 22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29" name="Conector reto 22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0" name="Conector reto 22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31" name="Conector reto 23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32" name="Conector reto 23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3" name="Conector reto 23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34" name="Conector reto 23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35" name="Conector reto 23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6" name="Conector reto 23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37" name="Conector reto 23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38" name="Conector reto 23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9" name="Conector reto 23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0" name="Conector reto 23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41" name="Conector reto 24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42" name="Conector reto 24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3" name="Conector reto 24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44" name="Conector reto 24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45" name="Conector reto 24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6" name="Conector reto 24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47" name="Conector reto 24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48" name="Conector reto 24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9" name="Conector reto 24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0" name="Conector reto 24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251" name="Conector reto 250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52" name="Conector reto 25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3" name="Conector reto 25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254" name="Conector reto 253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55" name="Conector reto 25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6" name="Conector reto 25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257" name="Conector reto 256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258" name="Conector reto 257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259" name="Conector reto 258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260" name="Conector reto 259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261" name="Conector reto 260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62" name="Conector reto 26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63" name="Conector reto 26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264" name="Conector reto 263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65" name="Conector reto 26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66" name="Conector reto 26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267" name="Conector reto 266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268" name="Conector reto 267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269" name="Conector reto 268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270" name="Conector reto 269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271" name="Conector angulado 270"/>
        <xdr:cNvCxnSpPr/>
      </xdr:nvCxnSpPr>
      <xdr:spPr>
        <a:xfrm>
          <a:off x="9296400" y="586740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272" name="Conector reto 271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273" name="Conector reto 272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274" name="Conector reto 273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75" name="Conector reto 27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6" name="Conector reto 27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77" name="Conector reto 27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78" name="Conector reto 27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9" name="Conector reto 27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0" name="Conector reto 27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281" name="Conector reto 280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282" name="Conector reto 281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283" name="Conector reto 282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84" name="Conector reto 28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85" name="Conector reto 28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6" name="Conector reto 28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87" name="Conector reto 28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88" name="Conector reto 28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9" name="Conector reto 28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0" name="Conector reto 28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91" name="Conector reto 29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92" name="Conector reto 29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3" name="Conector reto 29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94" name="Conector reto 29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95" name="Conector reto 29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6" name="Conector reto 29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97" name="Conector reto 29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98" name="Conector reto 29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9" name="Conector reto 29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0" name="Conector reto 29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01" name="Conector reto 30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302" name="Conector reto 301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303" name="Conector reto 302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304" name="Conector reto 303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05" name="Conector reto 30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6" name="Conector reto 30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07" name="Conector reto 30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08" name="Conector reto 30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9" name="Conector reto 30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0" name="Conector reto 30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11" name="Conector reto 31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12" name="Conector reto 31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3" name="Conector reto 31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14" name="Conector reto 31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15" name="Conector reto 31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6" name="Conector reto 31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17" name="Conector reto 31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18" name="Conector reto 31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9" name="Conector reto 31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0" name="Conector reto 31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21" name="Conector reto 32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22" name="Conector reto 32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3" name="Conector reto 32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24" name="Conector reto 32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25" name="Conector reto 32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6" name="Conector reto 32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27" name="Conector reto 32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28" name="Conector reto 32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9" name="Conector reto 32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0" name="Conector reto 32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31" name="Conector reto 33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32" name="Conector reto 33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3" name="Conector reto 33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34" name="Conector reto 33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35" name="Conector reto 33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6" name="Conector reto 33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37" name="Conector reto 33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38" name="Conector reto 33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9" name="Conector reto 33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40" name="Conector reto 33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41" name="Conector reto 340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42" name="Conector reto 34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43" name="Conector reto 34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44" name="Conector reto 343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45" name="Conector reto 34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46" name="Conector reto 34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347" name="Conector reto 346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348" name="Conector reto 347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349" name="Conector reto 348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350" name="Conector reto 349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51" name="Conector reto 350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52" name="Conector reto 35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53" name="Conector reto 35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54" name="Conector reto 353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55" name="Conector reto 35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56" name="Conector reto 35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357" name="Conector reto 356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358" name="Conector reto 357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359" name="Conector reto 358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360" name="Conector reto 359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361" name="Conector angulado 360"/>
        <xdr:cNvCxnSpPr/>
      </xdr:nvCxnSpPr>
      <xdr:spPr>
        <a:xfrm>
          <a:off x="9296400" y="586740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362" name="Conector reto 361"/>
        <xdr:cNvCxnSpPr/>
      </xdr:nvCxnSpPr>
      <xdr:spPr>
        <a:xfrm>
          <a:off x="7010400" y="41243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363" name="Conector reto 362"/>
        <xdr:cNvCxnSpPr/>
      </xdr:nvCxnSpPr>
      <xdr:spPr>
        <a:xfrm>
          <a:off x="7010400" y="38754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364" name="Conector reto 363"/>
        <xdr:cNvCxnSpPr/>
      </xdr:nvCxnSpPr>
      <xdr:spPr>
        <a:xfrm flipH="1">
          <a:off x="7010400" y="39171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65" name="Conector reto 36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6" name="Conector reto 36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67" name="Conector reto 36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68" name="Conector reto 36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9" name="Conector reto 36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0" name="Conector reto 36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371" name="Conector reto 370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372" name="Conector reto 371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373" name="Conector reto 372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74" name="Conector reto 37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75" name="Conector reto 37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6" name="Conector reto 37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77" name="Conector reto 37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78" name="Conector reto 37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9" name="Conector reto 37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380" name="Conector reto 379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381" name="Conector reto 380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382" name="Conector reto 381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3" name="Conector reto 38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84" name="Conector reto 38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85" name="Conector reto 38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6" name="Conector reto 38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87" name="Conector reto 38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88" name="Conector reto 38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389" name="Conector reto 388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390" name="Conector reto 389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391" name="Conector reto 390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92" name="Conector reto 39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3" name="Conector reto 39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94" name="Conector reto 39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95" name="Conector reto 39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6" name="Conector reto 39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97" name="Conector reto 39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398" name="Conector reto 397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399" name="Conector reto 398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400" name="Conector reto 399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01" name="Conector reto 40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02" name="Conector reto 40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3" name="Conector reto 40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04" name="Conector reto 40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05" name="Conector reto 40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6" name="Conector reto 40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07" name="Conector reto 40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08" name="Conector reto 40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9" name="Conector reto 40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10" name="Conector reto 40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11" name="Conector reto 41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12" name="Conector reto 41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13" name="Conector reto 41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14" name="Conector reto 41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15" name="Conector reto 41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16" name="Conector reto 41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17" name="Conector reto 41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18" name="Conector reto 41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419" name="Conector reto 418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420" name="Conector reto 419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421" name="Conector reto 420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22" name="Conector reto 42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23" name="Conector reto 42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24" name="Conector reto 42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25" name="Conector reto 42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26" name="Conector reto 42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27" name="Conector reto 42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428" name="Conector reto 427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429" name="Conector reto 428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430" name="Conector reto 429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31" name="Conector reto 43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32" name="Conector reto 43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33" name="Conector reto 43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34" name="Conector reto 43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35" name="Conector reto 43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36" name="Conector reto 43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437" name="Conector reto 436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438" name="Conector reto 437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439" name="Conector reto 438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40" name="Conector reto 43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41" name="Conector reto 44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42" name="Conector reto 44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43" name="Conector reto 44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44" name="Conector reto 44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45" name="Conector reto 44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446" name="Conector reto 445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447" name="Conector reto 446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448" name="Conector reto 447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49" name="Conector reto 44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50" name="Conector reto 44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51" name="Conector reto 45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52" name="Conector reto 45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53" name="Conector reto 45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54" name="Conector reto 45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55" name="Conector reto 45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56" name="Conector reto 45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57" name="Conector reto 45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58" name="Conector reto 45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59" name="Conector reto 45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60" name="Conector reto 45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61" name="Conector reto 46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62" name="Conector reto 46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63" name="Conector reto 46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64" name="Conector reto 46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65" name="Conector reto 46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66" name="Conector reto 46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467" name="Conector reto 466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468" name="Conector reto 467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469" name="Conector reto 468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70" name="Conector reto 46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71" name="Conector reto 47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72" name="Conector reto 47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73" name="Conector reto 47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74" name="Conector reto 47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75" name="Conector reto 47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476" name="Conector reto 475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477" name="Conector reto 476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478" name="Conector reto 477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79" name="Conector reto 47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80" name="Conector reto 47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81" name="Conector reto 48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82" name="Conector reto 48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83" name="Conector reto 48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84" name="Conector reto 48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485" name="Conector reto 484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486" name="Conector reto 485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487" name="Conector reto 486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88" name="Conector reto 48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89" name="Conector reto 48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90" name="Conector reto 48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91" name="Conector reto 49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92" name="Conector reto 49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93" name="Conector reto 49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94" name="Conector reto 49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95" name="Conector reto 49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96" name="Conector reto 49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97" name="Conector reto 49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98" name="Conector reto 49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99" name="Conector reto 49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00" name="Conector reto 49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01" name="Conector reto 50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02" name="Conector reto 50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03" name="Conector reto 50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04" name="Conector reto 50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05" name="Conector reto 50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506" name="Conector reto 505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507" name="Conector reto 506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508" name="Conector reto 507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09" name="Conector reto 50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10" name="Conector reto 50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11" name="Conector reto 51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12" name="Conector reto 51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13" name="Conector reto 51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14" name="Conector reto 51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15" name="Conector reto 51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16" name="Conector reto 51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17" name="Conector reto 51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18" name="Conector reto 51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19" name="Conector reto 51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20" name="Conector reto 51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21" name="Conector reto 52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22" name="Conector reto 52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23" name="Conector reto 52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24" name="Conector reto 52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25" name="Conector reto 52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26" name="Conector reto 52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27" name="Conector reto 52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28" name="Conector reto 52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29" name="Conector reto 52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30" name="Conector reto 52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31" name="Conector reto 53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32" name="Conector reto 53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33" name="Conector reto 53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34" name="Conector reto 53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35" name="Conector reto 53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36" name="Conector reto 53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37" name="Conector reto 53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38" name="Conector reto 53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39" name="Conector reto 53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40" name="Conector reto 53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41" name="Conector reto 54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42" name="Conector reto 54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43" name="Conector reto 54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44" name="Conector reto 54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545" name="Conector reto 544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46" name="Conector reto 54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47" name="Conector reto 54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548" name="Conector reto 547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49" name="Conector reto 54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50" name="Conector reto 54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551" name="Conector reto 550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552" name="Conector reto 551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553" name="Conector reto 552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554" name="Conector reto 553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555" name="Conector reto 554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56" name="Conector reto 55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57" name="Conector reto 55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558" name="Conector reto 557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59" name="Conector reto 55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60" name="Conector reto 55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561" name="Conector reto 560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562" name="Conector reto 561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563" name="Conector reto 562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564" name="Conector reto 563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565" name="Conector angulado 564"/>
        <xdr:cNvCxnSpPr/>
      </xdr:nvCxnSpPr>
      <xdr:spPr>
        <a:xfrm>
          <a:off x="9296400" y="586740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566" name="Conector reto 565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567" name="Conector reto 566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568" name="Conector reto 567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69" name="Conector reto 56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70" name="Conector reto 56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71" name="Conector reto 57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72" name="Conector reto 57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73" name="Conector reto 57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74" name="Conector reto 57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575" name="Conector reto 574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576" name="Conector reto 575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577" name="Conector reto 576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78" name="Conector reto 57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79" name="Conector reto 57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80" name="Conector reto 57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81" name="Conector reto 58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82" name="Conector reto 58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83" name="Conector reto 58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84" name="Conector reto 58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85" name="Conector reto 58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86" name="Conector reto 58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87" name="Conector reto 58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88" name="Conector reto 58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89" name="Conector reto 58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90" name="Conector reto 58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91" name="Conector reto 59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92" name="Conector reto 59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93" name="Conector reto 59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94" name="Conector reto 59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95" name="Conector reto 59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596" name="Conector reto 595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597" name="Conector reto 596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598" name="Conector reto 597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99" name="Conector reto 59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00" name="Conector reto 59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01" name="Conector reto 60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02" name="Conector reto 60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03" name="Conector reto 60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04" name="Conector reto 60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05" name="Conector reto 60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06" name="Conector reto 60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07" name="Conector reto 60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08" name="Conector reto 60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09" name="Conector reto 60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10" name="Conector reto 60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11" name="Conector reto 61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12" name="Conector reto 61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13" name="Conector reto 61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14" name="Conector reto 61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15" name="Conector reto 61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16" name="Conector reto 61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17" name="Conector reto 61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18" name="Conector reto 61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19" name="Conector reto 61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20" name="Conector reto 61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21" name="Conector reto 62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22" name="Conector reto 62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23" name="Conector reto 62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24" name="Conector reto 62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25" name="Conector reto 62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26" name="Conector reto 62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27" name="Conector reto 62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28" name="Conector reto 62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29" name="Conector reto 62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30" name="Conector reto 62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31" name="Conector reto 63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32" name="Conector reto 63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33" name="Conector reto 63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34" name="Conector reto 63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635" name="Conector reto 634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36" name="Conector reto 63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37" name="Conector reto 63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638" name="Conector reto 637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39" name="Conector reto 63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40" name="Conector reto 63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641" name="Conector reto 640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642" name="Conector reto 641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643" name="Conector reto 642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644" name="Conector reto 643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645" name="Conector reto 644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46" name="Conector reto 64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47" name="Conector reto 64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648" name="Conector reto 647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49" name="Conector reto 64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50" name="Conector reto 64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651" name="Conector reto 650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652" name="Conector reto 651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653" name="Conector reto 652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654" name="Conector reto 653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655" name="Conector angulado 654"/>
        <xdr:cNvCxnSpPr/>
      </xdr:nvCxnSpPr>
      <xdr:spPr>
        <a:xfrm>
          <a:off x="9296400" y="586740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656" name="Conector reto 655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657" name="Conector reto 656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658" name="Conector reto 657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59" name="Conector reto 65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60" name="Conector reto 65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61" name="Conector reto 66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62" name="Conector reto 66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63" name="Conector reto 66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64" name="Conector reto 66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665" name="Conector reto 664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666" name="Conector reto 665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667" name="Conector reto 666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68" name="Conector reto 66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69" name="Conector reto 66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70" name="Conector reto 66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71" name="Conector reto 67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72" name="Conector reto 67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73" name="Conector reto 67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674" name="Conector reto 673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675" name="Conector reto 674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676" name="Conector reto 675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77" name="Conector reto 67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78" name="Conector reto 67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79" name="Conector reto 67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80" name="Conector reto 67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81" name="Conector reto 68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82" name="Conector reto 68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683" name="Conector reto 682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684" name="Conector reto 683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685" name="Conector reto 684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86" name="Conector reto 68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87" name="Conector reto 68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88" name="Conector reto 68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89" name="Conector reto 68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90" name="Conector reto 68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91" name="Conector reto 69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92" name="Conector reto 69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93" name="Conector reto 69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94" name="Conector reto 69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95" name="Conector reto 69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96" name="Conector reto 69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97" name="Conector reto 69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98" name="Conector reto 69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99" name="Conector reto 69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00" name="Conector reto 69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01" name="Conector reto 70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02" name="Conector reto 70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03" name="Conector reto 70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704" name="Conector reto 703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705" name="Conector reto 704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706" name="Conector reto 705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07" name="Conector reto 70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08" name="Conector reto 70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09" name="Conector reto 70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10" name="Conector reto 70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11" name="Conector reto 71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12" name="Conector reto 71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713" name="Conector reto 712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714" name="Conector reto 713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715" name="Conector reto 714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16" name="Conector reto 71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17" name="Conector reto 71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18" name="Conector reto 71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19" name="Conector reto 71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20" name="Conector reto 71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21" name="Conector reto 72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722" name="Conector reto 721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723" name="Conector reto 722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724" name="Conector reto 723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25" name="Conector reto 72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26" name="Conector reto 72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27" name="Conector reto 72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28" name="Conector reto 72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29" name="Conector reto 72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30" name="Conector reto 72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31" name="Conector reto 73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32" name="Conector reto 73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33" name="Conector reto 73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34" name="Conector reto 73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35" name="Conector reto 73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36" name="Conector reto 73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37" name="Conector reto 73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38" name="Conector reto 73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39" name="Conector reto 73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40" name="Conector reto 73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41" name="Conector reto 74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42" name="Conector reto 74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743" name="Conector reto 742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744" name="Conector reto 743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745" name="Conector reto 744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46" name="Conector reto 74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47" name="Conector reto 74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48" name="Conector reto 74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49" name="Conector reto 74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50" name="Conector reto 74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51" name="Conector reto 75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52" name="Conector reto 75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53" name="Conector reto 75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54" name="Conector reto 75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55" name="Conector reto 75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56" name="Conector reto 75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57" name="Conector reto 75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58" name="Conector reto 75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59" name="Conector reto 75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60" name="Conector reto 75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61" name="Conector reto 76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62" name="Conector reto 76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63" name="Conector reto 76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64" name="Conector reto 76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65" name="Conector reto 76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66" name="Conector reto 76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67" name="Conector reto 76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68" name="Conector reto 76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69" name="Conector reto 76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70" name="Conector reto 76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71" name="Conector reto 77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72" name="Conector reto 77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73" name="Conector reto 77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74" name="Conector reto 77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75" name="Conector reto 77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76" name="Conector reto 77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77" name="Conector reto 77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78" name="Conector reto 77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79" name="Conector reto 77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80" name="Conector reto 77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81" name="Conector reto 78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782" name="Conector reto 781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83" name="Conector reto 78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84" name="Conector reto 78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785" name="Conector reto 784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86" name="Conector reto 78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87" name="Conector reto 78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788" name="Conector reto 787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789" name="Conector reto 788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790" name="Conector reto 789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791" name="Conector reto 790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792" name="Conector reto 791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93" name="Conector reto 79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94" name="Conector reto 79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795" name="Conector reto 794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96" name="Conector reto 79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97" name="Conector reto 79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798" name="Conector reto 797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799" name="Conector reto 798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800" name="Conector reto 799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801" name="Conector reto 800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802" name="Conector angulado 801"/>
        <xdr:cNvCxnSpPr/>
      </xdr:nvCxnSpPr>
      <xdr:spPr>
        <a:xfrm>
          <a:off x="9296400" y="586740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803" name="Conector reto 802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804" name="Conector reto 803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805" name="Conector reto 804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06" name="Conector reto 80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07" name="Conector reto 80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08" name="Conector reto 80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09" name="Conector reto 80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10" name="Conector reto 80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11" name="Conector reto 81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812" name="Conector reto 811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813" name="Conector reto 812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814" name="Conector reto 813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15" name="Conector reto 81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16" name="Conector reto 81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17" name="Conector reto 81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18" name="Conector reto 81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19" name="Conector reto 81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20" name="Conector reto 81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21" name="Conector reto 82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22" name="Conector reto 82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23" name="Conector reto 82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24" name="Conector reto 82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25" name="Conector reto 82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26" name="Conector reto 82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27" name="Conector reto 82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28" name="Conector reto 82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29" name="Conector reto 82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30" name="Conector reto 82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31" name="Conector reto 83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32" name="Conector reto 83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833" name="Conector reto 832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834" name="Conector reto 833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835" name="Conector reto 834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36" name="Conector reto 83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37" name="Conector reto 83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38" name="Conector reto 83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39" name="Conector reto 83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40" name="Conector reto 83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41" name="Conector reto 84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42" name="Conector reto 84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43" name="Conector reto 84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44" name="Conector reto 84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45" name="Conector reto 84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46" name="Conector reto 84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47" name="Conector reto 84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48" name="Conector reto 84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49" name="Conector reto 84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50" name="Conector reto 84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51" name="Conector reto 85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52" name="Conector reto 85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53" name="Conector reto 85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54" name="Conector reto 85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55" name="Conector reto 85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56" name="Conector reto 85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57" name="Conector reto 85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58" name="Conector reto 85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59" name="Conector reto 85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60" name="Conector reto 85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61" name="Conector reto 86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62" name="Conector reto 86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63" name="Conector reto 86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64" name="Conector reto 86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65" name="Conector reto 86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66" name="Conector reto 86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67" name="Conector reto 86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68" name="Conector reto 86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69" name="Conector reto 86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70" name="Conector reto 86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71" name="Conector reto 87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872" name="Conector reto 871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73" name="Conector reto 87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74" name="Conector reto 87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875" name="Conector reto 874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76" name="Conector reto 87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77" name="Conector reto 87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878" name="Conector reto 877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879" name="Conector reto 878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880" name="Conector reto 879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881" name="Conector reto 880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882" name="Conector reto 881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83" name="Conector reto 88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84" name="Conector reto 88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885" name="Conector reto 884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86" name="Conector reto 88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87" name="Conector reto 88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888" name="Conector reto 887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889" name="Conector reto 888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890" name="Conector reto 889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891" name="Conector reto 890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892" name="Conector angulado 891"/>
        <xdr:cNvCxnSpPr/>
      </xdr:nvCxnSpPr>
      <xdr:spPr>
        <a:xfrm>
          <a:off x="9296400" y="586740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893" name="Conector reto 892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894" name="Conector reto 893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895" name="Conector reto 894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96" name="Conector reto 89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97" name="Conector reto 89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98" name="Conector reto 89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99" name="Conector reto 89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00" name="Conector reto 89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01" name="Conector reto 90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902" name="Conector reto 901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903" name="Conector reto 902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904" name="Conector reto 903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05" name="Conector reto 90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06" name="Conector reto 90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07" name="Conector reto 90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08" name="Conector reto 90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09" name="Conector reto 90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10" name="Conector reto 90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911" name="Conector reto 910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912" name="Conector reto 911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913" name="Conector reto 912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14" name="Conector reto 91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15" name="Conector reto 91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16" name="Conector reto 91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17" name="Conector reto 91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18" name="Conector reto 91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19" name="Conector reto 91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20" name="Conector reto 91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21" name="Conector reto 92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22" name="Conector reto 92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23" name="Conector reto 92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24" name="Conector reto 92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25" name="Conector reto 92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26" name="Conector reto 92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27" name="Conector reto 92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28" name="Conector reto 92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29" name="Conector reto 92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30" name="Conector reto 92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31" name="Conector reto 93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932" name="Conector reto 931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933" name="Conector reto 932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934" name="Conector reto 933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35" name="Conector reto 93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36" name="Conector reto 93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37" name="Conector reto 93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38" name="Conector reto 93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39" name="Conector reto 93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40" name="Conector reto 93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41" name="Conector reto 94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42" name="Conector reto 94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43" name="Conector reto 94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44" name="Conector reto 94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45" name="Conector reto 94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46" name="Conector reto 94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47" name="Conector reto 94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48" name="Conector reto 94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49" name="Conector reto 94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50" name="Conector reto 94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51" name="Conector reto 95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52" name="Conector reto 95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53" name="Conector reto 95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54" name="Conector reto 95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55" name="Conector reto 95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56" name="Conector reto 95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57" name="Conector reto 95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58" name="Conector reto 95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59" name="Conector reto 95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60" name="Conector reto 95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61" name="Conector reto 96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62" name="Conector reto 96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63" name="Conector reto 96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64" name="Conector reto 96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65" name="Conector reto 96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66" name="Conector reto 96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67" name="Conector reto 96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68" name="Conector reto 96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69" name="Conector reto 96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70" name="Conector reto 96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971" name="Conector reto 970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72" name="Conector reto 97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73" name="Conector reto 97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974" name="Conector reto 973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75" name="Conector reto 97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76" name="Conector reto 97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977" name="Conector reto 976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978" name="Conector reto 977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979" name="Conector reto 978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980" name="Conector reto 979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981" name="Conector reto 980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82" name="Conector reto 98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83" name="Conector reto 98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984" name="Conector reto 983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85" name="Conector reto 98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86" name="Conector reto 98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987" name="Conector reto 986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988" name="Conector reto 987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989" name="Conector reto 988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990" name="Conector reto 989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991" name="Conector angulado 990"/>
        <xdr:cNvCxnSpPr/>
      </xdr:nvCxnSpPr>
      <xdr:spPr>
        <a:xfrm>
          <a:off x="9296400" y="586740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992" name="Conector reto 991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993" name="Conector reto 992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994" name="Conector reto 993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95" name="Conector reto 99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96" name="Conector reto 99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97" name="Conector reto 99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98" name="Conector reto 99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99" name="Conector reto 99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00" name="Conector reto 99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001" name="Conector reto 1000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002" name="Conector reto 1001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003" name="Conector reto 1002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04" name="Conector reto 100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05" name="Conector reto 100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06" name="Conector reto 100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07" name="Conector reto 100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08" name="Conector reto 100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09" name="Conector reto 100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10" name="Conector reto 100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11" name="Conector reto 101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12" name="Conector reto 101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13" name="Conector reto 101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14" name="Conector reto 101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15" name="Conector reto 101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16" name="Conector reto 101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17" name="Conector reto 101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18" name="Conector reto 101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19" name="Conector reto 101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20" name="Conector reto 101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21" name="Conector reto 102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022" name="Conector reto 1021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023" name="Conector reto 1022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024" name="Conector reto 1023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25" name="Conector reto 102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26" name="Conector reto 102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27" name="Conector reto 102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28" name="Conector reto 102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29" name="Conector reto 102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30" name="Conector reto 102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31" name="Conector reto 103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32" name="Conector reto 103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33" name="Conector reto 103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34" name="Conector reto 103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35" name="Conector reto 103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36" name="Conector reto 103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37" name="Conector reto 103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38" name="Conector reto 103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39" name="Conector reto 103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40" name="Conector reto 103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41" name="Conector reto 104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42" name="Conector reto 104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43" name="Conector reto 104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44" name="Conector reto 104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45" name="Conector reto 104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46" name="Conector reto 104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47" name="Conector reto 104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48" name="Conector reto 104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49" name="Conector reto 104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50" name="Conector reto 104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51" name="Conector reto 105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52" name="Conector reto 105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53" name="Conector reto 105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54" name="Conector reto 105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55" name="Conector reto 105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56" name="Conector reto 105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57" name="Conector reto 105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58" name="Conector reto 105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59" name="Conector reto 105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60" name="Conector reto 105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1061" name="Conector reto 1060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62" name="Conector reto 106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63" name="Conector reto 106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1064" name="Conector reto 1063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65" name="Conector reto 106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66" name="Conector reto 106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1067" name="Conector reto 1066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1068" name="Conector reto 1067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1069" name="Conector reto 1068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1070" name="Conector reto 1069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1071" name="Conector reto 1070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72" name="Conector reto 107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73" name="Conector reto 107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1074" name="Conector reto 1073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75" name="Conector reto 107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76" name="Conector reto 107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1077" name="Conector reto 1076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1078" name="Conector reto 1077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1079" name="Conector reto 1078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1080" name="Conector reto 1079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1081" name="Conector angulado 1080"/>
        <xdr:cNvCxnSpPr/>
      </xdr:nvCxnSpPr>
      <xdr:spPr>
        <a:xfrm>
          <a:off x="9296400" y="586740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57150</xdr:colOff>
      <xdr:row>18</xdr:row>
      <xdr:rowOff>104775</xdr:rowOff>
    </xdr:from>
    <xdr:to>
      <xdr:col>38</xdr:col>
      <xdr:colOff>123825</xdr:colOff>
      <xdr:row>18</xdr:row>
      <xdr:rowOff>104775</xdr:rowOff>
    </xdr:to>
    <xdr:cxnSp macro="">
      <xdr:nvCxnSpPr>
        <xdr:cNvPr id="2" name="Conector reto 1"/>
        <xdr:cNvCxnSpPr/>
      </xdr:nvCxnSpPr>
      <xdr:spPr>
        <a:xfrm>
          <a:off x="12277725" y="39052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17</xdr:row>
      <xdr:rowOff>65484</xdr:rowOff>
    </xdr:from>
    <xdr:to>
      <xdr:col>38</xdr:col>
      <xdr:colOff>77375</xdr:colOff>
      <xdr:row>17</xdr:row>
      <xdr:rowOff>148828</xdr:rowOff>
    </xdr:to>
    <xdr:cxnSp macro="">
      <xdr:nvCxnSpPr>
        <xdr:cNvPr id="3" name="Conector reto 2"/>
        <xdr:cNvCxnSpPr/>
      </xdr:nvCxnSpPr>
      <xdr:spPr>
        <a:xfrm>
          <a:off x="12297950" y="36564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17</xdr:row>
      <xdr:rowOff>107156</xdr:rowOff>
    </xdr:from>
    <xdr:to>
      <xdr:col>38</xdr:col>
      <xdr:colOff>119047</xdr:colOff>
      <xdr:row>17</xdr:row>
      <xdr:rowOff>107156</xdr:rowOff>
    </xdr:to>
    <xdr:cxnSp macro="">
      <xdr:nvCxnSpPr>
        <xdr:cNvPr id="4" name="Conector reto 3"/>
        <xdr:cNvCxnSpPr/>
      </xdr:nvCxnSpPr>
      <xdr:spPr>
        <a:xfrm flipH="1">
          <a:off x="12262233" y="36980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" name="Conector reto 4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" name="Conector reto 5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" name="Conector reto 6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" name="Conector reto 7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" name="Conector reto 8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" name="Conector reto 9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1" name="Conector reto 10"/>
        <xdr:cNvCxnSpPr/>
      </xdr:nvCxnSpPr>
      <xdr:spPr>
        <a:xfrm>
          <a:off x="7115175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2" name="Conector reto 11"/>
        <xdr:cNvCxnSpPr/>
      </xdr:nvCxnSpPr>
      <xdr:spPr>
        <a:xfrm>
          <a:off x="7115175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3" name="Conector reto 12"/>
        <xdr:cNvCxnSpPr/>
      </xdr:nvCxnSpPr>
      <xdr:spPr>
        <a:xfrm flipH="1">
          <a:off x="7115175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" name="Conector reto 13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" name="Conector reto 14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" name="Conector reto 15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" name="Conector reto 16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" name="Conector reto 17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" name="Conector reto 18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20" name="Conector reto 19"/>
        <xdr:cNvCxnSpPr/>
      </xdr:nvCxnSpPr>
      <xdr:spPr>
        <a:xfrm>
          <a:off x="7115175" y="41052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21" name="Conector reto 20"/>
        <xdr:cNvCxnSpPr/>
      </xdr:nvCxnSpPr>
      <xdr:spPr>
        <a:xfrm>
          <a:off x="7115175" y="38564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22" name="Conector reto 21"/>
        <xdr:cNvCxnSpPr/>
      </xdr:nvCxnSpPr>
      <xdr:spPr>
        <a:xfrm flipH="1">
          <a:off x="7115175" y="38981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" name="Conector reto 22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" name="Conector reto 23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" name="Conector reto 24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" name="Conector reto 25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" name="Conector reto 26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" name="Conector reto 27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9" name="Conector reto 28"/>
        <xdr:cNvCxnSpPr/>
      </xdr:nvCxnSpPr>
      <xdr:spPr>
        <a:xfrm>
          <a:off x="7115175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30" name="Conector reto 29"/>
        <xdr:cNvCxnSpPr/>
      </xdr:nvCxnSpPr>
      <xdr:spPr>
        <a:xfrm>
          <a:off x="7115175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31" name="Conector reto 30"/>
        <xdr:cNvCxnSpPr/>
      </xdr:nvCxnSpPr>
      <xdr:spPr>
        <a:xfrm flipH="1">
          <a:off x="7115175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" name="Conector reto 31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" name="Conector reto 32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4" name="Conector reto 33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5" name="Conector reto 34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" name="Conector reto 35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" name="Conector reto 36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38" name="Conector reto 37"/>
        <xdr:cNvCxnSpPr/>
      </xdr:nvCxnSpPr>
      <xdr:spPr>
        <a:xfrm>
          <a:off x="7115175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39" name="Conector reto 38"/>
        <xdr:cNvCxnSpPr/>
      </xdr:nvCxnSpPr>
      <xdr:spPr>
        <a:xfrm>
          <a:off x="7115175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40" name="Conector reto 39"/>
        <xdr:cNvCxnSpPr/>
      </xdr:nvCxnSpPr>
      <xdr:spPr>
        <a:xfrm flipH="1">
          <a:off x="7115175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1" name="Conector reto 40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2" name="Conector reto 41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3" name="Conector reto 42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4" name="Conector reto 43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5" name="Conector reto 44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6" name="Conector reto 45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47" name="Conector reto 46"/>
        <xdr:cNvCxnSpPr/>
      </xdr:nvCxnSpPr>
      <xdr:spPr>
        <a:xfrm>
          <a:off x="7115175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48" name="Conector reto 47"/>
        <xdr:cNvCxnSpPr/>
      </xdr:nvCxnSpPr>
      <xdr:spPr>
        <a:xfrm>
          <a:off x="7115175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49" name="Conector reto 48"/>
        <xdr:cNvCxnSpPr/>
      </xdr:nvCxnSpPr>
      <xdr:spPr>
        <a:xfrm flipH="1">
          <a:off x="7115175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0" name="Conector reto 49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1" name="Conector reto 50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2" name="Conector reto 51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3" name="Conector reto 52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4" name="Conector reto 53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5" name="Conector reto 54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56" name="Conector reto 55"/>
        <xdr:cNvCxnSpPr/>
      </xdr:nvCxnSpPr>
      <xdr:spPr>
        <a:xfrm>
          <a:off x="7115175" y="6858000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57" name="Conector reto 56"/>
        <xdr:cNvCxnSpPr/>
      </xdr:nvCxnSpPr>
      <xdr:spPr>
        <a:xfrm>
          <a:off x="7115175" y="66091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58" name="Conector reto 57"/>
        <xdr:cNvCxnSpPr/>
      </xdr:nvCxnSpPr>
      <xdr:spPr>
        <a:xfrm flipH="1">
          <a:off x="7115175" y="6650831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9" name="Conector reto 58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0" name="Conector reto 59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1" name="Conector reto 60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2" name="Conector reto 61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3" name="Conector reto 62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4" name="Conector reto 63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5" name="Conector reto 64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6" name="Conector reto 65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7" name="Conector reto 66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8" name="Conector reto 67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9" name="Conector reto 68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0" name="Conector reto 69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1" name="Conector reto 70"/>
        <xdr:cNvCxnSpPr/>
      </xdr:nvCxnSpPr>
      <xdr:spPr>
        <a:xfrm>
          <a:off x="1445895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2" name="Conector reto 71"/>
        <xdr:cNvCxnSpPr/>
      </xdr:nvCxnSpPr>
      <xdr:spPr>
        <a:xfrm>
          <a:off x="1447917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3" name="Conector reto 72"/>
        <xdr:cNvCxnSpPr/>
      </xdr:nvCxnSpPr>
      <xdr:spPr>
        <a:xfrm flipH="1">
          <a:off x="1444345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4" name="Conector reto 73"/>
        <xdr:cNvCxnSpPr/>
      </xdr:nvCxnSpPr>
      <xdr:spPr>
        <a:xfrm>
          <a:off x="1445895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5" name="Conector reto 74"/>
        <xdr:cNvCxnSpPr/>
      </xdr:nvCxnSpPr>
      <xdr:spPr>
        <a:xfrm>
          <a:off x="1447917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6" name="Conector reto 75"/>
        <xdr:cNvCxnSpPr/>
      </xdr:nvCxnSpPr>
      <xdr:spPr>
        <a:xfrm flipH="1">
          <a:off x="1444345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77" name="Conector reto 76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78" name="Conector reto 77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79" name="Conector reto 78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0" name="Conector reto 7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1" name="Conector reto 8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2" name="Conector reto 8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3" name="Conector reto 8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4" name="Conector reto 8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5" name="Conector reto 8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86" name="Conector reto 85"/>
        <xdr:cNvCxnSpPr/>
      </xdr:nvCxnSpPr>
      <xdr:spPr>
        <a:xfrm>
          <a:off x="7010400" y="41243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87" name="Conector reto 86"/>
        <xdr:cNvCxnSpPr/>
      </xdr:nvCxnSpPr>
      <xdr:spPr>
        <a:xfrm>
          <a:off x="7010400" y="38754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88" name="Conector reto 87"/>
        <xdr:cNvCxnSpPr/>
      </xdr:nvCxnSpPr>
      <xdr:spPr>
        <a:xfrm flipH="1">
          <a:off x="7010400" y="39171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9" name="Conector reto 8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0" name="Conector reto 8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1" name="Conector reto 9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2" name="Conector reto 9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3" name="Conector reto 9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4" name="Conector reto 9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95" name="Conector reto 94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96" name="Conector reto 95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97" name="Conector reto 96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8" name="Conector reto 9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9" name="Conector reto 9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0" name="Conector reto 9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1" name="Conector reto 10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2" name="Conector reto 10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3" name="Conector reto 10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04" name="Conector reto 103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05" name="Conector reto 104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06" name="Conector reto 105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7" name="Conector reto 10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8" name="Conector reto 10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9" name="Conector reto 10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0" name="Conector reto 10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1" name="Conector reto 11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2" name="Conector reto 11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113" name="Conector reto 112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114" name="Conector reto 113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115" name="Conector reto 114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6" name="Conector reto 11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7" name="Conector reto 11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8" name="Conector reto 11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9" name="Conector reto 11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0" name="Conector reto 11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1" name="Conector reto 12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22" name="Conector reto 121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23" name="Conector reto 122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24" name="Conector reto 123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5" name="Conector reto 12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6" name="Conector reto 12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7" name="Conector reto 12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8" name="Conector reto 12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9" name="Conector reto 12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0" name="Conector reto 12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1" name="Conector reto 13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2" name="Conector reto 13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3" name="Conector reto 13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4" name="Conector reto 13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5" name="Conector reto 13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6" name="Conector reto 13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7" name="Conector reto 13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8" name="Conector reto 13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9" name="Conector reto 13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0" name="Conector reto 13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1" name="Conector reto 14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2" name="Conector reto 14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143" name="Conector reto 142"/>
        <xdr:cNvCxnSpPr/>
      </xdr:nvCxnSpPr>
      <xdr:spPr>
        <a:xfrm>
          <a:off x="7010400" y="41243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144" name="Conector reto 143"/>
        <xdr:cNvCxnSpPr/>
      </xdr:nvCxnSpPr>
      <xdr:spPr>
        <a:xfrm>
          <a:off x="7010400" y="38754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145" name="Conector reto 144"/>
        <xdr:cNvCxnSpPr/>
      </xdr:nvCxnSpPr>
      <xdr:spPr>
        <a:xfrm flipH="1">
          <a:off x="7010400" y="39171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6" name="Conector reto 14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7" name="Conector reto 14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8" name="Conector reto 14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9" name="Conector reto 14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0" name="Conector reto 14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51" name="Conector reto 15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52" name="Conector reto 151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53" name="Conector reto 152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54" name="Conector reto 153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55" name="Conector reto 15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6" name="Conector reto 15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57" name="Conector reto 15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58" name="Conector reto 15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9" name="Conector reto 15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0" name="Conector reto 15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61" name="Conector reto 160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62" name="Conector reto 161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63" name="Conector reto 162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64" name="Conector reto 16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65" name="Conector reto 16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6" name="Conector reto 16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67" name="Conector reto 16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68" name="Conector reto 16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9" name="Conector reto 16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170" name="Conector reto 169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171" name="Conector reto 170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172" name="Conector reto 171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3" name="Conector reto 17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74" name="Conector reto 17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75" name="Conector reto 17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6" name="Conector reto 17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77" name="Conector reto 17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78" name="Conector reto 17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79" name="Conector reto 178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80" name="Conector reto 179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81" name="Conector reto 180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82" name="Conector reto 18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3" name="Conector reto 18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84" name="Conector reto 18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85" name="Conector reto 18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6" name="Conector reto 18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87" name="Conector reto 18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88" name="Conector reto 18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9" name="Conector reto 18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0" name="Conector reto 18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91" name="Conector reto 19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92" name="Conector reto 19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3" name="Conector reto 19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94" name="Conector reto 19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95" name="Conector reto 19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6" name="Conector reto 19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97" name="Conector reto 19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98" name="Conector reto 19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9" name="Conector reto 19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00" name="Conector reto 199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201" name="Conector reto 200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202" name="Conector reto 201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03" name="Conector reto 20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04" name="Conector reto 20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05" name="Conector reto 20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06" name="Conector reto 20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07" name="Conector reto 20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08" name="Conector reto 20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09" name="Conector reto 208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210" name="Conector reto 209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211" name="Conector reto 210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12" name="Conector reto 21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13" name="Conector reto 21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14" name="Conector reto 21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15" name="Conector reto 21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16" name="Conector reto 21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17" name="Conector reto 21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218" name="Conector reto 217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219" name="Conector reto 218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220" name="Conector reto 219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21" name="Conector reto 22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22" name="Conector reto 22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23" name="Conector reto 22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24" name="Conector reto 22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25" name="Conector reto 22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26" name="Conector reto 22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227" name="Conector reto 226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228" name="Conector reto 227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229" name="Conector reto 228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0" name="Conector reto 22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31" name="Conector reto 23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32" name="Conector reto 23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3" name="Conector reto 23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34" name="Conector reto 23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35" name="Conector reto 23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6" name="Conector reto 23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37" name="Conector reto 23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38" name="Conector reto 23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9" name="Conector reto 23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0" name="Conector reto 23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41" name="Conector reto 24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42" name="Conector reto 24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3" name="Conector reto 24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44" name="Conector reto 24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45" name="Conector reto 24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6" name="Conector reto 24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47" name="Conector reto 24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48" name="Conector reto 247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249" name="Conector reto 248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250" name="Conector reto 249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51" name="Conector reto 25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52" name="Conector reto 25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3" name="Conector reto 25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54" name="Conector reto 25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55" name="Conector reto 25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6" name="Conector reto 25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257" name="Conector reto 256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258" name="Conector reto 257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259" name="Conector reto 258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0" name="Conector reto 25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61" name="Conector reto 26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62" name="Conector reto 26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3" name="Conector reto 26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64" name="Conector reto 26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65" name="Conector reto 26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266" name="Conector reto 265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267" name="Conector reto 266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268" name="Conector reto 267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9" name="Conector reto 26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0" name="Conector reto 26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71" name="Conector reto 27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72" name="Conector reto 27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3" name="Conector reto 27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74" name="Conector reto 27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75" name="Conector reto 27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6" name="Conector reto 27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77" name="Conector reto 27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78" name="Conector reto 27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9" name="Conector reto 27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0" name="Conector reto 27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81" name="Conector reto 28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82" name="Conector reto 28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3" name="Conector reto 28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84" name="Conector reto 28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85" name="Conector reto 28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6" name="Conector reto 28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287" name="Conector reto 286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288" name="Conector reto 287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289" name="Conector reto 288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0" name="Conector reto 28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91" name="Conector reto 29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92" name="Conector reto 29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3" name="Conector reto 29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94" name="Conector reto 29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95" name="Conector reto 29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6" name="Conector reto 29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97" name="Conector reto 29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98" name="Conector reto 29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9" name="Conector reto 29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0" name="Conector reto 29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01" name="Conector reto 30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02" name="Conector reto 30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3" name="Conector reto 30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04" name="Conector reto 30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05" name="Conector reto 30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6" name="Conector reto 30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07" name="Conector reto 30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08" name="Conector reto 30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9" name="Conector reto 30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0" name="Conector reto 30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11" name="Conector reto 31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12" name="Conector reto 31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3" name="Conector reto 31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14" name="Conector reto 31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15" name="Conector reto 31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6" name="Conector reto 31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17" name="Conector reto 31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18" name="Conector reto 31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9" name="Conector reto 31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0" name="Conector reto 31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21" name="Conector reto 32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22" name="Conector reto 32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3" name="Conector reto 32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24" name="Conector reto 32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25" name="Conector reto 32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26" name="Conector reto 325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27" name="Conector reto 32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28" name="Conector reto 32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29" name="Conector reto 328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0" name="Conector reto 32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31" name="Conector reto 33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332" name="Conector reto 331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333" name="Conector reto 332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334" name="Conector reto 333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335" name="Conector reto 334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36" name="Conector reto 335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7" name="Conector reto 33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38" name="Conector reto 33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39" name="Conector reto 338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40" name="Conector reto 33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41" name="Conector reto 34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342" name="Conector reto 341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343" name="Conector reto 342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344" name="Conector reto 343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345" name="Conector reto 344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346" name="Conector angulado 345"/>
        <xdr:cNvCxnSpPr/>
      </xdr:nvCxnSpPr>
      <xdr:spPr>
        <a:xfrm>
          <a:off x="9296400" y="586740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347" name="Conector reto 346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348" name="Conector reto 347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349" name="Conector reto 348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50" name="Conector reto 34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51" name="Conector reto 35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52" name="Conector reto 35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53" name="Conector reto 35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54" name="Conector reto 35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55" name="Conector reto 35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356" name="Conector reto 355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357" name="Conector reto 356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358" name="Conector reto 357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59" name="Conector reto 35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0" name="Conector reto 35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61" name="Conector reto 36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62" name="Conector reto 36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3" name="Conector reto 36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64" name="Conector reto 36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65" name="Conector reto 36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6" name="Conector reto 36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67" name="Conector reto 36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68" name="Conector reto 36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9" name="Conector reto 36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0" name="Conector reto 36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71" name="Conector reto 37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72" name="Conector reto 37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3" name="Conector reto 37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74" name="Conector reto 37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75" name="Conector reto 37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6" name="Conector reto 37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377" name="Conector reto 376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378" name="Conector reto 377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379" name="Conector reto 378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0" name="Conector reto 37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81" name="Conector reto 38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82" name="Conector reto 38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3" name="Conector reto 38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84" name="Conector reto 38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85" name="Conector reto 38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6" name="Conector reto 38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87" name="Conector reto 38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88" name="Conector reto 38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9" name="Conector reto 38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0" name="Conector reto 38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91" name="Conector reto 39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92" name="Conector reto 39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3" name="Conector reto 39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94" name="Conector reto 39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95" name="Conector reto 39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6" name="Conector reto 39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97" name="Conector reto 39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98" name="Conector reto 39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9" name="Conector reto 39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0" name="Conector reto 39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01" name="Conector reto 40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02" name="Conector reto 40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3" name="Conector reto 40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04" name="Conector reto 40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05" name="Conector reto 40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6" name="Conector reto 40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07" name="Conector reto 40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08" name="Conector reto 40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9" name="Conector reto 40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10" name="Conector reto 40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11" name="Conector reto 41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12" name="Conector reto 41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13" name="Conector reto 41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14" name="Conector reto 41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15" name="Conector reto 41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16" name="Conector reto 415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17" name="Conector reto 41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18" name="Conector reto 41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19" name="Conector reto 418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20" name="Conector reto 41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21" name="Conector reto 42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422" name="Conector reto 421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423" name="Conector reto 422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424" name="Conector reto 423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425" name="Conector reto 424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26" name="Conector reto 425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27" name="Conector reto 42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28" name="Conector reto 42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29" name="Conector reto 428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30" name="Conector reto 42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31" name="Conector reto 43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432" name="Conector reto 431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433" name="Conector reto 432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434" name="Conector reto 433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435" name="Conector reto 434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436" name="Conector angulado 435"/>
        <xdr:cNvCxnSpPr/>
      </xdr:nvCxnSpPr>
      <xdr:spPr>
        <a:xfrm>
          <a:off x="9296400" y="586740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" name="Conector reto 1"/>
        <xdr:cNvCxnSpPr/>
      </xdr:nvCxnSpPr>
      <xdr:spPr>
        <a:xfrm>
          <a:off x="11668125" y="39052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" name="Conector reto 2"/>
        <xdr:cNvCxnSpPr/>
      </xdr:nvCxnSpPr>
      <xdr:spPr>
        <a:xfrm>
          <a:off x="11688350" y="36564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" name="Conector reto 3"/>
        <xdr:cNvCxnSpPr/>
      </xdr:nvCxnSpPr>
      <xdr:spPr>
        <a:xfrm flipH="1">
          <a:off x="11652633" y="36980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" name="Conector reto 4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" name="Conector reto 5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" name="Conector reto 6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190500</xdr:colOff>
      <xdr:row>22</xdr:row>
      <xdr:rowOff>91112</xdr:rowOff>
    </xdr:from>
    <xdr:to>
      <xdr:col>24</xdr:col>
      <xdr:colOff>455544</xdr:colOff>
      <xdr:row>31</xdr:row>
      <xdr:rowOff>173936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33129</xdr:colOff>
      <xdr:row>22</xdr:row>
      <xdr:rowOff>66262</xdr:rowOff>
    </xdr:from>
    <xdr:to>
      <xdr:col>19</xdr:col>
      <xdr:colOff>124239</xdr:colOff>
      <xdr:row>31</xdr:row>
      <xdr:rowOff>165653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33128</xdr:colOff>
      <xdr:row>32</xdr:row>
      <xdr:rowOff>24847</xdr:rowOff>
    </xdr:from>
    <xdr:to>
      <xdr:col>24</xdr:col>
      <xdr:colOff>0</xdr:colOff>
      <xdr:row>50</xdr:row>
      <xdr:rowOff>124238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36635</xdr:colOff>
      <xdr:row>51</xdr:row>
      <xdr:rowOff>124558</xdr:rowOff>
    </xdr:from>
    <xdr:to>
      <xdr:col>24</xdr:col>
      <xdr:colOff>3507</xdr:colOff>
      <xdr:row>70</xdr:row>
      <xdr:rowOff>33449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ndsexplorer.com.br/funds/cptr11" TargetMode="External"/><Relationship Id="rId13" Type="http://schemas.openxmlformats.org/officeDocument/2006/relationships/hyperlink" Target="https://www.fundsexplorer.com.br/funds/rbop11" TargetMode="External"/><Relationship Id="rId3" Type="http://schemas.openxmlformats.org/officeDocument/2006/relationships/hyperlink" Target="https://www.fundsexplorer.com.br/funds/aiec11" TargetMode="External"/><Relationship Id="rId7" Type="http://schemas.openxmlformats.org/officeDocument/2006/relationships/hyperlink" Target="https://www.fundsexplorer.com.br/funds/vgia11" TargetMode="External"/><Relationship Id="rId12" Type="http://schemas.openxmlformats.org/officeDocument/2006/relationships/hyperlink" Target="https://www.fundsexplorer.com.br/funds/bbfi11" TargetMode="External"/><Relationship Id="rId2" Type="http://schemas.openxmlformats.org/officeDocument/2006/relationships/hyperlink" Target="https://www.fundsexplorer.com.br/funds/oure11" TargetMode="External"/><Relationship Id="rId16" Type="http://schemas.openxmlformats.org/officeDocument/2006/relationships/comments" Target="../comments6.xml"/><Relationship Id="rId1" Type="http://schemas.openxmlformats.org/officeDocument/2006/relationships/hyperlink" Target="https://www.fundsexplorer.com.br/funds/tgar11" TargetMode="External"/><Relationship Id="rId6" Type="http://schemas.openxmlformats.org/officeDocument/2006/relationships/hyperlink" Target="https://www.fundsexplorer.com.br/funds/xpca11" TargetMode="External"/><Relationship Id="rId11" Type="http://schemas.openxmlformats.org/officeDocument/2006/relationships/hyperlink" Target="https://www.fundsexplorer.com.br/funds/vcri11" TargetMode="External"/><Relationship Id="rId5" Type="http://schemas.openxmlformats.org/officeDocument/2006/relationships/hyperlink" Target="https://www.fundsexplorer.com.br/funds/urpr11" TargetMode="External"/><Relationship Id="rId15" Type="http://schemas.openxmlformats.org/officeDocument/2006/relationships/vmlDrawing" Target="../drawings/vmlDrawing6.vml"/><Relationship Id="rId10" Type="http://schemas.openxmlformats.org/officeDocument/2006/relationships/hyperlink" Target="https://www.fundsexplorer.com.br/funds/fgaa11" TargetMode="External"/><Relationship Id="rId4" Type="http://schemas.openxmlformats.org/officeDocument/2006/relationships/hyperlink" Target="https://www.fundsexplorer.com.br/funds/rzak11" TargetMode="External"/><Relationship Id="rId9" Type="http://schemas.openxmlformats.org/officeDocument/2006/relationships/hyperlink" Target="https://www.fundsexplorer.com.br/funds/jppa11" TargetMode="External"/><Relationship Id="rId14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ndsexplorer.com.br/funds/tgar11" TargetMode="External"/><Relationship Id="rId13" Type="http://schemas.openxmlformats.org/officeDocument/2006/relationships/printerSettings" Target="../printerSettings/printerSettings15.bin"/><Relationship Id="rId3" Type="http://schemas.openxmlformats.org/officeDocument/2006/relationships/hyperlink" Target="https://www.fundsexplorer.com.br/funds/vghf11" TargetMode="External"/><Relationship Id="rId7" Type="http://schemas.openxmlformats.org/officeDocument/2006/relationships/hyperlink" Target="https://www.fundsexplorer.com.br/funds/aiec11" TargetMode="External"/><Relationship Id="rId12" Type="http://schemas.openxmlformats.org/officeDocument/2006/relationships/hyperlink" Target="https://www.fundsexplorer.com.br/funds/oure11" TargetMode="External"/><Relationship Id="rId2" Type="http://schemas.openxmlformats.org/officeDocument/2006/relationships/hyperlink" Target="https://www.fundsexplorer.com.br/funds/rzak11" TargetMode="External"/><Relationship Id="rId1" Type="http://schemas.openxmlformats.org/officeDocument/2006/relationships/hyperlink" Target="https://www.fundsexplorer.com.br/funds/mxrf11" TargetMode="External"/><Relationship Id="rId6" Type="http://schemas.openxmlformats.org/officeDocument/2006/relationships/hyperlink" Target="https://www.fundsexplorer.com.br/funds/urpr11" TargetMode="External"/><Relationship Id="rId11" Type="http://schemas.openxmlformats.org/officeDocument/2006/relationships/hyperlink" Target="https://www.fundsexplorer.com.br/funds/vgia11" TargetMode="External"/><Relationship Id="rId5" Type="http://schemas.openxmlformats.org/officeDocument/2006/relationships/hyperlink" Target="https://www.fundsexplorer.com.br/funds/bime11" TargetMode="External"/><Relationship Id="rId10" Type="http://schemas.openxmlformats.org/officeDocument/2006/relationships/hyperlink" Target="https://www.fundsexplorer.com.br/funds/sare11" TargetMode="External"/><Relationship Id="rId4" Type="http://schemas.openxmlformats.org/officeDocument/2006/relationships/hyperlink" Target="https://www.fundsexplorer.com.br/funds/irdm11" TargetMode="External"/><Relationship Id="rId9" Type="http://schemas.openxmlformats.org/officeDocument/2006/relationships/hyperlink" Target="https://www.fundsexplorer.com.br/funds/xpca11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7.vml"/><Relationship Id="rId3" Type="http://schemas.openxmlformats.org/officeDocument/2006/relationships/hyperlink" Target="https://br.investing.com/equities/t2-biosystms-inc" TargetMode="External"/><Relationship Id="rId7" Type="http://schemas.openxmlformats.org/officeDocument/2006/relationships/printerSettings" Target="../printerSettings/printerSettings17.bin"/><Relationship Id="rId2" Type="http://schemas.openxmlformats.org/officeDocument/2006/relationships/hyperlink" Target="https://br.investing.com/equities/oatly-group-ab-adr" TargetMode="External"/><Relationship Id="rId1" Type="http://schemas.openxmlformats.org/officeDocument/2006/relationships/hyperlink" Target="https://br.investing.com/equities/wework" TargetMode="External"/><Relationship Id="rId6" Type="http://schemas.openxmlformats.org/officeDocument/2006/relationships/hyperlink" Target="https://br.investing.com/equities/nantkwest" TargetMode="External"/><Relationship Id="rId5" Type="http://schemas.openxmlformats.org/officeDocument/2006/relationships/hyperlink" Target="https://br.investing.com/equities/centurylink" TargetMode="External"/><Relationship Id="rId4" Type="http://schemas.openxmlformats.org/officeDocument/2006/relationships/hyperlink" Target="https://br.investing.com/equities/property-solutions" TargetMode="External"/><Relationship Id="rId9" Type="http://schemas.openxmlformats.org/officeDocument/2006/relationships/comments" Target="../comments7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ndsexplorer.com.br/funds/urpr11" TargetMode="External"/><Relationship Id="rId13" Type="http://schemas.openxmlformats.org/officeDocument/2006/relationships/hyperlink" Target="https://www.fundsexplorer.com.br/funds/fgaa11" TargetMode="External"/><Relationship Id="rId18" Type="http://schemas.openxmlformats.org/officeDocument/2006/relationships/vmlDrawing" Target="../drawings/vmlDrawing8.vml"/><Relationship Id="rId3" Type="http://schemas.openxmlformats.org/officeDocument/2006/relationships/hyperlink" Target="https://www.fundsexplorer.com.br/funds/tgar11" TargetMode="External"/><Relationship Id="rId7" Type="http://schemas.openxmlformats.org/officeDocument/2006/relationships/hyperlink" Target="https://www.fundsexplorer.com.br/funds/vghf11" TargetMode="External"/><Relationship Id="rId12" Type="http://schemas.openxmlformats.org/officeDocument/2006/relationships/hyperlink" Target="https://www.fundsexplorer.com.br/funds/jppa11" TargetMode="External"/><Relationship Id="rId17" Type="http://schemas.openxmlformats.org/officeDocument/2006/relationships/printerSettings" Target="../printerSettings/printerSettings18.bin"/><Relationship Id="rId2" Type="http://schemas.openxmlformats.org/officeDocument/2006/relationships/hyperlink" Target="https://www.fundsexplorer.com.br/funds/bime11" TargetMode="External"/><Relationship Id="rId16" Type="http://schemas.openxmlformats.org/officeDocument/2006/relationships/hyperlink" Target="https://www.fundsexplorer.com.br/funds/rbop11" TargetMode="External"/><Relationship Id="rId1" Type="http://schemas.openxmlformats.org/officeDocument/2006/relationships/hyperlink" Target="https://www.fundsexplorer.com.br/funds/mxrf11" TargetMode="External"/><Relationship Id="rId6" Type="http://schemas.openxmlformats.org/officeDocument/2006/relationships/hyperlink" Target="https://www.fundsexplorer.com.br/funds/rzak11" TargetMode="External"/><Relationship Id="rId11" Type="http://schemas.openxmlformats.org/officeDocument/2006/relationships/hyperlink" Target="https://www.fundsexplorer.com.br/funds/cptr11" TargetMode="External"/><Relationship Id="rId5" Type="http://schemas.openxmlformats.org/officeDocument/2006/relationships/hyperlink" Target="https://www.fundsexplorer.com.br/funds/aiec11" TargetMode="External"/><Relationship Id="rId15" Type="http://schemas.openxmlformats.org/officeDocument/2006/relationships/hyperlink" Target="https://www.fundsexplorer.com.br/funds/bbfi11" TargetMode="External"/><Relationship Id="rId10" Type="http://schemas.openxmlformats.org/officeDocument/2006/relationships/hyperlink" Target="https://www.fundsexplorer.com.br/funds/vgia11" TargetMode="External"/><Relationship Id="rId19" Type="http://schemas.openxmlformats.org/officeDocument/2006/relationships/comments" Target="../comments8.xml"/><Relationship Id="rId4" Type="http://schemas.openxmlformats.org/officeDocument/2006/relationships/hyperlink" Target="https://www.fundsexplorer.com.br/funds/oure11" TargetMode="External"/><Relationship Id="rId9" Type="http://schemas.openxmlformats.org/officeDocument/2006/relationships/hyperlink" Target="https://www.fundsexplorer.com.br/funds/xpca11" TargetMode="External"/><Relationship Id="rId14" Type="http://schemas.openxmlformats.org/officeDocument/2006/relationships/hyperlink" Target="https://www.fundsexplorer.com.br/funds/vcri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Z70"/>
  <sheetViews>
    <sheetView workbookViewId="0">
      <selection activeCell="D67" sqref="D67:H70"/>
    </sheetView>
  </sheetViews>
  <sheetFormatPr defaultRowHeight="16.5"/>
  <cols>
    <col min="1" max="1" width="1" style="55" customWidth="1"/>
    <col min="2" max="2" width="6.5703125" style="134" bestFit="1" customWidth="1"/>
    <col min="3" max="3" width="16.7109375" style="55" customWidth="1"/>
    <col min="4" max="4" width="17.5703125" style="55" customWidth="1"/>
    <col min="5" max="5" width="13.7109375" style="55" customWidth="1"/>
    <col min="6" max="6" width="13.7109375" style="134" customWidth="1"/>
    <col min="7" max="8" width="13.7109375" style="55" customWidth="1"/>
    <col min="9" max="9" width="10" style="89" customWidth="1"/>
    <col min="10" max="24" width="10.140625" style="55" hidden="1" customWidth="1"/>
    <col min="25" max="25" width="9.7109375" style="55" hidden="1" customWidth="1"/>
    <col min="26" max="41" width="10.140625" style="55" hidden="1" customWidth="1"/>
    <col min="42" max="42" width="2.5703125" style="55" customWidth="1"/>
    <col min="43" max="43" width="16.85546875" style="55" bestFit="1" customWidth="1"/>
    <col min="44" max="47" width="12.7109375" style="55" customWidth="1"/>
    <col min="48" max="48" width="9.140625" style="55"/>
    <col min="49" max="49" width="10.5703125" style="55" bestFit="1" customWidth="1"/>
    <col min="50" max="50" width="2.85546875" style="55" customWidth="1"/>
    <col min="51" max="51" width="18.42578125" style="55" bestFit="1" customWidth="1"/>
    <col min="52" max="52" width="11.7109375" style="55" bestFit="1" customWidth="1"/>
    <col min="53" max="16384" width="9.140625" style="55"/>
  </cols>
  <sheetData>
    <row r="1" spans="2:48" ht="17.25" thickBot="1">
      <c r="AR1" s="134" t="s">
        <v>66</v>
      </c>
      <c r="AS1" s="134" t="s">
        <v>67</v>
      </c>
      <c r="AT1" s="81" t="s">
        <v>65</v>
      </c>
      <c r="AV1" s="134"/>
    </row>
    <row r="2" spans="2:48" ht="17.25" thickBot="1">
      <c r="B2" s="68" t="s">
        <v>1</v>
      </c>
      <c r="C2" s="66" t="s">
        <v>0</v>
      </c>
      <c r="D2" s="66" t="s">
        <v>63</v>
      </c>
      <c r="E2" s="66" t="s">
        <v>2</v>
      </c>
      <c r="F2" s="66" t="s">
        <v>64</v>
      </c>
      <c r="G2" s="66" t="s">
        <v>3</v>
      </c>
      <c r="H2" s="67" t="s">
        <v>4</v>
      </c>
      <c r="I2" s="90"/>
      <c r="J2" s="75" t="s">
        <v>57</v>
      </c>
      <c r="K2" s="74" t="s">
        <v>51</v>
      </c>
      <c r="L2" s="74" t="s">
        <v>120</v>
      </c>
      <c r="M2" s="74" t="s">
        <v>36</v>
      </c>
      <c r="N2" s="74" t="s">
        <v>56</v>
      </c>
      <c r="O2" s="74" t="s">
        <v>125</v>
      </c>
      <c r="P2" s="74" t="s">
        <v>54</v>
      </c>
      <c r="Q2" s="74" t="s">
        <v>59</v>
      </c>
      <c r="R2" s="74" t="s">
        <v>40</v>
      </c>
      <c r="S2" s="74" t="s">
        <v>55</v>
      </c>
      <c r="T2" s="74" t="s">
        <v>58</v>
      </c>
      <c r="U2" s="74" t="s">
        <v>52</v>
      </c>
      <c r="V2" s="74"/>
      <c r="W2" s="74"/>
      <c r="X2" s="74"/>
      <c r="Z2" s="75" t="s">
        <v>57</v>
      </c>
      <c r="AA2" s="74" t="s">
        <v>51</v>
      </c>
      <c r="AB2" s="74" t="s">
        <v>120</v>
      </c>
      <c r="AC2" s="74" t="s">
        <v>36</v>
      </c>
      <c r="AD2" s="74" t="s">
        <v>56</v>
      </c>
      <c r="AE2" s="74" t="s">
        <v>125</v>
      </c>
      <c r="AF2" s="74" t="s">
        <v>54</v>
      </c>
      <c r="AG2" s="74" t="s">
        <v>59</v>
      </c>
      <c r="AH2" s="74" t="s">
        <v>40</v>
      </c>
      <c r="AI2" s="74" t="s">
        <v>55</v>
      </c>
      <c r="AJ2" s="74" t="s">
        <v>58</v>
      </c>
      <c r="AK2" s="74" t="s">
        <v>52</v>
      </c>
      <c r="AL2" s="74"/>
      <c r="AM2" s="74"/>
      <c r="AN2" s="74"/>
      <c r="AO2" s="74"/>
      <c r="AP2" s="74"/>
      <c r="AQ2" s="71" t="s">
        <v>57</v>
      </c>
      <c r="AR2" s="97">
        <f t="shared" ref="AR2:AR16" si="0">AT2+AS2</f>
        <v>0</v>
      </c>
      <c r="AS2" s="58">
        <f>Z63</f>
        <v>0</v>
      </c>
      <c r="AT2" s="58">
        <f>J63</f>
        <v>0</v>
      </c>
    </row>
    <row r="3" spans="2:48">
      <c r="B3" s="60">
        <v>44717</v>
      </c>
      <c r="C3" s="62" t="s">
        <v>71</v>
      </c>
      <c r="D3" s="79" t="s">
        <v>40</v>
      </c>
      <c r="E3" s="56">
        <v>139.9</v>
      </c>
      <c r="F3" s="76" t="s">
        <v>65</v>
      </c>
      <c r="G3" s="157">
        <f>IF(F3="MARCIA",E3,IF(F3="AMBOS",E3/2,0))</f>
        <v>0</v>
      </c>
      <c r="H3" s="158">
        <f>IF(F3="LUCIANO",E3,IF(F3="AMBOS",E3/2,0))</f>
        <v>139.9</v>
      </c>
      <c r="I3" s="91" t="s">
        <v>68</v>
      </c>
      <c r="J3" s="72">
        <f>IF($D3="ALIMENTAÇÃO",$H3,0)</f>
        <v>0</v>
      </c>
      <c r="K3" s="72">
        <f>IF($D3="ANIMAIS",$H3,0)</f>
        <v>0</v>
      </c>
      <c r="L3" s="72">
        <f>IF($D3="FILHO",$H3,0)</f>
        <v>0</v>
      </c>
      <c r="M3" s="72">
        <f>IF($D3="GASOLINA",$H3,0)</f>
        <v>0</v>
      </c>
      <c r="N3" s="72">
        <f>IF($D3="LAZER",$H3,0)</f>
        <v>0</v>
      </c>
      <c r="O3" s="72">
        <f>IF($D3="MANUT. IMÓVEL",$H3,0)</f>
        <v>0</v>
      </c>
      <c r="P3" s="72">
        <f>IF($D3="MANUT. VEICULAR",$H3,0)</f>
        <v>0</v>
      </c>
      <c r="Q3" s="72">
        <f>IF($D3="MÓVEIS",$H3,0)</f>
        <v>0</v>
      </c>
      <c r="R3" s="72">
        <f>IF($D3="OUTROS",$H3,0)</f>
        <v>139.9</v>
      </c>
      <c r="S3" s="72">
        <f>IF($D3="PLANOS",$H3,0)</f>
        <v>0</v>
      </c>
      <c r="T3" s="72">
        <f>IF($D3="SAÚDE",$H3,0)</f>
        <v>0</v>
      </c>
      <c r="U3" s="72">
        <f>IF($D3="TRANSPORTE",$H3,0)</f>
        <v>0</v>
      </c>
      <c r="V3" s="72"/>
      <c r="W3" s="72"/>
      <c r="X3" s="72"/>
      <c r="Z3" s="72">
        <f>IF($D3="ALIMENTAÇÃO",$G3,0)</f>
        <v>0</v>
      </c>
      <c r="AA3" s="72">
        <f>IF($D3="ANIMAIS",$G3,0)</f>
        <v>0</v>
      </c>
      <c r="AB3" s="72">
        <f>IF($D3="FILHO",$G3,0)</f>
        <v>0</v>
      </c>
      <c r="AC3" s="72">
        <f>IF($D3="GASOLINA",$G3,0)</f>
        <v>0</v>
      </c>
      <c r="AD3" s="72">
        <f>IF($D3="LAZER",$G3,0)</f>
        <v>0</v>
      </c>
      <c r="AE3" s="72">
        <f>IF($D3="MANUT. IMÓVEL",$G3,0)</f>
        <v>0</v>
      </c>
      <c r="AF3" s="72">
        <f>IF($D3="MANUT. VEICULAR",$G3,0)</f>
        <v>0</v>
      </c>
      <c r="AG3" s="72">
        <f>IF($D3="MÓVEIS",$G3,0)</f>
        <v>0</v>
      </c>
      <c r="AH3" s="72">
        <f>IF($D3="OUTROS",$G3,0)</f>
        <v>0</v>
      </c>
      <c r="AI3" s="72">
        <f>IF($D3="PLANOS",$G3,0)</f>
        <v>0</v>
      </c>
      <c r="AJ3" s="72">
        <f>IF($D3="SAÚDE",$G3,0)</f>
        <v>0</v>
      </c>
      <c r="AK3" s="72">
        <f>IF($D3="TRANSPORTE",$G3,0)</f>
        <v>0</v>
      </c>
      <c r="AQ3" s="71" t="s">
        <v>51</v>
      </c>
      <c r="AR3" s="97">
        <f t="shared" si="0"/>
        <v>230</v>
      </c>
      <c r="AS3" s="58">
        <f>AA63</f>
        <v>115</v>
      </c>
      <c r="AT3" s="58">
        <f>K63</f>
        <v>115</v>
      </c>
    </row>
    <row r="4" spans="2:48">
      <c r="B4" s="60">
        <v>44731</v>
      </c>
      <c r="C4" s="62" t="s">
        <v>74</v>
      </c>
      <c r="D4" s="79" t="s">
        <v>59</v>
      </c>
      <c r="E4" s="56">
        <v>231</v>
      </c>
      <c r="F4" s="76" t="s">
        <v>66</v>
      </c>
      <c r="G4" s="77">
        <f t="shared" ref="G4:G62" si="1">IF(F4="MARCIA",E4,IF(F4="AMBOS",E4/2,0))</f>
        <v>115.5</v>
      </c>
      <c r="H4" s="78">
        <f t="shared" ref="H4:H62" si="2">IF(F4="LUCIANO",E4,IF(F4="AMBOS",E4/2,0))</f>
        <v>115.5</v>
      </c>
      <c r="I4" s="91" t="s">
        <v>61</v>
      </c>
      <c r="J4" s="72">
        <f>IF($D4="ALIMENTAÇÃO",$H4,0)</f>
        <v>0</v>
      </c>
      <c r="K4" s="72">
        <f>IF($D4="ANIMAIS",$H4,0)</f>
        <v>0</v>
      </c>
      <c r="L4" s="72">
        <f>IF($D4="FILHO",$H4,0)</f>
        <v>0</v>
      </c>
      <c r="M4" s="72">
        <f>IF($D4="GASOLINA",$H4,0)</f>
        <v>0</v>
      </c>
      <c r="N4" s="72">
        <f>IF($D4="LAZER",$H4,0)</f>
        <v>0</v>
      </c>
      <c r="O4" s="72">
        <f>IF($D4="MANUT. IMÓVEL",$H4,0)</f>
        <v>0</v>
      </c>
      <c r="P4" s="72">
        <f>IF($D4="MANUT. VEICULAR",$H4,0)</f>
        <v>0</v>
      </c>
      <c r="Q4" s="72">
        <f>IF($D4="MÓVEIS",$H4,0)</f>
        <v>115.5</v>
      </c>
      <c r="R4" s="72">
        <f>IF($D4="OUTROS",$H4,0)</f>
        <v>0</v>
      </c>
      <c r="S4" s="72">
        <f>IF($D4="PLANOS",$H4,0)</f>
        <v>0</v>
      </c>
      <c r="T4" s="72">
        <f>IF($D4="SAÚDE",$H4,0)</f>
        <v>0</v>
      </c>
      <c r="U4" s="72">
        <f>IF($D4="TRANSPORTE",$H4,0)</f>
        <v>0</v>
      </c>
      <c r="V4" s="72"/>
      <c r="W4" s="72"/>
      <c r="X4" s="72"/>
      <c r="Z4" s="72">
        <f t="shared" ref="Z4:Z62" si="3">IF($D4="ALIMENTAÇÃO",$G4,0)</f>
        <v>0</v>
      </c>
      <c r="AA4" s="72">
        <f t="shared" ref="AA4:AA62" si="4">IF($D4="ANIMAIS",$G4,0)</f>
        <v>0</v>
      </c>
      <c r="AB4" s="72">
        <f t="shared" ref="AB4:AB62" si="5">IF($D4="FILHO",$G4,0)</f>
        <v>0</v>
      </c>
      <c r="AC4" s="72">
        <f t="shared" ref="AC4:AC62" si="6">IF($D4="GASOLINA",$G4,0)</f>
        <v>0</v>
      </c>
      <c r="AD4" s="72">
        <f t="shared" ref="AD4:AD62" si="7">IF($D4="LAZER",$G4,0)</f>
        <v>0</v>
      </c>
      <c r="AE4" s="72">
        <f t="shared" ref="AE4:AE62" si="8">IF($D4="MANUT. IMÓVEL",$G4,0)</f>
        <v>0</v>
      </c>
      <c r="AF4" s="72">
        <f t="shared" ref="AF4:AF62" si="9">IF($D4="MANUT. VEICULAR",$G4,0)</f>
        <v>0</v>
      </c>
      <c r="AG4" s="72">
        <f t="shared" ref="AG4:AG62" si="10">IF($D4="MÓVEIS",$G4,0)</f>
        <v>115.5</v>
      </c>
      <c r="AH4" s="72">
        <f t="shared" ref="AH4:AH62" si="11">IF($D4="OUTROS",$G4,0)</f>
        <v>0</v>
      </c>
      <c r="AI4" s="72">
        <f t="shared" ref="AI4:AI62" si="12">IF($D4="PLANOS",$G4,0)</f>
        <v>0</v>
      </c>
      <c r="AJ4" s="72">
        <f t="shared" ref="AJ4:AJ62" si="13">IF($D4="SAÚDE",$G4,0)</f>
        <v>0</v>
      </c>
      <c r="AK4" s="72">
        <f t="shared" ref="AK4:AK62" si="14">IF($D4="TRANSPORTE",$G4,0)</f>
        <v>0</v>
      </c>
      <c r="AM4" s="72"/>
      <c r="AQ4" s="71" t="s">
        <v>120</v>
      </c>
      <c r="AR4" s="97">
        <f t="shared" si="0"/>
        <v>14.9</v>
      </c>
      <c r="AS4" s="58">
        <f>AB63</f>
        <v>0</v>
      </c>
      <c r="AT4" s="58">
        <f>L63</f>
        <v>14.9</v>
      </c>
    </row>
    <row r="5" spans="2:48">
      <c r="B5" s="60">
        <v>44816</v>
      </c>
      <c r="C5" s="62" t="s">
        <v>82</v>
      </c>
      <c r="D5" s="79" t="s">
        <v>58</v>
      </c>
      <c r="E5" s="56">
        <v>158</v>
      </c>
      <c r="F5" s="76" t="s">
        <v>65</v>
      </c>
      <c r="G5" s="77">
        <f t="shared" si="1"/>
        <v>0</v>
      </c>
      <c r="H5" s="78">
        <f t="shared" si="2"/>
        <v>158</v>
      </c>
      <c r="I5" s="91" t="s">
        <v>70</v>
      </c>
      <c r="J5" s="72">
        <f t="shared" ref="J5:J62" si="15">IF($D5="ALIMENTAÇÃO",$H5,0)</f>
        <v>0</v>
      </c>
      <c r="K5" s="72">
        <f t="shared" ref="K5:K62" si="16">IF($D5="ANIMAIS",$H5,0)</f>
        <v>0</v>
      </c>
      <c r="L5" s="72">
        <f t="shared" ref="L5:L62" si="17">IF($D5="FILHO",$H5,0)</f>
        <v>0</v>
      </c>
      <c r="M5" s="72">
        <f t="shared" ref="M5:M62" si="18">IF($D5="GASOLINA",$H5,0)</f>
        <v>0</v>
      </c>
      <c r="N5" s="72">
        <f t="shared" ref="N5:N62" si="19">IF($D5="LAZER",$H5,0)</f>
        <v>0</v>
      </c>
      <c r="O5" s="72">
        <f t="shared" ref="O5:O62" si="20">IF($D5="MANUT. IMÓVEL",$H5,0)</f>
        <v>0</v>
      </c>
      <c r="P5" s="72">
        <f t="shared" ref="P5:P62" si="21">IF($D5="MANUT. VEICULAR",$H5,0)</f>
        <v>0</v>
      </c>
      <c r="Q5" s="72">
        <f t="shared" ref="Q5:Q62" si="22">IF($D5="MÓVEIS",$H5,0)</f>
        <v>0</v>
      </c>
      <c r="R5" s="72">
        <f t="shared" ref="R5:R62" si="23">IF($D5="OUTROS",$H5,0)</f>
        <v>0</v>
      </c>
      <c r="S5" s="72">
        <f t="shared" ref="S5:S62" si="24">IF($D5="PLANOS",$H5,0)</f>
        <v>0</v>
      </c>
      <c r="T5" s="72">
        <f t="shared" ref="T5:T62" si="25">IF($D5="SAÚDE",$H5,0)</f>
        <v>158</v>
      </c>
      <c r="U5" s="72">
        <f t="shared" ref="U5:U62" si="26">IF($D5="TRANSPORTE",$H5,0)</f>
        <v>0</v>
      </c>
      <c r="V5" s="72"/>
      <c r="W5" s="72"/>
      <c r="X5" s="72"/>
      <c r="Z5" s="72">
        <f t="shared" si="3"/>
        <v>0</v>
      </c>
      <c r="AA5" s="72">
        <f t="shared" si="4"/>
        <v>0</v>
      </c>
      <c r="AB5" s="72">
        <f t="shared" si="5"/>
        <v>0</v>
      </c>
      <c r="AC5" s="72">
        <f t="shared" si="6"/>
        <v>0</v>
      </c>
      <c r="AD5" s="72">
        <f t="shared" si="7"/>
        <v>0</v>
      </c>
      <c r="AE5" s="72">
        <f t="shared" si="8"/>
        <v>0</v>
      </c>
      <c r="AF5" s="72">
        <f t="shared" si="9"/>
        <v>0</v>
      </c>
      <c r="AG5" s="72">
        <f t="shared" si="10"/>
        <v>0</v>
      </c>
      <c r="AH5" s="72">
        <f t="shared" si="11"/>
        <v>0</v>
      </c>
      <c r="AI5" s="72">
        <f t="shared" si="12"/>
        <v>0</v>
      </c>
      <c r="AJ5" s="72">
        <f t="shared" si="13"/>
        <v>0</v>
      </c>
      <c r="AK5" s="72">
        <f t="shared" si="14"/>
        <v>0</v>
      </c>
      <c r="AQ5" s="71" t="s">
        <v>36</v>
      </c>
      <c r="AR5" s="97">
        <f t="shared" si="0"/>
        <v>170</v>
      </c>
      <c r="AS5" s="58">
        <f>AC63</f>
        <v>75</v>
      </c>
      <c r="AT5" s="58">
        <f>M63</f>
        <v>95</v>
      </c>
    </row>
    <row r="6" spans="2:48">
      <c r="B6" s="60">
        <v>44834</v>
      </c>
      <c r="C6" s="62" t="s">
        <v>83</v>
      </c>
      <c r="D6" s="79" t="s">
        <v>40</v>
      </c>
      <c r="E6" s="56">
        <v>37.979999999999997</v>
      </c>
      <c r="F6" s="76" t="s">
        <v>65</v>
      </c>
      <c r="G6" s="77">
        <f t="shared" si="1"/>
        <v>0</v>
      </c>
      <c r="H6" s="78">
        <f t="shared" si="2"/>
        <v>37.979999999999997</v>
      </c>
      <c r="I6" s="91" t="s">
        <v>72</v>
      </c>
      <c r="J6" s="72">
        <f t="shared" si="15"/>
        <v>0</v>
      </c>
      <c r="K6" s="72">
        <f t="shared" si="16"/>
        <v>0</v>
      </c>
      <c r="L6" s="72">
        <f t="shared" si="17"/>
        <v>0</v>
      </c>
      <c r="M6" s="72">
        <f t="shared" si="18"/>
        <v>0</v>
      </c>
      <c r="N6" s="72">
        <f t="shared" si="19"/>
        <v>0</v>
      </c>
      <c r="O6" s="72">
        <f t="shared" si="20"/>
        <v>0</v>
      </c>
      <c r="P6" s="72">
        <f t="shared" si="21"/>
        <v>0</v>
      </c>
      <c r="Q6" s="72">
        <f t="shared" si="22"/>
        <v>0</v>
      </c>
      <c r="R6" s="72">
        <f t="shared" si="23"/>
        <v>37.979999999999997</v>
      </c>
      <c r="S6" s="72">
        <f t="shared" si="24"/>
        <v>0</v>
      </c>
      <c r="T6" s="72">
        <f t="shared" si="25"/>
        <v>0</v>
      </c>
      <c r="U6" s="72">
        <f t="shared" si="26"/>
        <v>0</v>
      </c>
      <c r="V6" s="72"/>
      <c r="W6" s="72"/>
      <c r="X6" s="72"/>
      <c r="Z6" s="72">
        <f t="shared" si="3"/>
        <v>0</v>
      </c>
      <c r="AA6" s="72">
        <f t="shared" si="4"/>
        <v>0</v>
      </c>
      <c r="AB6" s="72">
        <f t="shared" si="5"/>
        <v>0</v>
      </c>
      <c r="AC6" s="72">
        <f t="shared" si="6"/>
        <v>0</v>
      </c>
      <c r="AD6" s="72">
        <f t="shared" si="7"/>
        <v>0</v>
      </c>
      <c r="AE6" s="72">
        <f t="shared" si="8"/>
        <v>0</v>
      </c>
      <c r="AF6" s="72">
        <f t="shared" si="9"/>
        <v>0</v>
      </c>
      <c r="AG6" s="72">
        <f t="shared" si="10"/>
        <v>0</v>
      </c>
      <c r="AH6" s="72">
        <f t="shared" si="11"/>
        <v>0</v>
      </c>
      <c r="AI6" s="72">
        <f t="shared" si="12"/>
        <v>0</v>
      </c>
      <c r="AJ6" s="72">
        <f t="shared" si="13"/>
        <v>0</v>
      </c>
      <c r="AK6" s="72">
        <f t="shared" si="14"/>
        <v>0</v>
      </c>
      <c r="AQ6" s="71" t="s">
        <v>56</v>
      </c>
      <c r="AR6" s="97">
        <f t="shared" si="0"/>
        <v>125.81</v>
      </c>
      <c r="AS6" s="58">
        <f>AD63</f>
        <v>62.905000000000001</v>
      </c>
      <c r="AT6" s="58">
        <f>N63</f>
        <v>62.905000000000001</v>
      </c>
    </row>
    <row r="7" spans="2:48">
      <c r="B7" s="60">
        <v>44834</v>
      </c>
      <c r="C7" s="62" t="s">
        <v>84</v>
      </c>
      <c r="D7" s="79" t="s">
        <v>40</v>
      </c>
      <c r="E7" s="56">
        <v>129</v>
      </c>
      <c r="F7" s="76" t="s">
        <v>65</v>
      </c>
      <c r="G7" s="77">
        <f t="shared" si="1"/>
        <v>0</v>
      </c>
      <c r="H7" s="78">
        <f t="shared" si="2"/>
        <v>129</v>
      </c>
      <c r="I7" s="91" t="s">
        <v>70</v>
      </c>
      <c r="J7" s="72">
        <f t="shared" si="15"/>
        <v>0</v>
      </c>
      <c r="K7" s="72">
        <f t="shared" si="16"/>
        <v>0</v>
      </c>
      <c r="L7" s="72">
        <f t="shared" si="17"/>
        <v>0</v>
      </c>
      <c r="M7" s="72">
        <f t="shared" si="18"/>
        <v>0</v>
      </c>
      <c r="N7" s="72">
        <f t="shared" si="19"/>
        <v>0</v>
      </c>
      <c r="O7" s="72">
        <f t="shared" si="20"/>
        <v>0</v>
      </c>
      <c r="P7" s="72">
        <f t="shared" si="21"/>
        <v>0</v>
      </c>
      <c r="Q7" s="72">
        <f t="shared" si="22"/>
        <v>0</v>
      </c>
      <c r="R7" s="72">
        <f t="shared" si="23"/>
        <v>129</v>
      </c>
      <c r="S7" s="72">
        <f t="shared" si="24"/>
        <v>0</v>
      </c>
      <c r="T7" s="72">
        <f t="shared" si="25"/>
        <v>0</v>
      </c>
      <c r="U7" s="72">
        <f t="shared" si="26"/>
        <v>0</v>
      </c>
      <c r="V7" s="72"/>
      <c r="W7" s="72"/>
      <c r="X7" s="72"/>
      <c r="Z7" s="72">
        <f t="shared" si="3"/>
        <v>0</v>
      </c>
      <c r="AA7" s="72">
        <f t="shared" si="4"/>
        <v>0</v>
      </c>
      <c r="AB7" s="72">
        <f t="shared" si="5"/>
        <v>0</v>
      </c>
      <c r="AC7" s="72">
        <f t="shared" si="6"/>
        <v>0</v>
      </c>
      <c r="AD7" s="72">
        <f t="shared" si="7"/>
        <v>0</v>
      </c>
      <c r="AE7" s="72">
        <f t="shared" si="8"/>
        <v>0</v>
      </c>
      <c r="AF7" s="72">
        <f t="shared" si="9"/>
        <v>0</v>
      </c>
      <c r="AG7" s="72">
        <f t="shared" si="10"/>
        <v>0</v>
      </c>
      <c r="AH7" s="72">
        <f t="shared" si="11"/>
        <v>0</v>
      </c>
      <c r="AI7" s="72">
        <f t="shared" si="12"/>
        <v>0</v>
      </c>
      <c r="AJ7" s="72">
        <f t="shared" si="13"/>
        <v>0</v>
      </c>
      <c r="AK7" s="72">
        <f t="shared" si="14"/>
        <v>0</v>
      </c>
      <c r="AQ7" s="71" t="s">
        <v>53</v>
      </c>
      <c r="AR7" s="97">
        <f t="shared" si="0"/>
        <v>0</v>
      </c>
      <c r="AS7" s="58">
        <f>AE63</f>
        <v>0</v>
      </c>
      <c r="AT7" s="58">
        <f>O63</f>
        <v>0</v>
      </c>
    </row>
    <row r="8" spans="2:48">
      <c r="B8" s="60">
        <v>44863</v>
      </c>
      <c r="C8" s="62" t="s">
        <v>107</v>
      </c>
      <c r="D8" s="79" t="s">
        <v>40</v>
      </c>
      <c r="E8" s="56">
        <v>50</v>
      </c>
      <c r="F8" s="76" t="s">
        <v>65</v>
      </c>
      <c r="G8" s="77">
        <f t="shared" si="1"/>
        <v>0</v>
      </c>
      <c r="H8" s="78">
        <f t="shared" si="2"/>
        <v>50</v>
      </c>
      <c r="I8" s="91" t="s">
        <v>69</v>
      </c>
      <c r="J8" s="72">
        <f t="shared" si="15"/>
        <v>0</v>
      </c>
      <c r="K8" s="72">
        <f t="shared" si="16"/>
        <v>0</v>
      </c>
      <c r="L8" s="72">
        <f t="shared" si="17"/>
        <v>0</v>
      </c>
      <c r="M8" s="72">
        <f t="shared" si="18"/>
        <v>0</v>
      </c>
      <c r="N8" s="72">
        <f t="shared" si="19"/>
        <v>0</v>
      </c>
      <c r="O8" s="72">
        <f t="shared" si="20"/>
        <v>0</v>
      </c>
      <c r="P8" s="72">
        <f t="shared" si="21"/>
        <v>0</v>
      </c>
      <c r="Q8" s="72">
        <f t="shared" si="22"/>
        <v>0</v>
      </c>
      <c r="R8" s="72">
        <f t="shared" si="23"/>
        <v>50</v>
      </c>
      <c r="S8" s="72">
        <f t="shared" si="24"/>
        <v>0</v>
      </c>
      <c r="T8" s="72">
        <f t="shared" si="25"/>
        <v>0</v>
      </c>
      <c r="U8" s="72">
        <f t="shared" si="26"/>
        <v>0</v>
      </c>
      <c r="V8" s="72"/>
      <c r="W8" s="72"/>
      <c r="X8" s="72"/>
      <c r="Z8" s="72">
        <f t="shared" si="3"/>
        <v>0</v>
      </c>
      <c r="AA8" s="72">
        <f t="shared" si="4"/>
        <v>0</v>
      </c>
      <c r="AB8" s="72">
        <f t="shared" si="5"/>
        <v>0</v>
      </c>
      <c r="AC8" s="72">
        <f t="shared" si="6"/>
        <v>0</v>
      </c>
      <c r="AD8" s="72">
        <f t="shared" si="7"/>
        <v>0</v>
      </c>
      <c r="AE8" s="72">
        <f t="shared" si="8"/>
        <v>0</v>
      </c>
      <c r="AF8" s="72">
        <f t="shared" si="9"/>
        <v>0</v>
      </c>
      <c r="AG8" s="72">
        <f t="shared" si="10"/>
        <v>0</v>
      </c>
      <c r="AH8" s="72">
        <f t="shared" si="11"/>
        <v>0</v>
      </c>
      <c r="AI8" s="72">
        <f t="shared" si="12"/>
        <v>0</v>
      </c>
      <c r="AJ8" s="72">
        <f t="shared" si="13"/>
        <v>0</v>
      </c>
      <c r="AK8" s="72">
        <f t="shared" si="14"/>
        <v>0</v>
      </c>
      <c r="AQ8" s="71" t="s">
        <v>54</v>
      </c>
      <c r="AR8" s="97">
        <f t="shared" si="0"/>
        <v>333.8</v>
      </c>
      <c r="AS8" s="58">
        <f>AF63</f>
        <v>0</v>
      </c>
      <c r="AT8" s="58">
        <f>P63</f>
        <v>333.8</v>
      </c>
    </row>
    <row r="9" spans="2:48">
      <c r="B9" s="60">
        <v>44861</v>
      </c>
      <c r="C9" s="62" t="s">
        <v>108</v>
      </c>
      <c r="D9" s="79" t="s">
        <v>40</v>
      </c>
      <c r="E9" s="56">
        <v>15.77</v>
      </c>
      <c r="F9" s="76" t="s">
        <v>66</v>
      </c>
      <c r="G9" s="77">
        <f t="shared" si="1"/>
        <v>7.8849999999999998</v>
      </c>
      <c r="H9" s="78">
        <f t="shared" si="2"/>
        <v>7.8849999999999998</v>
      </c>
      <c r="I9" s="91" t="s">
        <v>114</v>
      </c>
      <c r="J9" s="72">
        <f t="shared" si="15"/>
        <v>0</v>
      </c>
      <c r="K9" s="72">
        <f t="shared" si="16"/>
        <v>0</v>
      </c>
      <c r="L9" s="72">
        <f t="shared" si="17"/>
        <v>0</v>
      </c>
      <c r="M9" s="72">
        <f t="shared" si="18"/>
        <v>0</v>
      </c>
      <c r="N9" s="72">
        <f t="shared" si="19"/>
        <v>0</v>
      </c>
      <c r="O9" s="72">
        <f t="shared" si="20"/>
        <v>0</v>
      </c>
      <c r="P9" s="72">
        <f t="shared" si="21"/>
        <v>0</v>
      </c>
      <c r="Q9" s="72">
        <f t="shared" si="22"/>
        <v>0</v>
      </c>
      <c r="R9" s="72">
        <f t="shared" si="23"/>
        <v>7.8849999999999998</v>
      </c>
      <c r="S9" s="72">
        <f t="shared" si="24"/>
        <v>0</v>
      </c>
      <c r="T9" s="72">
        <f t="shared" si="25"/>
        <v>0</v>
      </c>
      <c r="U9" s="72">
        <f t="shared" si="26"/>
        <v>0</v>
      </c>
      <c r="V9" s="72"/>
      <c r="W9" s="72"/>
      <c r="X9" s="72"/>
      <c r="Z9" s="72">
        <f t="shared" si="3"/>
        <v>0</v>
      </c>
      <c r="AA9" s="72">
        <f t="shared" si="4"/>
        <v>0</v>
      </c>
      <c r="AB9" s="72">
        <f t="shared" si="5"/>
        <v>0</v>
      </c>
      <c r="AC9" s="72">
        <f t="shared" si="6"/>
        <v>0</v>
      </c>
      <c r="AD9" s="72">
        <f t="shared" si="7"/>
        <v>0</v>
      </c>
      <c r="AE9" s="72">
        <f t="shared" si="8"/>
        <v>0</v>
      </c>
      <c r="AF9" s="72">
        <f t="shared" si="9"/>
        <v>0</v>
      </c>
      <c r="AG9" s="72">
        <f t="shared" si="10"/>
        <v>0</v>
      </c>
      <c r="AH9" s="72">
        <f t="shared" si="11"/>
        <v>7.8849999999999998</v>
      </c>
      <c r="AI9" s="72">
        <f t="shared" si="12"/>
        <v>0</v>
      </c>
      <c r="AJ9" s="72">
        <f t="shared" si="13"/>
        <v>0</v>
      </c>
      <c r="AK9" s="72">
        <f t="shared" si="14"/>
        <v>0</v>
      </c>
      <c r="AQ9" s="71" t="s">
        <v>59</v>
      </c>
      <c r="AR9" s="97">
        <f t="shared" si="0"/>
        <v>231</v>
      </c>
      <c r="AS9" s="58">
        <f>AG63</f>
        <v>115.5</v>
      </c>
      <c r="AT9" s="58">
        <f>Q63</f>
        <v>115.5</v>
      </c>
    </row>
    <row r="10" spans="2:48">
      <c r="B10" s="60">
        <v>44857</v>
      </c>
      <c r="C10" s="62" t="s">
        <v>109</v>
      </c>
      <c r="D10" s="79" t="s">
        <v>40</v>
      </c>
      <c r="E10" s="56">
        <v>119.9</v>
      </c>
      <c r="F10" s="76" t="s">
        <v>65</v>
      </c>
      <c r="G10" s="77">
        <f t="shared" si="1"/>
        <v>0</v>
      </c>
      <c r="H10" s="78">
        <f t="shared" si="2"/>
        <v>119.9</v>
      </c>
      <c r="I10" s="91" t="s">
        <v>73</v>
      </c>
      <c r="J10" s="72">
        <f t="shared" si="15"/>
        <v>0</v>
      </c>
      <c r="K10" s="72">
        <f t="shared" si="16"/>
        <v>0</v>
      </c>
      <c r="L10" s="72">
        <f t="shared" si="17"/>
        <v>0</v>
      </c>
      <c r="M10" s="72">
        <f t="shared" si="18"/>
        <v>0</v>
      </c>
      <c r="N10" s="72">
        <f t="shared" si="19"/>
        <v>0</v>
      </c>
      <c r="O10" s="72">
        <f t="shared" si="20"/>
        <v>0</v>
      </c>
      <c r="P10" s="72">
        <f t="shared" si="21"/>
        <v>0</v>
      </c>
      <c r="Q10" s="72">
        <f t="shared" si="22"/>
        <v>0</v>
      </c>
      <c r="R10" s="72">
        <f t="shared" si="23"/>
        <v>119.9</v>
      </c>
      <c r="S10" s="72">
        <f t="shared" si="24"/>
        <v>0</v>
      </c>
      <c r="T10" s="72">
        <f t="shared" si="25"/>
        <v>0</v>
      </c>
      <c r="U10" s="72">
        <f t="shared" si="26"/>
        <v>0</v>
      </c>
      <c r="V10" s="72"/>
      <c r="W10" s="72"/>
      <c r="X10" s="72"/>
      <c r="Z10" s="72">
        <f t="shared" si="3"/>
        <v>0</v>
      </c>
      <c r="AA10" s="72">
        <f t="shared" si="4"/>
        <v>0</v>
      </c>
      <c r="AB10" s="72">
        <f t="shared" si="5"/>
        <v>0</v>
      </c>
      <c r="AC10" s="72">
        <f t="shared" si="6"/>
        <v>0</v>
      </c>
      <c r="AD10" s="72">
        <f t="shared" si="7"/>
        <v>0</v>
      </c>
      <c r="AE10" s="72">
        <f t="shared" si="8"/>
        <v>0</v>
      </c>
      <c r="AF10" s="72">
        <f t="shared" si="9"/>
        <v>0</v>
      </c>
      <c r="AG10" s="72">
        <f t="shared" si="10"/>
        <v>0</v>
      </c>
      <c r="AH10" s="72">
        <f t="shared" si="11"/>
        <v>0</v>
      </c>
      <c r="AI10" s="72">
        <f t="shared" si="12"/>
        <v>0</v>
      </c>
      <c r="AJ10" s="72">
        <f t="shared" si="13"/>
        <v>0</v>
      </c>
      <c r="AK10" s="72">
        <f t="shared" si="14"/>
        <v>0</v>
      </c>
      <c r="AQ10" s="71" t="s">
        <v>40</v>
      </c>
      <c r="AR10" s="97">
        <f t="shared" si="0"/>
        <v>690.55</v>
      </c>
      <c r="AS10" s="58">
        <f>AH63</f>
        <v>7.8849999999999998</v>
      </c>
      <c r="AT10" s="58">
        <f>R63</f>
        <v>682.66499999999996</v>
      </c>
    </row>
    <row r="11" spans="2:48">
      <c r="B11" s="60">
        <v>44870</v>
      </c>
      <c r="C11" s="57" t="s">
        <v>111</v>
      </c>
      <c r="D11" s="79" t="s">
        <v>54</v>
      </c>
      <c r="E11" s="56">
        <v>122.5</v>
      </c>
      <c r="F11" s="76" t="s">
        <v>65</v>
      </c>
      <c r="G11" s="77">
        <f t="shared" si="1"/>
        <v>0</v>
      </c>
      <c r="H11" s="78">
        <f t="shared" si="2"/>
        <v>122.5</v>
      </c>
      <c r="I11" s="91" t="s">
        <v>60</v>
      </c>
      <c r="J11" s="72">
        <f t="shared" si="15"/>
        <v>0</v>
      </c>
      <c r="K11" s="72">
        <f t="shared" si="16"/>
        <v>0</v>
      </c>
      <c r="L11" s="72">
        <f t="shared" si="17"/>
        <v>0</v>
      </c>
      <c r="M11" s="72">
        <f t="shared" si="18"/>
        <v>0</v>
      </c>
      <c r="N11" s="72">
        <f t="shared" si="19"/>
        <v>0</v>
      </c>
      <c r="O11" s="72">
        <f t="shared" si="20"/>
        <v>0</v>
      </c>
      <c r="P11" s="72">
        <f t="shared" si="21"/>
        <v>122.5</v>
      </c>
      <c r="Q11" s="72">
        <f t="shared" si="22"/>
        <v>0</v>
      </c>
      <c r="R11" s="72">
        <f t="shared" si="23"/>
        <v>0</v>
      </c>
      <c r="S11" s="72">
        <f t="shared" si="24"/>
        <v>0</v>
      </c>
      <c r="T11" s="72">
        <f t="shared" si="25"/>
        <v>0</v>
      </c>
      <c r="U11" s="72">
        <f t="shared" si="26"/>
        <v>0</v>
      </c>
      <c r="V11" s="72"/>
      <c r="W11" s="72"/>
      <c r="X11" s="72"/>
      <c r="Z11" s="72">
        <f t="shared" si="3"/>
        <v>0</v>
      </c>
      <c r="AA11" s="72">
        <f t="shared" si="4"/>
        <v>0</v>
      </c>
      <c r="AB11" s="72">
        <f t="shared" si="5"/>
        <v>0</v>
      </c>
      <c r="AC11" s="72">
        <f t="shared" si="6"/>
        <v>0</v>
      </c>
      <c r="AD11" s="72">
        <f t="shared" si="7"/>
        <v>0</v>
      </c>
      <c r="AE11" s="72">
        <f t="shared" si="8"/>
        <v>0</v>
      </c>
      <c r="AF11" s="72">
        <f t="shared" si="9"/>
        <v>0</v>
      </c>
      <c r="AG11" s="72">
        <f t="shared" si="10"/>
        <v>0</v>
      </c>
      <c r="AH11" s="72">
        <f t="shared" si="11"/>
        <v>0</v>
      </c>
      <c r="AI11" s="72">
        <f t="shared" si="12"/>
        <v>0</v>
      </c>
      <c r="AJ11" s="72">
        <f t="shared" si="13"/>
        <v>0</v>
      </c>
      <c r="AK11" s="72">
        <f t="shared" si="14"/>
        <v>0</v>
      </c>
      <c r="AQ11" s="71" t="s">
        <v>55</v>
      </c>
      <c r="AR11" s="97">
        <f t="shared" si="0"/>
        <v>0</v>
      </c>
      <c r="AS11" s="58">
        <f>AI63</f>
        <v>0</v>
      </c>
      <c r="AT11" s="58">
        <f>S63</f>
        <v>0</v>
      </c>
    </row>
    <row r="12" spans="2:48">
      <c r="B12" s="60">
        <v>44904</v>
      </c>
      <c r="C12" s="62" t="s">
        <v>113</v>
      </c>
      <c r="D12" s="79" t="s">
        <v>58</v>
      </c>
      <c r="E12" s="56">
        <v>197.7</v>
      </c>
      <c r="F12" s="76" t="s">
        <v>65</v>
      </c>
      <c r="G12" s="77">
        <f t="shared" si="1"/>
        <v>0</v>
      </c>
      <c r="H12" s="78">
        <f t="shared" si="2"/>
        <v>197.7</v>
      </c>
      <c r="I12" s="91" t="s">
        <v>23</v>
      </c>
      <c r="J12" s="72">
        <f t="shared" si="15"/>
        <v>0</v>
      </c>
      <c r="K12" s="72">
        <f t="shared" si="16"/>
        <v>0</v>
      </c>
      <c r="L12" s="72">
        <f t="shared" si="17"/>
        <v>0</v>
      </c>
      <c r="M12" s="72">
        <f t="shared" si="18"/>
        <v>0</v>
      </c>
      <c r="N12" s="72">
        <f t="shared" si="19"/>
        <v>0</v>
      </c>
      <c r="O12" s="72">
        <f t="shared" si="20"/>
        <v>0</v>
      </c>
      <c r="P12" s="72">
        <f t="shared" si="21"/>
        <v>0</v>
      </c>
      <c r="Q12" s="72">
        <f t="shared" si="22"/>
        <v>0</v>
      </c>
      <c r="R12" s="72">
        <f t="shared" si="23"/>
        <v>0</v>
      </c>
      <c r="S12" s="72">
        <f t="shared" si="24"/>
        <v>0</v>
      </c>
      <c r="T12" s="72">
        <f t="shared" si="25"/>
        <v>197.7</v>
      </c>
      <c r="U12" s="72">
        <f t="shared" si="26"/>
        <v>0</v>
      </c>
      <c r="V12" s="72"/>
      <c r="W12" s="72"/>
      <c r="X12" s="72"/>
      <c r="Z12" s="72">
        <f t="shared" si="3"/>
        <v>0</v>
      </c>
      <c r="AA12" s="72">
        <f t="shared" si="4"/>
        <v>0</v>
      </c>
      <c r="AB12" s="72">
        <f t="shared" si="5"/>
        <v>0</v>
      </c>
      <c r="AC12" s="72">
        <f t="shared" si="6"/>
        <v>0</v>
      </c>
      <c r="AD12" s="72">
        <f t="shared" si="7"/>
        <v>0</v>
      </c>
      <c r="AE12" s="72">
        <f t="shared" si="8"/>
        <v>0</v>
      </c>
      <c r="AF12" s="72">
        <f t="shared" si="9"/>
        <v>0</v>
      </c>
      <c r="AG12" s="72">
        <f t="shared" si="10"/>
        <v>0</v>
      </c>
      <c r="AH12" s="72">
        <f t="shared" si="11"/>
        <v>0</v>
      </c>
      <c r="AI12" s="72">
        <f t="shared" si="12"/>
        <v>0</v>
      </c>
      <c r="AJ12" s="72">
        <f t="shared" si="13"/>
        <v>0</v>
      </c>
      <c r="AK12" s="72">
        <f t="shared" si="14"/>
        <v>0</v>
      </c>
      <c r="AQ12" s="71" t="s">
        <v>58</v>
      </c>
      <c r="AR12" s="97">
        <f t="shared" si="0"/>
        <v>355.7</v>
      </c>
      <c r="AS12" s="58">
        <f>AJ63</f>
        <v>0</v>
      </c>
      <c r="AT12" s="58">
        <f>T63</f>
        <v>355.7</v>
      </c>
    </row>
    <row r="13" spans="2:48">
      <c r="B13" s="60">
        <v>44911</v>
      </c>
      <c r="C13" s="62" t="s">
        <v>115</v>
      </c>
      <c r="D13" s="79" t="s">
        <v>56</v>
      </c>
      <c r="E13" s="56">
        <v>125.81</v>
      </c>
      <c r="F13" s="76" t="s">
        <v>66</v>
      </c>
      <c r="G13" s="77">
        <f t="shared" si="1"/>
        <v>62.905000000000001</v>
      </c>
      <c r="H13" s="78">
        <f t="shared" si="2"/>
        <v>62.905000000000001</v>
      </c>
      <c r="I13" s="91"/>
      <c r="J13" s="72">
        <f t="shared" si="15"/>
        <v>0</v>
      </c>
      <c r="K13" s="72">
        <f t="shared" si="16"/>
        <v>0</v>
      </c>
      <c r="L13" s="72">
        <f t="shared" si="17"/>
        <v>0</v>
      </c>
      <c r="M13" s="72">
        <f t="shared" si="18"/>
        <v>0</v>
      </c>
      <c r="N13" s="72">
        <f t="shared" si="19"/>
        <v>62.905000000000001</v>
      </c>
      <c r="O13" s="72">
        <f t="shared" si="20"/>
        <v>0</v>
      </c>
      <c r="P13" s="72">
        <f t="shared" si="21"/>
        <v>0</v>
      </c>
      <c r="Q13" s="72">
        <f t="shared" si="22"/>
        <v>0</v>
      </c>
      <c r="R13" s="72">
        <f t="shared" si="23"/>
        <v>0</v>
      </c>
      <c r="S13" s="72">
        <f t="shared" si="24"/>
        <v>0</v>
      </c>
      <c r="T13" s="72">
        <f t="shared" si="25"/>
        <v>0</v>
      </c>
      <c r="U13" s="72">
        <f t="shared" si="26"/>
        <v>0</v>
      </c>
      <c r="V13" s="72"/>
      <c r="W13" s="72"/>
      <c r="X13" s="72"/>
      <c r="Z13" s="72">
        <f t="shared" si="3"/>
        <v>0</v>
      </c>
      <c r="AA13" s="72">
        <f t="shared" si="4"/>
        <v>0</v>
      </c>
      <c r="AB13" s="72">
        <f t="shared" si="5"/>
        <v>0</v>
      </c>
      <c r="AC13" s="72">
        <f t="shared" si="6"/>
        <v>0</v>
      </c>
      <c r="AD13" s="72">
        <f t="shared" si="7"/>
        <v>62.905000000000001</v>
      </c>
      <c r="AE13" s="72">
        <f t="shared" si="8"/>
        <v>0</v>
      </c>
      <c r="AF13" s="72">
        <f t="shared" si="9"/>
        <v>0</v>
      </c>
      <c r="AG13" s="72">
        <f t="shared" si="10"/>
        <v>0</v>
      </c>
      <c r="AH13" s="72">
        <f t="shared" si="11"/>
        <v>0</v>
      </c>
      <c r="AI13" s="72">
        <f t="shared" si="12"/>
        <v>0</v>
      </c>
      <c r="AJ13" s="72">
        <f t="shared" si="13"/>
        <v>0</v>
      </c>
      <c r="AK13" s="72">
        <f t="shared" si="14"/>
        <v>0</v>
      </c>
      <c r="AQ13" s="71" t="s">
        <v>52</v>
      </c>
      <c r="AR13" s="97">
        <f t="shared" si="0"/>
        <v>0</v>
      </c>
      <c r="AS13" s="58">
        <f>AK63</f>
        <v>0</v>
      </c>
      <c r="AT13" s="58">
        <f>U63</f>
        <v>0</v>
      </c>
    </row>
    <row r="14" spans="2:48">
      <c r="B14" s="60">
        <v>44914</v>
      </c>
      <c r="C14" s="62" t="s">
        <v>112</v>
      </c>
      <c r="D14" s="79" t="s">
        <v>51</v>
      </c>
      <c r="E14" s="56">
        <v>105</v>
      </c>
      <c r="F14" s="76" t="s">
        <v>66</v>
      </c>
      <c r="G14" s="77">
        <f t="shared" si="1"/>
        <v>52.5</v>
      </c>
      <c r="H14" s="78">
        <f t="shared" si="2"/>
        <v>52.5</v>
      </c>
      <c r="I14" s="91"/>
      <c r="J14" s="72">
        <f t="shared" si="15"/>
        <v>0</v>
      </c>
      <c r="K14" s="72">
        <f t="shared" si="16"/>
        <v>52.5</v>
      </c>
      <c r="L14" s="72">
        <f t="shared" si="17"/>
        <v>0</v>
      </c>
      <c r="M14" s="72">
        <f t="shared" si="18"/>
        <v>0</v>
      </c>
      <c r="N14" s="72">
        <f t="shared" si="19"/>
        <v>0</v>
      </c>
      <c r="O14" s="72">
        <f t="shared" si="20"/>
        <v>0</v>
      </c>
      <c r="P14" s="72">
        <f t="shared" si="21"/>
        <v>0</v>
      </c>
      <c r="Q14" s="72">
        <f t="shared" si="22"/>
        <v>0</v>
      </c>
      <c r="R14" s="72">
        <f t="shared" si="23"/>
        <v>0</v>
      </c>
      <c r="S14" s="72">
        <f t="shared" si="24"/>
        <v>0</v>
      </c>
      <c r="T14" s="72">
        <f t="shared" si="25"/>
        <v>0</v>
      </c>
      <c r="U14" s="72">
        <f t="shared" si="26"/>
        <v>0</v>
      </c>
      <c r="V14" s="72"/>
      <c r="W14" s="72"/>
      <c r="X14" s="72"/>
      <c r="Z14" s="72">
        <f t="shared" si="3"/>
        <v>0</v>
      </c>
      <c r="AA14" s="72">
        <f t="shared" si="4"/>
        <v>52.5</v>
      </c>
      <c r="AB14" s="72">
        <f t="shared" si="5"/>
        <v>0</v>
      </c>
      <c r="AC14" s="72">
        <f t="shared" si="6"/>
        <v>0</v>
      </c>
      <c r="AD14" s="72">
        <f t="shared" si="7"/>
        <v>0</v>
      </c>
      <c r="AE14" s="72">
        <f t="shared" si="8"/>
        <v>0</v>
      </c>
      <c r="AF14" s="72">
        <f t="shared" si="9"/>
        <v>0</v>
      </c>
      <c r="AG14" s="72">
        <f t="shared" si="10"/>
        <v>0</v>
      </c>
      <c r="AH14" s="72">
        <f t="shared" si="11"/>
        <v>0</v>
      </c>
      <c r="AI14" s="72">
        <f t="shared" si="12"/>
        <v>0</v>
      </c>
      <c r="AJ14" s="72">
        <f t="shared" si="13"/>
        <v>0</v>
      </c>
      <c r="AK14" s="72">
        <f t="shared" si="14"/>
        <v>0</v>
      </c>
      <c r="AQ14" s="71"/>
      <c r="AR14" s="97">
        <f t="shared" si="0"/>
        <v>0</v>
      </c>
      <c r="AS14" s="58">
        <f>AL63</f>
        <v>0</v>
      </c>
      <c r="AT14" s="58">
        <f>V63</f>
        <v>0</v>
      </c>
    </row>
    <row r="15" spans="2:48">
      <c r="B15" s="60">
        <v>44914</v>
      </c>
      <c r="C15" s="62" t="s">
        <v>116</v>
      </c>
      <c r="D15" s="79" t="s">
        <v>40</v>
      </c>
      <c r="E15" s="56">
        <v>28</v>
      </c>
      <c r="F15" s="76" t="s">
        <v>65</v>
      </c>
      <c r="G15" s="77">
        <f t="shared" si="1"/>
        <v>0</v>
      </c>
      <c r="H15" s="78">
        <f t="shared" si="2"/>
        <v>28</v>
      </c>
      <c r="I15" s="91"/>
      <c r="J15" s="72">
        <f t="shared" si="15"/>
        <v>0</v>
      </c>
      <c r="K15" s="72">
        <f t="shared" si="16"/>
        <v>0</v>
      </c>
      <c r="L15" s="72">
        <f t="shared" si="17"/>
        <v>0</v>
      </c>
      <c r="M15" s="72">
        <f t="shared" si="18"/>
        <v>0</v>
      </c>
      <c r="N15" s="72">
        <f t="shared" si="19"/>
        <v>0</v>
      </c>
      <c r="O15" s="72">
        <f t="shared" si="20"/>
        <v>0</v>
      </c>
      <c r="P15" s="72">
        <f t="shared" si="21"/>
        <v>0</v>
      </c>
      <c r="Q15" s="72">
        <f t="shared" si="22"/>
        <v>0</v>
      </c>
      <c r="R15" s="72">
        <f t="shared" si="23"/>
        <v>28</v>
      </c>
      <c r="S15" s="72">
        <f t="shared" si="24"/>
        <v>0</v>
      </c>
      <c r="T15" s="72">
        <f t="shared" si="25"/>
        <v>0</v>
      </c>
      <c r="U15" s="72">
        <f t="shared" si="26"/>
        <v>0</v>
      </c>
      <c r="V15" s="72"/>
      <c r="W15" s="72"/>
      <c r="X15" s="72"/>
      <c r="Z15" s="72">
        <f t="shared" si="3"/>
        <v>0</v>
      </c>
      <c r="AA15" s="72">
        <f t="shared" si="4"/>
        <v>0</v>
      </c>
      <c r="AB15" s="72">
        <f t="shared" si="5"/>
        <v>0</v>
      </c>
      <c r="AC15" s="72">
        <f t="shared" si="6"/>
        <v>0</v>
      </c>
      <c r="AD15" s="72">
        <f t="shared" si="7"/>
        <v>0</v>
      </c>
      <c r="AE15" s="72">
        <f t="shared" si="8"/>
        <v>0</v>
      </c>
      <c r="AF15" s="72">
        <f t="shared" si="9"/>
        <v>0</v>
      </c>
      <c r="AG15" s="72">
        <f t="shared" si="10"/>
        <v>0</v>
      </c>
      <c r="AH15" s="72">
        <f t="shared" si="11"/>
        <v>0</v>
      </c>
      <c r="AI15" s="72">
        <f t="shared" si="12"/>
        <v>0</v>
      </c>
      <c r="AJ15" s="72">
        <f t="shared" si="13"/>
        <v>0</v>
      </c>
      <c r="AK15" s="72">
        <f t="shared" si="14"/>
        <v>0</v>
      </c>
      <c r="AQ15" s="71"/>
      <c r="AR15" s="97">
        <f t="shared" si="0"/>
        <v>0</v>
      </c>
      <c r="AS15" s="58">
        <f>AM63</f>
        <v>0</v>
      </c>
      <c r="AT15" s="58">
        <f>W63</f>
        <v>0</v>
      </c>
    </row>
    <row r="16" spans="2:48">
      <c r="B16" s="60">
        <v>44915</v>
      </c>
      <c r="C16" s="62" t="s">
        <v>79</v>
      </c>
      <c r="D16" s="79" t="s">
        <v>36</v>
      </c>
      <c r="E16" s="56">
        <v>20</v>
      </c>
      <c r="F16" s="76" t="s">
        <v>65</v>
      </c>
      <c r="G16" s="77">
        <f t="shared" si="1"/>
        <v>0</v>
      </c>
      <c r="H16" s="78">
        <f t="shared" si="2"/>
        <v>20</v>
      </c>
      <c r="I16" s="91"/>
      <c r="J16" s="72">
        <f t="shared" si="15"/>
        <v>0</v>
      </c>
      <c r="K16" s="72">
        <f t="shared" si="16"/>
        <v>0</v>
      </c>
      <c r="L16" s="72">
        <f t="shared" si="17"/>
        <v>0</v>
      </c>
      <c r="M16" s="72">
        <f t="shared" si="18"/>
        <v>20</v>
      </c>
      <c r="N16" s="72">
        <f t="shared" si="19"/>
        <v>0</v>
      </c>
      <c r="O16" s="72">
        <f t="shared" si="20"/>
        <v>0</v>
      </c>
      <c r="P16" s="72">
        <f t="shared" si="21"/>
        <v>0</v>
      </c>
      <c r="Q16" s="72">
        <f t="shared" si="22"/>
        <v>0</v>
      </c>
      <c r="R16" s="72">
        <f t="shared" si="23"/>
        <v>0</v>
      </c>
      <c r="S16" s="72">
        <f t="shared" si="24"/>
        <v>0</v>
      </c>
      <c r="T16" s="72">
        <f t="shared" si="25"/>
        <v>0</v>
      </c>
      <c r="U16" s="72">
        <f t="shared" si="26"/>
        <v>0</v>
      </c>
      <c r="V16" s="72"/>
      <c r="W16" s="72"/>
      <c r="X16" s="72"/>
      <c r="Z16" s="72">
        <f t="shared" si="3"/>
        <v>0</v>
      </c>
      <c r="AA16" s="72">
        <f t="shared" si="4"/>
        <v>0</v>
      </c>
      <c r="AB16" s="72">
        <f t="shared" si="5"/>
        <v>0</v>
      </c>
      <c r="AC16" s="72">
        <f t="shared" si="6"/>
        <v>0</v>
      </c>
      <c r="AD16" s="72">
        <f t="shared" si="7"/>
        <v>0</v>
      </c>
      <c r="AE16" s="72">
        <f t="shared" si="8"/>
        <v>0</v>
      </c>
      <c r="AF16" s="72">
        <f t="shared" si="9"/>
        <v>0</v>
      </c>
      <c r="AG16" s="72">
        <f t="shared" si="10"/>
        <v>0</v>
      </c>
      <c r="AH16" s="72">
        <f t="shared" si="11"/>
        <v>0</v>
      </c>
      <c r="AI16" s="72">
        <f t="shared" si="12"/>
        <v>0</v>
      </c>
      <c r="AJ16" s="72">
        <f t="shared" si="13"/>
        <v>0</v>
      </c>
      <c r="AK16" s="72">
        <f t="shared" si="14"/>
        <v>0</v>
      </c>
      <c r="AQ16" s="71"/>
      <c r="AR16" s="97">
        <f t="shared" si="0"/>
        <v>0</v>
      </c>
      <c r="AS16" s="95">
        <f>AN63</f>
        <v>0</v>
      </c>
      <c r="AT16" s="95">
        <f>X63</f>
        <v>0</v>
      </c>
      <c r="AU16" s="59"/>
    </row>
    <row r="17" spans="2:52">
      <c r="B17" s="60">
        <v>44918</v>
      </c>
      <c r="C17" s="62" t="s">
        <v>81</v>
      </c>
      <c r="D17" s="79" t="s">
        <v>36</v>
      </c>
      <c r="E17" s="56">
        <v>150</v>
      </c>
      <c r="F17" s="76" t="s">
        <v>66</v>
      </c>
      <c r="G17" s="77">
        <f t="shared" si="1"/>
        <v>75</v>
      </c>
      <c r="H17" s="78">
        <f t="shared" si="2"/>
        <v>75</v>
      </c>
      <c r="I17" s="91"/>
      <c r="J17" s="72">
        <f t="shared" si="15"/>
        <v>0</v>
      </c>
      <c r="K17" s="72">
        <f t="shared" si="16"/>
        <v>0</v>
      </c>
      <c r="L17" s="72">
        <f t="shared" si="17"/>
        <v>0</v>
      </c>
      <c r="M17" s="72">
        <f t="shared" si="18"/>
        <v>75</v>
      </c>
      <c r="N17" s="72">
        <f t="shared" si="19"/>
        <v>0</v>
      </c>
      <c r="O17" s="72">
        <f t="shared" si="20"/>
        <v>0</v>
      </c>
      <c r="P17" s="72">
        <f t="shared" si="21"/>
        <v>0</v>
      </c>
      <c r="Q17" s="72">
        <f t="shared" si="22"/>
        <v>0</v>
      </c>
      <c r="R17" s="72">
        <f t="shared" si="23"/>
        <v>0</v>
      </c>
      <c r="S17" s="72">
        <f t="shared" si="24"/>
        <v>0</v>
      </c>
      <c r="T17" s="72">
        <f t="shared" si="25"/>
        <v>0</v>
      </c>
      <c r="U17" s="72">
        <f t="shared" si="26"/>
        <v>0</v>
      </c>
      <c r="V17" s="72"/>
      <c r="W17" s="72"/>
      <c r="X17" s="72"/>
      <c r="Z17" s="72">
        <f t="shared" si="3"/>
        <v>0</v>
      </c>
      <c r="AA17" s="72">
        <f t="shared" si="4"/>
        <v>0</v>
      </c>
      <c r="AB17" s="72">
        <f t="shared" si="5"/>
        <v>0</v>
      </c>
      <c r="AC17" s="72">
        <f t="shared" si="6"/>
        <v>75</v>
      </c>
      <c r="AD17" s="72">
        <f t="shared" si="7"/>
        <v>0</v>
      </c>
      <c r="AE17" s="72">
        <f t="shared" si="8"/>
        <v>0</v>
      </c>
      <c r="AF17" s="72">
        <f t="shared" si="9"/>
        <v>0</v>
      </c>
      <c r="AG17" s="72">
        <f t="shared" si="10"/>
        <v>0</v>
      </c>
      <c r="AH17" s="72">
        <f t="shared" si="11"/>
        <v>0</v>
      </c>
      <c r="AI17" s="72">
        <f t="shared" si="12"/>
        <v>0</v>
      </c>
      <c r="AJ17" s="72">
        <f t="shared" si="13"/>
        <v>0</v>
      </c>
      <c r="AK17" s="72">
        <f t="shared" si="14"/>
        <v>0</v>
      </c>
      <c r="AQ17" s="87" t="s">
        <v>67</v>
      </c>
      <c r="AR17" s="96">
        <f>SUM(AR2:AR16)</f>
        <v>2151.7599999999998</v>
      </c>
      <c r="AS17" s="88">
        <f>SUM(AS2:AS16)</f>
        <v>376.28999999999996</v>
      </c>
      <c r="AT17" s="88">
        <f>SUM(AT2:AT16)</f>
        <v>1775.47</v>
      </c>
    </row>
    <row r="18" spans="2:52">
      <c r="B18" s="82">
        <v>44919</v>
      </c>
      <c r="C18" s="83" t="s">
        <v>117</v>
      </c>
      <c r="D18" s="79" t="s">
        <v>40</v>
      </c>
      <c r="E18" s="85">
        <v>160</v>
      </c>
      <c r="F18" s="76" t="s">
        <v>65</v>
      </c>
      <c r="G18" s="77">
        <f t="shared" si="1"/>
        <v>0</v>
      </c>
      <c r="H18" s="78">
        <f t="shared" si="2"/>
        <v>160</v>
      </c>
      <c r="I18" s="91"/>
      <c r="J18" s="72">
        <f t="shared" si="15"/>
        <v>0</v>
      </c>
      <c r="K18" s="72">
        <f t="shared" si="16"/>
        <v>0</v>
      </c>
      <c r="L18" s="72">
        <f t="shared" si="17"/>
        <v>0</v>
      </c>
      <c r="M18" s="72">
        <f t="shared" si="18"/>
        <v>0</v>
      </c>
      <c r="N18" s="72">
        <f t="shared" si="19"/>
        <v>0</v>
      </c>
      <c r="O18" s="72">
        <f t="shared" si="20"/>
        <v>0</v>
      </c>
      <c r="P18" s="72">
        <f t="shared" si="21"/>
        <v>0</v>
      </c>
      <c r="Q18" s="72">
        <f t="shared" si="22"/>
        <v>0</v>
      </c>
      <c r="R18" s="72">
        <f t="shared" si="23"/>
        <v>160</v>
      </c>
      <c r="S18" s="72">
        <f t="shared" si="24"/>
        <v>0</v>
      </c>
      <c r="T18" s="72">
        <f t="shared" si="25"/>
        <v>0</v>
      </c>
      <c r="U18" s="72">
        <f t="shared" si="26"/>
        <v>0</v>
      </c>
      <c r="V18" s="72"/>
      <c r="W18" s="72"/>
      <c r="X18" s="72"/>
      <c r="Z18" s="72">
        <f t="shared" si="3"/>
        <v>0</v>
      </c>
      <c r="AA18" s="72">
        <f t="shared" si="4"/>
        <v>0</v>
      </c>
      <c r="AB18" s="72">
        <f t="shared" si="5"/>
        <v>0</v>
      </c>
      <c r="AC18" s="72">
        <f t="shared" si="6"/>
        <v>0</v>
      </c>
      <c r="AD18" s="72">
        <f t="shared" si="7"/>
        <v>0</v>
      </c>
      <c r="AE18" s="72">
        <f t="shared" si="8"/>
        <v>0</v>
      </c>
      <c r="AF18" s="72">
        <f t="shared" si="9"/>
        <v>0</v>
      </c>
      <c r="AG18" s="72">
        <f t="shared" si="10"/>
        <v>0</v>
      </c>
      <c r="AH18" s="72">
        <f t="shared" si="11"/>
        <v>0</v>
      </c>
      <c r="AI18" s="72">
        <f t="shared" si="12"/>
        <v>0</v>
      </c>
      <c r="AJ18" s="72">
        <f t="shared" si="13"/>
        <v>0</v>
      </c>
      <c r="AK18" s="72">
        <f t="shared" si="14"/>
        <v>0</v>
      </c>
      <c r="AQ18" s="80" t="s">
        <v>65</v>
      </c>
      <c r="AR18" s="850" t="s">
        <v>45</v>
      </c>
      <c r="AS18" s="851"/>
      <c r="AT18" s="852"/>
      <c r="AU18" s="99"/>
      <c r="AV18" s="98"/>
    </row>
    <row r="19" spans="2:52">
      <c r="B19" s="60">
        <v>44919</v>
      </c>
      <c r="C19" s="62" t="s">
        <v>118</v>
      </c>
      <c r="D19" s="79" t="s">
        <v>40</v>
      </c>
      <c r="E19" s="56">
        <v>10</v>
      </c>
      <c r="F19" s="76" t="s">
        <v>65</v>
      </c>
      <c r="G19" s="77">
        <f t="shared" si="1"/>
        <v>0</v>
      </c>
      <c r="H19" s="78">
        <f t="shared" si="2"/>
        <v>10</v>
      </c>
      <c r="I19" s="91"/>
      <c r="J19" s="72">
        <f t="shared" si="15"/>
        <v>0</v>
      </c>
      <c r="K19" s="72">
        <f t="shared" si="16"/>
        <v>0</v>
      </c>
      <c r="L19" s="72">
        <f t="shared" si="17"/>
        <v>0</v>
      </c>
      <c r="M19" s="72">
        <f t="shared" si="18"/>
        <v>0</v>
      </c>
      <c r="N19" s="72">
        <f t="shared" si="19"/>
        <v>0</v>
      </c>
      <c r="O19" s="72">
        <f t="shared" si="20"/>
        <v>0</v>
      </c>
      <c r="P19" s="72">
        <f t="shared" si="21"/>
        <v>0</v>
      </c>
      <c r="Q19" s="72">
        <f t="shared" si="22"/>
        <v>0</v>
      </c>
      <c r="R19" s="72">
        <f t="shared" si="23"/>
        <v>10</v>
      </c>
      <c r="S19" s="72">
        <f t="shared" si="24"/>
        <v>0</v>
      </c>
      <c r="T19" s="72">
        <f t="shared" si="25"/>
        <v>0</v>
      </c>
      <c r="U19" s="72">
        <f t="shared" si="26"/>
        <v>0</v>
      </c>
      <c r="V19" s="72"/>
      <c r="W19" s="72"/>
      <c r="X19" s="72"/>
      <c r="Z19" s="72">
        <f t="shared" si="3"/>
        <v>0</v>
      </c>
      <c r="AA19" s="72">
        <f t="shared" si="4"/>
        <v>0</v>
      </c>
      <c r="AB19" s="72">
        <f t="shared" si="5"/>
        <v>0</v>
      </c>
      <c r="AC19" s="72">
        <f t="shared" si="6"/>
        <v>0</v>
      </c>
      <c r="AD19" s="72">
        <f t="shared" si="7"/>
        <v>0</v>
      </c>
      <c r="AE19" s="72">
        <f t="shared" si="8"/>
        <v>0</v>
      </c>
      <c r="AF19" s="72">
        <f t="shared" si="9"/>
        <v>0</v>
      </c>
      <c r="AG19" s="72">
        <f t="shared" si="10"/>
        <v>0</v>
      </c>
      <c r="AH19" s="72">
        <f t="shared" si="11"/>
        <v>0</v>
      </c>
      <c r="AI19" s="72">
        <f t="shared" si="12"/>
        <v>0</v>
      </c>
      <c r="AJ19" s="72">
        <f t="shared" si="13"/>
        <v>0</v>
      </c>
      <c r="AK19" s="72">
        <f t="shared" si="14"/>
        <v>0</v>
      </c>
      <c r="AQ19" s="80" t="s">
        <v>66</v>
      </c>
      <c r="AU19" s="98"/>
    </row>
    <row r="20" spans="2:52">
      <c r="B20" s="60">
        <v>45289</v>
      </c>
      <c r="C20" s="62" t="s">
        <v>126</v>
      </c>
      <c r="D20" s="79" t="s">
        <v>54</v>
      </c>
      <c r="E20" s="56">
        <v>211.3</v>
      </c>
      <c r="F20" s="76" t="s">
        <v>65</v>
      </c>
      <c r="G20" s="77">
        <f t="shared" si="1"/>
        <v>0</v>
      </c>
      <c r="H20" s="78">
        <f t="shared" si="2"/>
        <v>211.3</v>
      </c>
      <c r="I20" s="91" t="s">
        <v>127</v>
      </c>
      <c r="J20" s="72">
        <f t="shared" si="15"/>
        <v>0</v>
      </c>
      <c r="K20" s="72">
        <f t="shared" si="16"/>
        <v>0</v>
      </c>
      <c r="L20" s="72">
        <f t="shared" si="17"/>
        <v>0</v>
      </c>
      <c r="M20" s="72">
        <f t="shared" si="18"/>
        <v>0</v>
      </c>
      <c r="N20" s="72">
        <f t="shared" si="19"/>
        <v>0</v>
      </c>
      <c r="O20" s="72">
        <f t="shared" si="20"/>
        <v>0</v>
      </c>
      <c r="P20" s="72">
        <f t="shared" si="21"/>
        <v>211.3</v>
      </c>
      <c r="Q20" s="72">
        <f t="shared" si="22"/>
        <v>0</v>
      </c>
      <c r="R20" s="72">
        <f t="shared" si="23"/>
        <v>0</v>
      </c>
      <c r="S20" s="72">
        <f t="shared" si="24"/>
        <v>0</v>
      </c>
      <c r="T20" s="72">
        <f t="shared" si="25"/>
        <v>0</v>
      </c>
      <c r="U20" s="72">
        <f t="shared" si="26"/>
        <v>0</v>
      </c>
      <c r="V20" s="72"/>
      <c r="W20" s="72"/>
      <c r="X20" s="72"/>
      <c r="Z20" s="72">
        <f t="shared" si="3"/>
        <v>0</v>
      </c>
      <c r="AA20" s="72">
        <f t="shared" si="4"/>
        <v>0</v>
      </c>
      <c r="AB20" s="72">
        <f t="shared" si="5"/>
        <v>0</v>
      </c>
      <c r="AC20" s="72">
        <f t="shared" si="6"/>
        <v>0</v>
      </c>
      <c r="AD20" s="72">
        <f t="shared" si="7"/>
        <v>0</v>
      </c>
      <c r="AE20" s="72">
        <f t="shared" si="8"/>
        <v>0</v>
      </c>
      <c r="AF20" s="72">
        <f t="shared" si="9"/>
        <v>0</v>
      </c>
      <c r="AG20" s="72">
        <f t="shared" si="10"/>
        <v>0</v>
      </c>
      <c r="AH20" s="72">
        <f t="shared" si="11"/>
        <v>0</v>
      </c>
      <c r="AI20" s="72">
        <f t="shared" si="12"/>
        <v>0</v>
      </c>
      <c r="AJ20" s="72">
        <f t="shared" si="13"/>
        <v>0</v>
      </c>
      <c r="AK20" s="72">
        <f t="shared" si="14"/>
        <v>0</v>
      </c>
    </row>
    <row r="21" spans="2:52">
      <c r="B21" s="60">
        <v>45290</v>
      </c>
      <c r="C21" s="62" t="s">
        <v>112</v>
      </c>
      <c r="D21" s="79" t="s">
        <v>51</v>
      </c>
      <c r="E21" s="56">
        <v>125</v>
      </c>
      <c r="F21" s="76" t="s">
        <v>66</v>
      </c>
      <c r="G21" s="77">
        <f t="shared" si="1"/>
        <v>62.5</v>
      </c>
      <c r="H21" s="78">
        <f t="shared" si="2"/>
        <v>62.5</v>
      </c>
      <c r="I21" s="91"/>
      <c r="J21" s="72">
        <f t="shared" si="15"/>
        <v>0</v>
      </c>
      <c r="K21" s="72">
        <f t="shared" si="16"/>
        <v>62.5</v>
      </c>
      <c r="L21" s="72">
        <f t="shared" si="17"/>
        <v>0</v>
      </c>
      <c r="M21" s="72">
        <f t="shared" si="18"/>
        <v>0</v>
      </c>
      <c r="N21" s="72">
        <f t="shared" si="19"/>
        <v>0</v>
      </c>
      <c r="O21" s="72">
        <f t="shared" si="20"/>
        <v>0</v>
      </c>
      <c r="P21" s="72">
        <f t="shared" si="21"/>
        <v>0</v>
      </c>
      <c r="Q21" s="72">
        <f t="shared" si="22"/>
        <v>0</v>
      </c>
      <c r="R21" s="72">
        <f t="shared" si="23"/>
        <v>0</v>
      </c>
      <c r="S21" s="72">
        <f t="shared" si="24"/>
        <v>0</v>
      </c>
      <c r="T21" s="72">
        <f t="shared" si="25"/>
        <v>0</v>
      </c>
      <c r="U21" s="72">
        <f t="shared" si="26"/>
        <v>0</v>
      </c>
      <c r="V21" s="72"/>
      <c r="W21" s="72"/>
      <c r="X21" s="72"/>
      <c r="Z21" s="72">
        <f t="shared" si="3"/>
        <v>0</v>
      </c>
      <c r="AA21" s="72">
        <f t="shared" si="4"/>
        <v>62.5</v>
      </c>
      <c r="AB21" s="72">
        <f t="shared" si="5"/>
        <v>0</v>
      </c>
      <c r="AC21" s="72">
        <f t="shared" si="6"/>
        <v>0</v>
      </c>
      <c r="AD21" s="72">
        <f t="shared" si="7"/>
        <v>0</v>
      </c>
      <c r="AE21" s="72">
        <f t="shared" si="8"/>
        <v>0</v>
      </c>
      <c r="AF21" s="72">
        <f t="shared" si="9"/>
        <v>0</v>
      </c>
      <c r="AG21" s="72">
        <f t="shared" si="10"/>
        <v>0</v>
      </c>
      <c r="AH21" s="72">
        <f t="shared" si="11"/>
        <v>0</v>
      </c>
      <c r="AI21" s="72">
        <f t="shared" si="12"/>
        <v>0</v>
      </c>
      <c r="AJ21" s="72">
        <f t="shared" si="13"/>
        <v>0</v>
      </c>
      <c r="AK21" s="72">
        <f t="shared" si="14"/>
        <v>0</v>
      </c>
    </row>
    <row r="22" spans="2:52">
      <c r="B22" s="60">
        <v>44929</v>
      </c>
      <c r="C22" s="62" t="s">
        <v>135</v>
      </c>
      <c r="D22" s="79" t="s">
        <v>120</v>
      </c>
      <c r="E22" s="56">
        <v>14.9</v>
      </c>
      <c r="F22" s="76" t="s">
        <v>65</v>
      </c>
      <c r="G22" s="77">
        <f t="shared" si="1"/>
        <v>0</v>
      </c>
      <c r="H22" s="78">
        <f t="shared" si="2"/>
        <v>14.9</v>
      </c>
      <c r="I22" s="92"/>
      <c r="J22" s="72">
        <f t="shared" si="15"/>
        <v>0</v>
      </c>
      <c r="K22" s="72">
        <f t="shared" si="16"/>
        <v>0</v>
      </c>
      <c r="L22" s="72">
        <f t="shared" si="17"/>
        <v>14.9</v>
      </c>
      <c r="M22" s="72">
        <f t="shared" si="18"/>
        <v>0</v>
      </c>
      <c r="N22" s="72">
        <f t="shared" si="19"/>
        <v>0</v>
      </c>
      <c r="O22" s="72">
        <f t="shared" si="20"/>
        <v>0</v>
      </c>
      <c r="P22" s="72">
        <f t="shared" si="21"/>
        <v>0</v>
      </c>
      <c r="Q22" s="72">
        <f t="shared" si="22"/>
        <v>0</v>
      </c>
      <c r="R22" s="72">
        <f t="shared" si="23"/>
        <v>0</v>
      </c>
      <c r="S22" s="72">
        <f t="shared" si="24"/>
        <v>0</v>
      </c>
      <c r="T22" s="72">
        <f t="shared" si="25"/>
        <v>0</v>
      </c>
      <c r="U22" s="72">
        <f t="shared" si="26"/>
        <v>0</v>
      </c>
      <c r="V22" s="72"/>
      <c r="W22" s="72"/>
      <c r="X22" s="72"/>
      <c r="Y22" s="61"/>
      <c r="Z22" s="72">
        <f t="shared" si="3"/>
        <v>0</v>
      </c>
      <c r="AA22" s="72">
        <f t="shared" si="4"/>
        <v>0</v>
      </c>
      <c r="AB22" s="72">
        <f t="shared" si="5"/>
        <v>0</v>
      </c>
      <c r="AC22" s="72">
        <f t="shared" si="6"/>
        <v>0</v>
      </c>
      <c r="AD22" s="72">
        <f t="shared" si="7"/>
        <v>0</v>
      </c>
      <c r="AE22" s="72">
        <f t="shared" si="8"/>
        <v>0</v>
      </c>
      <c r="AF22" s="72">
        <f t="shared" si="9"/>
        <v>0</v>
      </c>
      <c r="AG22" s="72">
        <f t="shared" si="10"/>
        <v>0</v>
      </c>
      <c r="AH22" s="72">
        <f t="shared" si="11"/>
        <v>0</v>
      </c>
      <c r="AI22" s="72">
        <f t="shared" si="12"/>
        <v>0</v>
      </c>
      <c r="AJ22" s="72">
        <f t="shared" si="13"/>
        <v>0</v>
      </c>
      <c r="AK22" s="72">
        <f t="shared" si="14"/>
        <v>0</v>
      </c>
      <c r="AL22" s="61"/>
      <c r="AM22" s="61"/>
      <c r="AN22" s="61"/>
      <c r="AO22" s="61"/>
      <c r="AP22" s="61"/>
    </row>
    <row r="23" spans="2:52">
      <c r="B23" s="60"/>
      <c r="C23" s="62"/>
      <c r="D23" s="79"/>
      <c r="E23" s="56"/>
      <c r="F23" s="76"/>
      <c r="G23" s="77">
        <f t="shared" si="1"/>
        <v>0</v>
      </c>
      <c r="H23" s="78">
        <f t="shared" si="2"/>
        <v>0</v>
      </c>
      <c r="I23" s="91"/>
      <c r="J23" s="72">
        <f t="shared" si="15"/>
        <v>0</v>
      </c>
      <c r="K23" s="72">
        <f t="shared" si="16"/>
        <v>0</v>
      </c>
      <c r="L23" s="72">
        <f t="shared" si="17"/>
        <v>0</v>
      </c>
      <c r="M23" s="72">
        <f t="shared" si="18"/>
        <v>0</v>
      </c>
      <c r="N23" s="72">
        <f t="shared" si="19"/>
        <v>0</v>
      </c>
      <c r="O23" s="72">
        <f t="shared" si="20"/>
        <v>0</v>
      </c>
      <c r="P23" s="72">
        <f t="shared" si="21"/>
        <v>0</v>
      </c>
      <c r="Q23" s="72">
        <f t="shared" si="22"/>
        <v>0</v>
      </c>
      <c r="R23" s="72">
        <f t="shared" si="23"/>
        <v>0</v>
      </c>
      <c r="S23" s="72">
        <f t="shared" si="24"/>
        <v>0</v>
      </c>
      <c r="T23" s="72">
        <f t="shared" si="25"/>
        <v>0</v>
      </c>
      <c r="U23" s="72">
        <f t="shared" si="26"/>
        <v>0</v>
      </c>
      <c r="V23" s="72"/>
      <c r="W23" s="72"/>
      <c r="X23" s="72"/>
      <c r="Z23" s="72">
        <f t="shared" si="3"/>
        <v>0</v>
      </c>
      <c r="AA23" s="72">
        <f t="shared" si="4"/>
        <v>0</v>
      </c>
      <c r="AB23" s="72">
        <f t="shared" si="5"/>
        <v>0</v>
      </c>
      <c r="AC23" s="72">
        <f t="shared" si="6"/>
        <v>0</v>
      </c>
      <c r="AD23" s="72">
        <f t="shared" si="7"/>
        <v>0</v>
      </c>
      <c r="AE23" s="72">
        <f t="shared" si="8"/>
        <v>0</v>
      </c>
      <c r="AF23" s="72">
        <f t="shared" si="9"/>
        <v>0</v>
      </c>
      <c r="AG23" s="72">
        <f t="shared" si="10"/>
        <v>0</v>
      </c>
      <c r="AH23" s="72">
        <f t="shared" si="11"/>
        <v>0</v>
      </c>
      <c r="AI23" s="72">
        <f t="shared" si="12"/>
        <v>0</v>
      </c>
      <c r="AJ23" s="72">
        <f t="shared" si="13"/>
        <v>0</v>
      </c>
      <c r="AK23" s="72">
        <f t="shared" si="14"/>
        <v>0</v>
      </c>
      <c r="AS23" s="59"/>
    </row>
    <row r="24" spans="2:52">
      <c r="B24" s="60"/>
      <c r="C24" s="62"/>
      <c r="D24" s="79"/>
      <c r="E24" s="56"/>
      <c r="F24" s="76"/>
      <c r="G24" s="77">
        <f t="shared" si="1"/>
        <v>0</v>
      </c>
      <c r="H24" s="78">
        <f t="shared" si="2"/>
        <v>0</v>
      </c>
      <c r="I24" s="91"/>
      <c r="J24" s="72">
        <f t="shared" si="15"/>
        <v>0</v>
      </c>
      <c r="K24" s="72">
        <f t="shared" si="16"/>
        <v>0</v>
      </c>
      <c r="L24" s="72">
        <f t="shared" si="17"/>
        <v>0</v>
      </c>
      <c r="M24" s="72">
        <f t="shared" si="18"/>
        <v>0</v>
      </c>
      <c r="N24" s="72">
        <f t="shared" si="19"/>
        <v>0</v>
      </c>
      <c r="O24" s="72">
        <f t="shared" si="20"/>
        <v>0</v>
      </c>
      <c r="P24" s="72">
        <f t="shared" si="21"/>
        <v>0</v>
      </c>
      <c r="Q24" s="72">
        <f t="shared" si="22"/>
        <v>0</v>
      </c>
      <c r="R24" s="72">
        <f t="shared" si="23"/>
        <v>0</v>
      </c>
      <c r="S24" s="72">
        <f t="shared" si="24"/>
        <v>0</v>
      </c>
      <c r="T24" s="72">
        <f t="shared" si="25"/>
        <v>0</v>
      </c>
      <c r="U24" s="72">
        <f t="shared" si="26"/>
        <v>0</v>
      </c>
      <c r="V24" s="72"/>
      <c r="W24" s="72"/>
      <c r="X24" s="72"/>
      <c r="Z24" s="72">
        <f t="shared" si="3"/>
        <v>0</v>
      </c>
      <c r="AA24" s="72">
        <f t="shared" si="4"/>
        <v>0</v>
      </c>
      <c r="AB24" s="72">
        <f t="shared" si="5"/>
        <v>0</v>
      </c>
      <c r="AC24" s="72">
        <f t="shared" si="6"/>
        <v>0</v>
      </c>
      <c r="AD24" s="72">
        <f t="shared" si="7"/>
        <v>0</v>
      </c>
      <c r="AE24" s="72">
        <f t="shared" si="8"/>
        <v>0</v>
      </c>
      <c r="AF24" s="72">
        <f t="shared" si="9"/>
        <v>0</v>
      </c>
      <c r="AG24" s="72">
        <f t="shared" si="10"/>
        <v>0</v>
      </c>
      <c r="AH24" s="72">
        <f t="shared" si="11"/>
        <v>0</v>
      </c>
      <c r="AI24" s="72">
        <f t="shared" si="12"/>
        <v>0</v>
      </c>
      <c r="AJ24" s="72">
        <f t="shared" si="13"/>
        <v>0</v>
      </c>
      <c r="AK24" s="72">
        <f t="shared" si="14"/>
        <v>0</v>
      </c>
      <c r="AV24" s="112" t="s">
        <v>75</v>
      </c>
      <c r="AW24" s="1">
        <v>102.07</v>
      </c>
      <c r="AY24" s="164" t="s">
        <v>130</v>
      </c>
      <c r="AZ24" s="55">
        <v>376.29</v>
      </c>
    </row>
    <row r="25" spans="2:52">
      <c r="B25" s="60">
        <v>44930</v>
      </c>
      <c r="C25" s="62" t="s">
        <v>142</v>
      </c>
      <c r="D25" s="79" t="s">
        <v>56</v>
      </c>
      <c r="E25" s="56">
        <v>27.9</v>
      </c>
      <c r="F25" s="76"/>
      <c r="G25" s="77">
        <f t="shared" si="1"/>
        <v>0</v>
      </c>
      <c r="H25" s="78">
        <f t="shared" si="2"/>
        <v>0</v>
      </c>
      <c r="I25" s="91"/>
      <c r="J25" s="72">
        <f t="shared" si="15"/>
        <v>0</v>
      </c>
      <c r="K25" s="72">
        <f t="shared" si="16"/>
        <v>0</v>
      </c>
      <c r="L25" s="72">
        <f t="shared" si="17"/>
        <v>0</v>
      </c>
      <c r="M25" s="72">
        <f t="shared" si="18"/>
        <v>0</v>
      </c>
      <c r="N25" s="72">
        <f t="shared" si="19"/>
        <v>0</v>
      </c>
      <c r="O25" s="72">
        <f t="shared" si="20"/>
        <v>0</v>
      </c>
      <c r="P25" s="72">
        <f t="shared" si="21"/>
        <v>0</v>
      </c>
      <c r="Q25" s="72">
        <f t="shared" si="22"/>
        <v>0</v>
      </c>
      <c r="R25" s="72">
        <f t="shared" si="23"/>
        <v>0</v>
      </c>
      <c r="S25" s="72">
        <f t="shared" si="24"/>
        <v>0</v>
      </c>
      <c r="T25" s="72">
        <f t="shared" si="25"/>
        <v>0</v>
      </c>
      <c r="U25" s="72">
        <f t="shared" si="26"/>
        <v>0</v>
      </c>
      <c r="V25" s="72"/>
      <c r="W25" s="72"/>
      <c r="X25" s="72"/>
      <c r="Z25" s="72">
        <f t="shared" si="3"/>
        <v>0</v>
      </c>
      <c r="AA25" s="72">
        <f t="shared" si="4"/>
        <v>0</v>
      </c>
      <c r="AB25" s="72">
        <f t="shared" si="5"/>
        <v>0</v>
      </c>
      <c r="AC25" s="72">
        <f t="shared" si="6"/>
        <v>0</v>
      </c>
      <c r="AD25" s="72">
        <f t="shared" si="7"/>
        <v>0</v>
      </c>
      <c r="AE25" s="72">
        <f t="shared" si="8"/>
        <v>0</v>
      </c>
      <c r="AF25" s="72">
        <f t="shared" si="9"/>
        <v>0</v>
      </c>
      <c r="AG25" s="72">
        <f t="shared" si="10"/>
        <v>0</v>
      </c>
      <c r="AH25" s="72">
        <f t="shared" si="11"/>
        <v>0</v>
      </c>
      <c r="AI25" s="72">
        <f t="shared" si="12"/>
        <v>0</v>
      </c>
      <c r="AJ25" s="72">
        <f t="shared" si="13"/>
        <v>0</v>
      </c>
      <c r="AK25" s="72">
        <f t="shared" si="14"/>
        <v>0</v>
      </c>
      <c r="AV25" s="112" t="s">
        <v>76</v>
      </c>
      <c r="AW25" s="1">
        <v>182.98</v>
      </c>
      <c r="AY25" s="164" t="s">
        <v>131</v>
      </c>
      <c r="AZ25" s="98">
        <v>359.88</v>
      </c>
    </row>
    <row r="26" spans="2:52">
      <c r="B26" s="60">
        <v>44930</v>
      </c>
      <c r="C26" s="62" t="s">
        <v>142</v>
      </c>
      <c r="D26" s="79" t="s">
        <v>56</v>
      </c>
      <c r="E26" s="56">
        <v>127.4</v>
      </c>
      <c r="F26" s="76"/>
      <c r="G26" s="77">
        <f t="shared" si="1"/>
        <v>0</v>
      </c>
      <c r="H26" s="78">
        <f t="shared" si="2"/>
        <v>0</v>
      </c>
      <c r="I26" s="91"/>
      <c r="J26" s="72">
        <f t="shared" si="15"/>
        <v>0</v>
      </c>
      <c r="K26" s="72">
        <f t="shared" si="16"/>
        <v>0</v>
      </c>
      <c r="L26" s="72">
        <f t="shared" si="17"/>
        <v>0</v>
      </c>
      <c r="M26" s="72">
        <f t="shared" si="18"/>
        <v>0</v>
      </c>
      <c r="N26" s="72">
        <f t="shared" si="19"/>
        <v>0</v>
      </c>
      <c r="O26" s="72">
        <f t="shared" si="20"/>
        <v>0</v>
      </c>
      <c r="P26" s="72">
        <f t="shared" si="21"/>
        <v>0</v>
      </c>
      <c r="Q26" s="72">
        <f t="shared" si="22"/>
        <v>0</v>
      </c>
      <c r="R26" s="72">
        <f t="shared" si="23"/>
        <v>0</v>
      </c>
      <c r="S26" s="72">
        <f t="shared" si="24"/>
        <v>0</v>
      </c>
      <c r="T26" s="72">
        <f t="shared" si="25"/>
        <v>0</v>
      </c>
      <c r="U26" s="72">
        <f t="shared" si="26"/>
        <v>0</v>
      </c>
      <c r="V26" s="72"/>
      <c r="W26" s="72"/>
      <c r="X26" s="72"/>
      <c r="Z26" s="72">
        <f t="shared" si="3"/>
        <v>0</v>
      </c>
      <c r="AA26" s="72">
        <f t="shared" si="4"/>
        <v>0</v>
      </c>
      <c r="AB26" s="72">
        <f t="shared" si="5"/>
        <v>0</v>
      </c>
      <c r="AC26" s="72">
        <f t="shared" si="6"/>
        <v>0</v>
      </c>
      <c r="AD26" s="72">
        <f t="shared" si="7"/>
        <v>0</v>
      </c>
      <c r="AE26" s="72">
        <f t="shared" si="8"/>
        <v>0</v>
      </c>
      <c r="AF26" s="72">
        <f t="shared" si="9"/>
        <v>0</v>
      </c>
      <c r="AG26" s="72">
        <f t="shared" si="10"/>
        <v>0</v>
      </c>
      <c r="AH26" s="72">
        <f t="shared" si="11"/>
        <v>0</v>
      </c>
      <c r="AI26" s="72">
        <f t="shared" si="12"/>
        <v>0</v>
      </c>
      <c r="AJ26" s="72">
        <f t="shared" si="13"/>
        <v>0</v>
      </c>
      <c r="AK26" s="72">
        <f t="shared" si="14"/>
        <v>0</v>
      </c>
      <c r="AV26" s="112" t="s">
        <v>77</v>
      </c>
      <c r="AW26" s="1">
        <v>700</v>
      </c>
      <c r="AY26" s="164" t="s">
        <v>132</v>
      </c>
      <c r="AZ26" s="165">
        <f>27.5+(102.07/2+182.98/2)</f>
        <v>170.02499999999998</v>
      </c>
    </row>
    <row r="27" spans="2:52" hidden="1">
      <c r="B27" s="60"/>
      <c r="C27" s="62"/>
      <c r="D27" s="79"/>
      <c r="E27" s="56"/>
      <c r="F27" s="76"/>
      <c r="G27" s="77">
        <f t="shared" si="1"/>
        <v>0</v>
      </c>
      <c r="H27" s="78">
        <f t="shared" si="2"/>
        <v>0</v>
      </c>
      <c r="I27" s="91"/>
      <c r="J27" s="72">
        <f t="shared" si="15"/>
        <v>0</v>
      </c>
      <c r="K27" s="72">
        <f t="shared" si="16"/>
        <v>0</v>
      </c>
      <c r="L27" s="72">
        <f t="shared" si="17"/>
        <v>0</v>
      </c>
      <c r="M27" s="72">
        <f t="shared" si="18"/>
        <v>0</v>
      </c>
      <c r="N27" s="72">
        <f t="shared" si="19"/>
        <v>0</v>
      </c>
      <c r="O27" s="72">
        <f t="shared" si="20"/>
        <v>0</v>
      </c>
      <c r="P27" s="72">
        <f t="shared" si="21"/>
        <v>0</v>
      </c>
      <c r="Q27" s="72">
        <f t="shared" si="22"/>
        <v>0</v>
      </c>
      <c r="R27" s="72">
        <f t="shared" si="23"/>
        <v>0</v>
      </c>
      <c r="S27" s="72">
        <f t="shared" si="24"/>
        <v>0</v>
      </c>
      <c r="T27" s="72">
        <f t="shared" si="25"/>
        <v>0</v>
      </c>
      <c r="U27" s="72">
        <f t="shared" si="26"/>
        <v>0</v>
      </c>
      <c r="V27" s="72"/>
      <c r="W27" s="72"/>
      <c r="X27" s="72"/>
      <c r="Z27" s="72">
        <f t="shared" si="3"/>
        <v>0</v>
      </c>
      <c r="AA27" s="72">
        <f t="shared" si="4"/>
        <v>0</v>
      </c>
      <c r="AB27" s="72">
        <f t="shared" si="5"/>
        <v>0</v>
      </c>
      <c r="AC27" s="72">
        <f t="shared" si="6"/>
        <v>0</v>
      </c>
      <c r="AD27" s="72">
        <f t="shared" si="7"/>
        <v>0</v>
      </c>
      <c r="AE27" s="72">
        <f t="shared" si="8"/>
        <v>0</v>
      </c>
      <c r="AF27" s="72">
        <f t="shared" si="9"/>
        <v>0</v>
      </c>
      <c r="AG27" s="72">
        <f t="shared" si="10"/>
        <v>0</v>
      </c>
      <c r="AH27" s="72">
        <f t="shared" si="11"/>
        <v>0</v>
      </c>
      <c r="AI27" s="72">
        <f t="shared" si="12"/>
        <v>0</v>
      </c>
      <c r="AJ27" s="72">
        <f t="shared" si="13"/>
        <v>0</v>
      </c>
      <c r="AK27" s="72">
        <f t="shared" si="14"/>
        <v>0</v>
      </c>
      <c r="AV27" s="112" t="s">
        <v>78</v>
      </c>
      <c r="AW27" s="54">
        <v>201.36</v>
      </c>
      <c r="AY27" s="164" t="s">
        <v>45</v>
      </c>
      <c r="AZ27" s="166">
        <f>AZ24+AZ25-AZ26</f>
        <v>566.1450000000001</v>
      </c>
    </row>
    <row r="28" spans="2:52" hidden="1">
      <c r="B28" s="60"/>
      <c r="C28" s="62"/>
      <c r="D28" s="79"/>
      <c r="E28" s="56"/>
      <c r="F28" s="76"/>
      <c r="G28" s="77">
        <f t="shared" si="1"/>
        <v>0</v>
      </c>
      <c r="H28" s="78">
        <f t="shared" si="2"/>
        <v>0</v>
      </c>
      <c r="I28" s="91"/>
      <c r="J28" s="72">
        <f t="shared" si="15"/>
        <v>0</v>
      </c>
      <c r="K28" s="72">
        <f t="shared" si="16"/>
        <v>0</v>
      </c>
      <c r="L28" s="72">
        <f t="shared" si="17"/>
        <v>0</v>
      </c>
      <c r="M28" s="72">
        <f t="shared" si="18"/>
        <v>0</v>
      </c>
      <c r="N28" s="72">
        <f t="shared" si="19"/>
        <v>0</v>
      </c>
      <c r="O28" s="72">
        <f t="shared" si="20"/>
        <v>0</v>
      </c>
      <c r="P28" s="72">
        <f t="shared" si="21"/>
        <v>0</v>
      </c>
      <c r="Q28" s="72">
        <f t="shared" si="22"/>
        <v>0</v>
      </c>
      <c r="R28" s="72">
        <f t="shared" si="23"/>
        <v>0</v>
      </c>
      <c r="S28" s="72">
        <f t="shared" si="24"/>
        <v>0</v>
      </c>
      <c r="T28" s="72">
        <f t="shared" si="25"/>
        <v>0</v>
      </c>
      <c r="U28" s="72">
        <f t="shared" si="26"/>
        <v>0</v>
      </c>
      <c r="V28" s="72"/>
      <c r="W28" s="72"/>
      <c r="X28" s="72"/>
      <c r="Z28" s="72">
        <f t="shared" si="3"/>
        <v>0</v>
      </c>
      <c r="AA28" s="72">
        <f t="shared" si="4"/>
        <v>0</v>
      </c>
      <c r="AB28" s="72">
        <f t="shared" si="5"/>
        <v>0</v>
      </c>
      <c r="AC28" s="72">
        <f t="shared" si="6"/>
        <v>0</v>
      </c>
      <c r="AD28" s="72">
        <f t="shared" si="7"/>
        <v>0</v>
      </c>
      <c r="AE28" s="72">
        <f t="shared" si="8"/>
        <v>0</v>
      </c>
      <c r="AF28" s="72">
        <f t="shared" si="9"/>
        <v>0</v>
      </c>
      <c r="AG28" s="72">
        <f t="shared" si="10"/>
        <v>0</v>
      </c>
      <c r="AH28" s="72">
        <f t="shared" si="11"/>
        <v>0</v>
      </c>
      <c r="AI28" s="72">
        <f t="shared" si="12"/>
        <v>0</v>
      </c>
      <c r="AJ28" s="72">
        <f t="shared" si="13"/>
        <v>0</v>
      </c>
      <c r="AK28" s="72">
        <f t="shared" si="14"/>
        <v>0</v>
      </c>
      <c r="AV28" s="112" t="s">
        <v>45</v>
      </c>
      <c r="AW28" s="1">
        <f>+SUM(AW24:AW27)</f>
        <v>1186.4099999999999</v>
      </c>
    </row>
    <row r="29" spans="2:52" hidden="1">
      <c r="B29" s="60"/>
      <c r="C29" s="62"/>
      <c r="D29" s="79"/>
      <c r="E29" s="56"/>
      <c r="F29" s="76"/>
      <c r="G29" s="77">
        <f t="shared" si="1"/>
        <v>0</v>
      </c>
      <c r="H29" s="78">
        <f t="shared" si="2"/>
        <v>0</v>
      </c>
      <c r="I29" s="91"/>
      <c r="J29" s="72">
        <f t="shared" si="15"/>
        <v>0</v>
      </c>
      <c r="K29" s="72">
        <f t="shared" si="16"/>
        <v>0</v>
      </c>
      <c r="L29" s="72">
        <f t="shared" si="17"/>
        <v>0</v>
      </c>
      <c r="M29" s="72">
        <f t="shared" si="18"/>
        <v>0</v>
      </c>
      <c r="N29" s="72">
        <f t="shared" si="19"/>
        <v>0</v>
      </c>
      <c r="O29" s="72">
        <f t="shared" si="20"/>
        <v>0</v>
      </c>
      <c r="P29" s="72">
        <f t="shared" si="21"/>
        <v>0</v>
      </c>
      <c r="Q29" s="72">
        <f t="shared" si="22"/>
        <v>0</v>
      </c>
      <c r="R29" s="72">
        <f t="shared" si="23"/>
        <v>0</v>
      </c>
      <c r="S29" s="72">
        <f t="shared" si="24"/>
        <v>0</v>
      </c>
      <c r="T29" s="72">
        <f t="shared" si="25"/>
        <v>0</v>
      </c>
      <c r="U29" s="72">
        <f t="shared" si="26"/>
        <v>0</v>
      </c>
      <c r="V29" s="72"/>
      <c r="W29" s="72"/>
      <c r="X29" s="72"/>
      <c r="Z29" s="72">
        <f t="shared" si="3"/>
        <v>0</v>
      </c>
      <c r="AA29" s="72">
        <f t="shared" si="4"/>
        <v>0</v>
      </c>
      <c r="AB29" s="72">
        <f t="shared" si="5"/>
        <v>0</v>
      </c>
      <c r="AC29" s="72">
        <f t="shared" si="6"/>
        <v>0</v>
      </c>
      <c r="AD29" s="72">
        <f t="shared" si="7"/>
        <v>0</v>
      </c>
      <c r="AE29" s="72">
        <f t="shared" si="8"/>
        <v>0</v>
      </c>
      <c r="AF29" s="72">
        <f t="shared" si="9"/>
        <v>0</v>
      </c>
      <c r="AG29" s="72">
        <f t="shared" si="10"/>
        <v>0</v>
      </c>
      <c r="AH29" s="72">
        <f t="shared" si="11"/>
        <v>0</v>
      </c>
      <c r="AI29" s="72">
        <f t="shared" si="12"/>
        <v>0</v>
      </c>
      <c r="AJ29" s="72">
        <f t="shared" si="13"/>
        <v>0</v>
      </c>
      <c r="AK29" s="72">
        <f t="shared" si="14"/>
        <v>0</v>
      </c>
      <c r="AV29" s="112"/>
      <c r="AW29" s="1"/>
    </row>
    <row r="30" spans="2:52" hidden="1">
      <c r="B30" s="60"/>
      <c r="C30" s="62"/>
      <c r="D30" s="79"/>
      <c r="E30" s="56"/>
      <c r="F30" s="76"/>
      <c r="G30" s="77">
        <f t="shared" si="1"/>
        <v>0</v>
      </c>
      <c r="H30" s="78">
        <f t="shared" si="2"/>
        <v>0</v>
      </c>
      <c r="I30" s="91"/>
      <c r="J30" s="72">
        <f t="shared" si="15"/>
        <v>0</v>
      </c>
      <c r="K30" s="72">
        <f t="shared" si="16"/>
        <v>0</v>
      </c>
      <c r="L30" s="72">
        <f t="shared" si="17"/>
        <v>0</v>
      </c>
      <c r="M30" s="72">
        <f t="shared" si="18"/>
        <v>0</v>
      </c>
      <c r="N30" s="72">
        <f t="shared" si="19"/>
        <v>0</v>
      </c>
      <c r="O30" s="72">
        <f t="shared" si="20"/>
        <v>0</v>
      </c>
      <c r="P30" s="72">
        <f t="shared" si="21"/>
        <v>0</v>
      </c>
      <c r="Q30" s="72">
        <f t="shared" si="22"/>
        <v>0</v>
      </c>
      <c r="R30" s="72">
        <f t="shared" si="23"/>
        <v>0</v>
      </c>
      <c r="S30" s="72">
        <f t="shared" si="24"/>
        <v>0</v>
      </c>
      <c r="T30" s="72">
        <f t="shared" si="25"/>
        <v>0</v>
      </c>
      <c r="U30" s="72">
        <f t="shared" si="26"/>
        <v>0</v>
      </c>
      <c r="V30" s="72"/>
      <c r="W30" s="72"/>
      <c r="X30" s="72"/>
      <c r="Z30" s="72">
        <f t="shared" si="3"/>
        <v>0</v>
      </c>
      <c r="AA30" s="72">
        <f t="shared" si="4"/>
        <v>0</v>
      </c>
      <c r="AB30" s="72">
        <f t="shared" si="5"/>
        <v>0</v>
      </c>
      <c r="AC30" s="72">
        <f t="shared" si="6"/>
        <v>0</v>
      </c>
      <c r="AD30" s="72">
        <f t="shared" si="7"/>
        <v>0</v>
      </c>
      <c r="AE30" s="72">
        <f t="shared" si="8"/>
        <v>0</v>
      </c>
      <c r="AF30" s="72">
        <f t="shared" si="9"/>
        <v>0</v>
      </c>
      <c r="AG30" s="72">
        <f t="shared" si="10"/>
        <v>0</v>
      </c>
      <c r="AH30" s="72">
        <f t="shared" si="11"/>
        <v>0</v>
      </c>
      <c r="AI30" s="72">
        <f t="shared" si="12"/>
        <v>0</v>
      </c>
      <c r="AJ30" s="72">
        <f t="shared" si="13"/>
        <v>0</v>
      </c>
      <c r="AK30" s="72">
        <f t="shared" si="14"/>
        <v>0</v>
      </c>
      <c r="AV30" s="1"/>
      <c r="AW30" s="1"/>
      <c r="AZ30" s="55">
        <f>AZ27</f>
        <v>566.1450000000001</v>
      </c>
    </row>
    <row r="31" spans="2:52" ht="17.25" hidden="1" thickBot="1">
      <c r="B31" s="60"/>
      <c r="C31" s="62"/>
      <c r="D31" s="79"/>
      <c r="E31" s="56"/>
      <c r="F31" s="76"/>
      <c r="G31" s="77">
        <f t="shared" si="1"/>
        <v>0</v>
      </c>
      <c r="H31" s="78">
        <f t="shared" si="2"/>
        <v>0</v>
      </c>
      <c r="I31" s="91"/>
      <c r="J31" s="72">
        <f t="shared" si="15"/>
        <v>0</v>
      </c>
      <c r="K31" s="72">
        <f t="shared" si="16"/>
        <v>0</v>
      </c>
      <c r="L31" s="72">
        <f t="shared" si="17"/>
        <v>0</v>
      </c>
      <c r="M31" s="72">
        <f t="shared" si="18"/>
        <v>0</v>
      </c>
      <c r="N31" s="72">
        <f t="shared" si="19"/>
        <v>0</v>
      </c>
      <c r="O31" s="72">
        <f t="shared" si="20"/>
        <v>0</v>
      </c>
      <c r="P31" s="72">
        <f t="shared" si="21"/>
        <v>0</v>
      </c>
      <c r="Q31" s="72">
        <f t="shared" si="22"/>
        <v>0</v>
      </c>
      <c r="R31" s="72">
        <f t="shared" si="23"/>
        <v>0</v>
      </c>
      <c r="S31" s="72">
        <f t="shared" si="24"/>
        <v>0</v>
      </c>
      <c r="T31" s="72">
        <f t="shared" si="25"/>
        <v>0</v>
      </c>
      <c r="U31" s="72">
        <f t="shared" si="26"/>
        <v>0</v>
      </c>
      <c r="V31" s="72"/>
      <c r="W31" s="72"/>
      <c r="X31" s="72"/>
      <c r="Z31" s="72">
        <f t="shared" si="3"/>
        <v>0</v>
      </c>
      <c r="AA31" s="72">
        <f t="shared" si="4"/>
        <v>0</v>
      </c>
      <c r="AB31" s="72">
        <f t="shared" si="5"/>
        <v>0</v>
      </c>
      <c r="AC31" s="72">
        <f t="shared" si="6"/>
        <v>0</v>
      </c>
      <c r="AD31" s="72">
        <f t="shared" si="7"/>
        <v>0</v>
      </c>
      <c r="AE31" s="72">
        <f t="shared" si="8"/>
        <v>0</v>
      </c>
      <c r="AF31" s="72">
        <f t="shared" si="9"/>
        <v>0</v>
      </c>
      <c r="AG31" s="72">
        <f t="shared" si="10"/>
        <v>0</v>
      </c>
      <c r="AH31" s="72">
        <f t="shared" si="11"/>
        <v>0</v>
      </c>
      <c r="AI31" s="72">
        <f t="shared" si="12"/>
        <v>0</v>
      </c>
      <c r="AJ31" s="72">
        <f t="shared" si="13"/>
        <v>0</v>
      </c>
      <c r="AK31" s="72">
        <f t="shared" si="14"/>
        <v>0</v>
      </c>
      <c r="AV31" s="112" t="s">
        <v>80</v>
      </c>
      <c r="AW31" s="113">
        <f>AW28/2</f>
        <v>593.20499999999993</v>
      </c>
      <c r="AZ31" s="59">
        <f>AW33</f>
        <v>450.68</v>
      </c>
    </row>
    <row r="32" spans="2:52" hidden="1">
      <c r="B32" s="60"/>
      <c r="C32" s="62"/>
      <c r="D32" s="79"/>
      <c r="E32" s="56"/>
      <c r="F32" s="76"/>
      <c r="G32" s="77">
        <f t="shared" si="1"/>
        <v>0</v>
      </c>
      <c r="H32" s="78">
        <f t="shared" si="2"/>
        <v>0</v>
      </c>
      <c r="I32" s="91"/>
      <c r="J32" s="72">
        <f t="shared" si="15"/>
        <v>0</v>
      </c>
      <c r="K32" s="72">
        <f t="shared" si="16"/>
        <v>0</v>
      </c>
      <c r="L32" s="72">
        <f t="shared" si="17"/>
        <v>0</v>
      </c>
      <c r="M32" s="72">
        <f t="shared" si="18"/>
        <v>0</v>
      </c>
      <c r="N32" s="72">
        <f t="shared" si="19"/>
        <v>0</v>
      </c>
      <c r="O32" s="72">
        <f t="shared" si="20"/>
        <v>0</v>
      </c>
      <c r="P32" s="72">
        <f t="shared" si="21"/>
        <v>0</v>
      </c>
      <c r="Q32" s="72">
        <f t="shared" si="22"/>
        <v>0</v>
      </c>
      <c r="R32" s="72">
        <f t="shared" si="23"/>
        <v>0</v>
      </c>
      <c r="S32" s="72">
        <f t="shared" si="24"/>
        <v>0</v>
      </c>
      <c r="T32" s="72">
        <f t="shared" si="25"/>
        <v>0</v>
      </c>
      <c r="U32" s="72">
        <f t="shared" si="26"/>
        <v>0</v>
      </c>
      <c r="V32" s="72"/>
      <c r="W32" s="72"/>
      <c r="X32" s="72"/>
      <c r="Z32" s="72">
        <f t="shared" si="3"/>
        <v>0</v>
      </c>
      <c r="AA32" s="72">
        <f t="shared" si="4"/>
        <v>0</v>
      </c>
      <c r="AB32" s="72">
        <f t="shared" si="5"/>
        <v>0</v>
      </c>
      <c r="AC32" s="72">
        <f t="shared" si="6"/>
        <v>0</v>
      </c>
      <c r="AD32" s="72">
        <f t="shared" si="7"/>
        <v>0</v>
      </c>
      <c r="AE32" s="72">
        <f t="shared" si="8"/>
        <v>0</v>
      </c>
      <c r="AF32" s="72">
        <f t="shared" si="9"/>
        <v>0</v>
      </c>
      <c r="AG32" s="72">
        <f t="shared" si="10"/>
        <v>0</v>
      </c>
      <c r="AH32" s="72">
        <f t="shared" si="11"/>
        <v>0</v>
      </c>
      <c r="AI32" s="72">
        <f t="shared" si="12"/>
        <v>0</v>
      </c>
      <c r="AJ32" s="72">
        <f t="shared" si="13"/>
        <v>0</v>
      </c>
      <c r="AK32" s="72">
        <f t="shared" si="14"/>
        <v>0</v>
      </c>
      <c r="AZ32" s="167">
        <f>SUM(AZ30:AZ31)</f>
        <v>1016.825</v>
      </c>
    </row>
    <row r="33" spans="2:49" hidden="1">
      <c r="B33" s="60"/>
      <c r="C33" s="62"/>
      <c r="D33" s="79"/>
      <c r="E33" s="56"/>
      <c r="F33" s="76"/>
      <c r="G33" s="77">
        <f t="shared" si="1"/>
        <v>0</v>
      </c>
      <c r="H33" s="78">
        <f t="shared" si="2"/>
        <v>0</v>
      </c>
      <c r="I33" s="91"/>
      <c r="J33" s="72">
        <f t="shared" si="15"/>
        <v>0</v>
      </c>
      <c r="K33" s="72">
        <f t="shared" si="16"/>
        <v>0</v>
      </c>
      <c r="L33" s="72">
        <f t="shared" si="17"/>
        <v>0</v>
      </c>
      <c r="M33" s="72">
        <f t="shared" si="18"/>
        <v>0</v>
      </c>
      <c r="N33" s="72">
        <f t="shared" si="19"/>
        <v>0</v>
      </c>
      <c r="O33" s="72">
        <f t="shared" si="20"/>
        <v>0</v>
      </c>
      <c r="P33" s="72">
        <f t="shared" si="21"/>
        <v>0</v>
      </c>
      <c r="Q33" s="72">
        <f t="shared" si="22"/>
        <v>0</v>
      </c>
      <c r="R33" s="72">
        <f t="shared" si="23"/>
        <v>0</v>
      </c>
      <c r="S33" s="72">
        <f t="shared" si="24"/>
        <v>0</v>
      </c>
      <c r="T33" s="72">
        <f t="shared" si="25"/>
        <v>0</v>
      </c>
      <c r="U33" s="72">
        <f t="shared" si="26"/>
        <v>0</v>
      </c>
      <c r="V33" s="72"/>
      <c r="W33" s="72"/>
      <c r="X33" s="72"/>
      <c r="Z33" s="72">
        <f t="shared" si="3"/>
        <v>0</v>
      </c>
      <c r="AA33" s="72">
        <f t="shared" si="4"/>
        <v>0</v>
      </c>
      <c r="AB33" s="72">
        <f t="shared" si="5"/>
        <v>0</v>
      </c>
      <c r="AC33" s="72">
        <f t="shared" si="6"/>
        <v>0</v>
      </c>
      <c r="AD33" s="72">
        <f t="shared" si="7"/>
        <v>0</v>
      </c>
      <c r="AE33" s="72">
        <f t="shared" si="8"/>
        <v>0</v>
      </c>
      <c r="AF33" s="72">
        <f t="shared" si="9"/>
        <v>0</v>
      </c>
      <c r="AG33" s="72">
        <f t="shared" si="10"/>
        <v>0</v>
      </c>
      <c r="AH33" s="72">
        <f t="shared" si="11"/>
        <v>0</v>
      </c>
      <c r="AI33" s="72">
        <f t="shared" si="12"/>
        <v>0</v>
      </c>
      <c r="AJ33" s="72">
        <f t="shared" si="13"/>
        <v>0</v>
      </c>
      <c r="AK33" s="72">
        <f t="shared" si="14"/>
        <v>0</v>
      </c>
      <c r="AW33" s="55">
        <f>901.36/2</f>
        <v>450.68</v>
      </c>
    </row>
    <row r="34" spans="2:49" hidden="1">
      <c r="B34" s="60"/>
      <c r="C34" s="62"/>
      <c r="D34" s="79"/>
      <c r="E34" s="56"/>
      <c r="F34" s="76"/>
      <c r="G34" s="77">
        <f t="shared" si="1"/>
        <v>0</v>
      </c>
      <c r="H34" s="78">
        <f t="shared" si="2"/>
        <v>0</v>
      </c>
      <c r="I34" s="91"/>
      <c r="J34" s="72">
        <f t="shared" si="15"/>
        <v>0</v>
      </c>
      <c r="K34" s="72">
        <f t="shared" si="16"/>
        <v>0</v>
      </c>
      <c r="L34" s="72">
        <f t="shared" si="17"/>
        <v>0</v>
      </c>
      <c r="M34" s="72">
        <f t="shared" si="18"/>
        <v>0</v>
      </c>
      <c r="N34" s="72">
        <f t="shared" si="19"/>
        <v>0</v>
      </c>
      <c r="O34" s="72">
        <f t="shared" si="20"/>
        <v>0</v>
      </c>
      <c r="P34" s="72">
        <f t="shared" si="21"/>
        <v>0</v>
      </c>
      <c r="Q34" s="72">
        <f t="shared" si="22"/>
        <v>0</v>
      </c>
      <c r="R34" s="72">
        <f t="shared" si="23"/>
        <v>0</v>
      </c>
      <c r="S34" s="72">
        <f t="shared" si="24"/>
        <v>0</v>
      </c>
      <c r="T34" s="72">
        <f t="shared" si="25"/>
        <v>0</v>
      </c>
      <c r="U34" s="72">
        <f t="shared" si="26"/>
        <v>0</v>
      </c>
      <c r="V34" s="72"/>
      <c r="W34" s="72"/>
      <c r="X34" s="72"/>
      <c r="Z34" s="72">
        <f t="shared" si="3"/>
        <v>0</v>
      </c>
      <c r="AA34" s="72">
        <f t="shared" si="4"/>
        <v>0</v>
      </c>
      <c r="AB34" s="72">
        <f t="shared" si="5"/>
        <v>0</v>
      </c>
      <c r="AC34" s="72">
        <f t="shared" si="6"/>
        <v>0</v>
      </c>
      <c r="AD34" s="72">
        <f t="shared" si="7"/>
        <v>0</v>
      </c>
      <c r="AE34" s="72">
        <f t="shared" si="8"/>
        <v>0</v>
      </c>
      <c r="AF34" s="72">
        <f t="shared" si="9"/>
        <v>0</v>
      </c>
      <c r="AG34" s="72">
        <f t="shared" si="10"/>
        <v>0</v>
      </c>
      <c r="AH34" s="72">
        <f t="shared" si="11"/>
        <v>0</v>
      </c>
      <c r="AI34" s="72">
        <f t="shared" si="12"/>
        <v>0</v>
      </c>
      <c r="AJ34" s="72">
        <f t="shared" si="13"/>
        <v>0</v>
      </c>
      <c r="AK34" s="72">
        <f t="shared" si="14"/>
        <v>0</v>
      </c>
    </row>
    <row r="35" spans="2:49" hidden="1">
      <c r="B35" s="60"/>
      <c r="C35" s="62"/>
      <c r="D35" s="79"/>
      <c r="E35" s="56"/>
      <c r="F35" s="76"/>
      <c r="G35" s="77">
        <f t="shared" si="1"/>
        <v>0</v>
      </c>
      <c r="H35" s="78">
        <f t="shared" si="2"/>
        <v>0</v>
      </c>
      <c r="I35" s="91"/>
      <c r="J35" s="72">
        <f t="shared" si="15"/>
        <v>0</v>
      </c>
      <c r="K35" s="72">
        <f t="shared" si="16"/>
        <v>0</v>
      </c>
      <c r="L35" s="72">
        <f t="shared" si="17"/>
        <v>0</v>
      </c>
      <c r="M35" s="72">
        <f t="shared" si="18"/>
        <v>0</v>
      </c>
      <c r="N35" s="72">
        <f t="shared" si="19"/>
        <v>0</v>
      </c>
      <c r="O35" s="72">
        <f t="shared" si="20"/>
        <v>0</v>
      </c>
      <c r="P35" s="72">
        <f t="shared" si="21"/>
        <v>0</v>
      </c>
      <c r="Q35" s="72">
        <f t="shared" si="22"/>
        <v>0</v>
      </c>
      <c r="R35" s="72">
        <f t="shared" si="23"/>
        <v>0</v>
      </c>
      <c r="S35" s="72">
        <f t="shared" si="24"/>
        <v>0</v>
      </c>
      <c r="T35" s="72">
        <f t="shared" si="25"/>
        <v>0</v>
      </c>
      <c r="U35" s="72">
        <f t="shared" si="26"/>
        <v>0</v>
      </c>
      <c r="V35" s="72"/>
      <c r="W35" s="72"/>
      <c r="X35" s="72"/>
      <c r="Z35" s="72">
        <f t="shared" si="3"/>
        <v>0</v>
      </c>
      <c r="AA35" s="72">
        <f t="shared" si="4"/>
        <v>0</v>
      </c>
      <c r="AB35" s="72">
        <f t="shared" si="5"/>
        <v>0</v>
      </c>
      <c r="AC35" s="72">
        <f t="shared" si="6"/>
        <v>0</v>
      </c>
      <c r="AD35" s="72">
        <f t="shared" si="7"/>
        <v>0</v>
      </c>
      <c r="AE35" s="72">
        <f t="shared" si="8"/>
        <v>0</v>
      </c>
      <c r="AF35" s="72">
        <f t="shared" si="9"/>
        <v>0</v>
      </c>
      <c r="AG35" s="72">
        <f t="shared" si="10"/>
        <v>0</v>
      </c>
      <c r="AH35" s="72">
        <f t="shared" si="11"/>
        <v>0</v>
      </c>
      <c r="AI35" s="72">
        <f t="shared" si="12"/>
        <v>0</v>
      </c>
      <c r="AJ35" s="72">
        <f t="shared" si="13"/>
        <v>0</v>
      </c>
      <c r="AK35" s="72">
        <f t="shared" si="14"/>
        <v>0</v>
      </c>
      <c r="AW35" s="59">
        <f>AW31-AW33</f>
        <v>142.52499999999992</v>
      </c>
    </row>
    <row r="36" spans="2:49" hidden="1">
      <c r="B36" s="60"/>
      <c r="C36" s="62"/>
      <c r="D36" s="79"/>
      <c r="E36" s="56"/>
      <c r="F36" s="76"/>
      <c r="G36" s="77">
        <f t="shared" si="1"/>
        <v>0</v>
      </c>
      <c r="H36" s="78">
        <f t="shared" si="2"/>
        <v>0</v>
      </c>
      <c r="I36" s="91"/>
      <c r="J36" s="72">
        <f t="shared" si="15"/>
        <v>0</v>
      </c>
      <c r="K36" s="72">
        <f t="shared" si="16"/>
        <v>0</v>
      </c>
      <c r="L36" s="72">
        <f t="shared" si="17"/>
        <v>0</v>
      </c>
      <c r="M36" s="72">
        <f t="shared" si="18"/>
        <v>0</v>
      </c>
      <c r="N36" s="72">
        <f t="shared" si="19"/>
        <v>0</v>
      </c>
      <c r="O36" s="72">
        <f t="shared" si="20"/>
        <v>0</v>
      </c>
      <c r="P36" s="72">
        <f t="shared" si="21"/>
        <v>0</v>
      </c>
      <c r="Q36" s="72">
        <f t="shared" si="22"/>
        <v>0</v>
      </c>
      <c r="R36" s="72">
        <f t="shared" si="23"/>
        <v>0</v>
      </c>
      <c r="S36" s="72">
        <f t="shared" si="24"/>
        <v>0</v>
      </c>
      <c r="T36" s="72">
        <f t="shared" si="25"/>
        <v>0</v>
      </c>
      <c r="U36" s="72">
        <f t="shared" si="26"/>
        <v>0</v>
      </c>
      <c r="V36" s="72"/>
      <c r="W36" s="72"/>
      <c r="X36" s="72"/>
      <c r="Z36" s="72">
        <f t="shared" si="3"/>
        <v>0</v>
      </c>
      <c r="AA36" s="72">
        <f t="shared" si="4"/>
        <v>0</v>
      </c>
      <c r="AB36" s="72">
        <f t="shared" si="5"/>
        <v>0</v>
      </c>
      <c r="AC36" s="72">
        <f t="shared" si="6"/>
        <v>0</v>
      </c>
      <c r="AD36" s="72">
        <f t="shared" si="7"/>
        <v>0</v>
      </c>
      <c r="AE36" s="72">
        <f t="shared" si="8"/>
        <v>0</v>
      </c>
      <c r="AF36" s="72">
        <f t="shared" si="9"/>
        <v>0</v>
      </c>
      <c r="AG36" s="72">
        <f t="shared" si="10"/>
        <v>0</v>
      </c>
      <c r="AH36" s="72">
        <f t="shared" si="11"/>
        <v>0</v>
      </c>
      <c r="AI36" s="72">
        <f t="shared" si="12"/>
        <v>0</v>
      </c>
      <c r="AJ36" s="72">
        <f t="shared" si="13"/>
        <v>0</v>
      </c>
      <c r="AK36" s="72">
        <f t="shared" si="14"/>
        <v>0</v>
      </c>
    </row>
    <row r="37" spans="2:49" ht="1.5" hidden="1" customHeight="1">
      <c r="B37" s="60"/>
      <c r="C37" s="62"/>
      <c r="D37" s="79"/>
      <c r="E37" s="56"/>
      <c r="F37" s="76"/>
      <c r="G37" s="77">
        <f t="shared" si="1"/>
        <v>0</v>
      </c>
      <c r="H37" s="78">
        <f t="shared" si="2"/>
        <v>0</v>
      </c>
      <c r="I37" s="91"/>
      <c r="J37" s="72">
        <f t="shared" si="15"/>
        <v>0</v>
      </c>
      <c r="K37" s="72">
        <f t="shared" si="16"/>
        <v>0</v>
      </c>
      <c r="L37" s="72">
        <f t="shared" si="17"/>
        <v>0</v>
      </c>
      <c r="M37" s="72">
        <f t="shared" si="18"/>
        <v>0</v>
      </c>
      <c r="N37" s="72">
        <f t="shared" si="19"/>
        <v>0</v>
      </c>
      <c r="O37" s="72">
        <f t="shared" si="20"/>
        <v>0</v>
      </c>
      <c r="P37" s="72">
        <f t="shared" si="21"/>
        <v>0</v>
      </c>
      <c r="Q37" s="72">
        <f t="shared" si="22"/>
        <v>0</v>
      </c>
      <c r="R37" s="72">
        <f t="shared" si="23"/>
        <v>0</v>
      </c>
      <c r="S37" s="72">
        <f t="shared" si="24"/>
        <v>0</v>
      </c>
      <c r="T37" s="72">
        <f t="shared" si="25"/>
        <v>0</v>
      </c>
      <c r="U37" s="72">
        <f t="shared" si="26"/>
        <v>0</v>
      </c>
      <c r="V37" s="72"/>
      <c r="W37" s="72"/>
      <c r="X37" s="72"/>
      <c r="Z37" s="72">
        <f t="shared" si="3"/>
        <v>0</v>
      </c>
      <c r="AA37" s="72">
        <f t="shared" si="4"/>
        <v>0</v>
      </c>
      <c r="AB37" s="72">
        <f t="shared" si="5"/>
        <v>0</v>
      </c>
      <c r="AC37" s="72">
        <f t="shared" si="6"/>
        <v>0</v>
      </c>
      <c r="AD37" s="72">
        <f t="shared" si="7"/>
        <v>0</v>
      </c>
      <c r="AE37" s="72">
        <f t="shared" si="8"/>
        <v>0</v>
      </c>
      <c r="AF37" s="72">
        <f t="shared" si="9"/>
        <v>0</v>
      </c>
      <c r="AG37" s="72">
        <f t="shared" si="10"/>
        <v>0</v>
      </c>
      <c r="AH37" s="72">
        <f t="shared" si="11"/>
        <v>0</v>
      </c>
      <c r="AI37" s="72">
        <f t="shared" si="12"/>
        <v>0</v>
      </c>
      <c r="AJ37" s="72">
        <f t="shared" si="13"/>
        <v>0</v>
      </c>
      <c r="AK37" s="72">
        <f t="shared" si="14"/>
        <v>0</v>
      </c>
    </row>
    <row r="38" spans="2:49" hidden="1">
      <c r="B38" s="60"/>
      <c r="C38" s="62"/>
      <c r="D38" s="79"/>
      <c r="E38" s="56"/>
      <c r="F38" s="76"/>
      <c r="G38" s="77">
        <f t="shared" si="1"/>
        <v>0</v>
      </c>
      <c r="H38" s="78">
        <f t="shared" si="2"/>
        <v>0</v>
      </c>
      <c r="I38" s="91"/>
      <c r="J38" s="72">
        <f t="shared" si="15"/>
        <v>0</v>
      </c>
      <c r="K38" s="72">
        <f t="shared" si="16"/>
        <v>0</v>
      </c>
      <c r="L38" s="72">
        <f t="shared" si="17"/>
        <v>0</v>
      </c>
      <c r="M38" s="72">
        <f t="shared" si="18"/>
        <v>0</v>
      </c>
      <c r="N38" s="72">
        <f t="shared" si="19"/>
        <v>0</v>
      </c>
      <c r="O38" s="72">
        <f t="shared" si="20"/>
        <v>0</v>
      </c>
      <c r="P38" s="72">
        <f t="shared" si="21"/>
        <v>0</v>
      </c>
      <c r="Q38" s="72">
        <f t="shared" si="22"/>
        <v>0</v>
      </c>
      <c r="R38" s="72">
        <f t="shared" si="23"/>
        <v>0</v>
      </c>
      <c r="S38" s="72">
        <f t="shared" si="24"/>
        <v>0</v>
      </c>
      <c r="T38" s="72">
        <f t="shared" si="25"/>
        <v>0</v>
      </c>
      <c r="U38" s="72">
        <f t="shared" si="26"/>
        <v>0</v>
      </c>
      <c r="V38" s="72"/>
      <c r="W38" s="72"/>
      <c r="X38" s="72"/>
      <c r="Z38" s="72">
        <f t="shared" si="3"/>
        <v>0</v>
      </c>
      <c r="AA38" s="72">
        <f t="shared" si="4"/>
        <v>0</v>
      </c>
      <c r="AB38" s="72">
        <f t="shared" si="5"/>
        <v>0</v>
      </c>
      <c r="AC38" s="72">
        <f t="shared" si="6"/>
        <v>0</v>
      </c>
      <c r="AD38" s="72">
        <f t="shared" si="7"/>
        <v>0</v>
      </c>
      <c r="AE38" s="72">
        <f t="shared" si="8"/>
        <v>0</v>
      </c>
      <c r="AF38" s="72">
        <f t="shared" si="9"/>
        <v>0</v>
      </c>
      <c r="AG38" s="72">
        <f t="shared" si="10"/>
        <v>0</v>
      </c>
      <c r="AH38" s="72">
        <f t="shared" si="11"/>
        <v>0</v>
      </c>
      <c r="AI38" s="72">
        <f t="shared" si="12"/>
        <v>0</v>
      </c>
      <c r="AJ38" s="72">
        <f t="shared" si="13"/>
        <v>0</v>
      </c>
      <c r="AK38" s="72">
        <f t="shared" si="14"/>
        <v>0</v>
      </c>
    </row>
    <row r="39" spans="2:49" hidden="1">
      <c r="B39" s="60"/>
      <c r="C39" s="62"/>
      <c r="D39" s="79"/>
      <c r="E39" s="56"/>
      <c r="F39" s="76"/>
      <c r="G39" s="77">
        <f t="shared" si="1"/>
        <v>0</v>
      </c>
      <c r="H39" s="78">
        <f t="shared" si="2"/>
        <v>0</v>
      </c>
      <c r="I39" s="91"/>
      <c r="J39" s="72">
        <f t="shared" si="15"/>
        <v>0</v>
      </c>
      <c r="K39" s="72">
        <f t="shared" si="16"/>
        <v>0</v>
      </c>
      <c r="L39" s="72">
        <f t="shared" si="17"/>
        <v>0</v>
      </c>
      <c r="M39" s="72">
        <f t="shared" si="18"/>
        <v>0</v>
      </c>
      <c r="N39" s="72">
        <f t="shared" si="19"/>
        <v>0</v>
      </c>
      <c r="O39" s="72">
        <f t="shared" si="20"/>
        <v>0</v>
      </c>
      <c r="P39" s="72">
        <f t="shared" si="21"/>
        <v>0</v>
      </c>
      <c r="Q39" s="72">
        <f t="shared" si="22"/>
        <v>0</v>
      </c>
      <c r="R39" s="72">
        <f t="shared" si="23"/>
        <v>0</v>
      </c>
      <c r="S39" s="72">
        <f t="shared" si="24"/>
        <v>0</v>
      </c>
      <c r="T39" s="72">
        <f t="shared" si="25"/>
        <v>0</v>
      </c>
      <c r="U39" s="72">
        <f t="shared" si="26"/>
        <v>0</v>
      </c>
      <c r="V39" s="72"/>
      <c r="W39" s="72"/>
      <c r="X39" s="72"/>
      <c r="Z39" s="72">
        <f t="shared" si="3"/>
        <v>0</v>
      </c>
      <c r="AA39" s="72">
        <f t="shared" si="4"/>
        <v>0</v>
      </c>
      <c r="AB39" s="72">
        <f t="shared" si="5"/>
        <v>0</v>
      </c>
      <c r="AC39" s="72">
        <f t="shared" si="6"/>
        <v>0</v>
      </c>
      <c r="AD39" s="72">
        <f t="shared" si="7"/>
        <v>0</v>
      </c>
      <c r="AE39" s="72">
        <f t="shared" si="8"/>
        <v>0</v>
      </c>
      <c r="AF39" s="72">
        <f t="shared" si="9"/>
        <v>0</v>
      </c>
      <c r="AG39" s="72">
        <f t="shared" si="10"/>
        <v>0</v>
      </c>
      <c r="AH39" s="72">
        <f t="shared" si="11"/>
        <v>0</v>
      </c>
      <c r="AI39" s="72">
        <f t="shared" si="12"/>
        <v>0</v>
      </c>
      <c r="AJ39" s="72">
        <f t="shared" si="13"/>
        <v>0</v>
      </c>
      <c r="AK39" s="72">
        <f t="shared" si="14"/>
        <v>0</v>
      </c>
    </row>
    <row r="40" spans="2:49" hidden="1">
      <c r="B40" s="60"/>
      <c r="C40" s="62"/>
      <c r="D40" s="79"/>
      <c r="E40" s="56"/>
      <c r="F40" s="76"/>
      <c r="G40" s="77">
        <f t="shared" si="1"/>
        <v>0</v>
      </c>
      <c r="H40" s="78">
        <f t="shared" si="2"/>
        <v>0</v>
      </c>
      <c r="I40" s="91"/>
      <c r="J40" s="72">
        <f t="shared" si="15"/>
        <v>0</v>
      </c>
      <c r="K40" s="72">
        <f t="shared" si="16"/>
        <v>0</v>
      </c>
      <c r="L40" s="72">
        <f t="shared" si="17"/>
        <v>0</v>
      </c>
      <c r="M40" s="72">
        <f t="shared" si="18"/>
        <v>0</v>
      </c>
      <c r="N40" s="72">
        <f t="shared" si="19"/>
        <v>0</v>
      </c>
      <c r="O40" s="72">
        <f t="shared" si="20"/>
        <v>0</v>
      </c>
      <c r="P40" s="72">
        <f t="shared" si="21"/>
        <v>0</v>
      </c>
      <c r="Q40" s="72">
        <f t="shared" si="22"/>
        <v>0</v>
      </c>
      <c r="R40" s="72">
        <f t="shared" si="23"/>
        <v>0</v>
      </c>
      <c r="S40" s="72">
        <f t="shared" si="24"/>
        <v>0</v>
      </c>
      <c r="T40" s="72">
        <f t="shared" si="25"/>
        <v>0</v>
      </c>
      <c r="U40" s="72">
        <f t="shared" si="26"/>
        <v>0</v>
      </c>
      <c r="V40" s="72"/>
      <c r="W40" s="72"/>
      <c r="X40" s="72"/>
      <c r="Z40" s="72">
        <f t="shared" si="3"/>
        <v>0</v>
      </c>
      <c r="AA40" s="72">
        <f t="shared" si="4"/>
        <v>0</v>
      </c>
      <c r="AB40" s="72">
        <f t="shared" si="5"/>
        <v>0</v>
      </c>
      <c r="AC40" s="72">
        <f t="shared" si="6"/>
        <v>0</v>
      </c>
      <c r="AD40" s="72">
        <f t="shared" si="7"/>
        <v>0</v>
      </c>
      <c r="AE40" s="72">
        <f t="shared" si="8"/>
        <v>0</v>
      </c>
      <c r="AF40" s="72">
        <f t="shared" si="9"/>
        <v>0</v>
      </c>
      <c r="AG40" s="72">
        <f t="shared" si="10"/>
        <v>0</v>
      </c>
      <c r="AH40" s="72">
        <f t="shared" si="11"/>
        <v>0</v>
      </c>
      <c r="AI40" s="72">
        <f t="shared" si="12"/>
        <v>0</v>
      </c>
      <c r="AJ40" s="72">
        <f t="shared" si="13"/>
        <v>0</v>
      </c>
      <c r="AK40" s="72">
        <f t="shared" si="14"/>
        <v>0</v>
      </c>
    </row>
    <row r="41" spans="2:49" hidden="1">
      <c r="B41" s="60"/>
      <c r="C41" s="62"/>
      <c r="D41" s="79"/>
      <c r="E41" s="56"/>
      <c r="F41" s="76"/>
      <c r="G41" s="77">
        <f t="shared" si="1"/>
        <v>0</v>
      </c>
      <c r="H41" s="78">
        <f t="shared" si="2"/>
        <v>0</v>
      </c>
      <c r="I41" s="91"/>
      <c r="J41" s="72">
        <f t="shared" si="15"/>
        <v>0</v>
      </c>
      <c r="K41" s="72">
        <f t="shared" si="16"/>
        <v>0</v>
      </c>
      <c r="L41" s="72">
        <f t="shared" si="17"/>
        <v>0</v>
      </c>
      <c r="M41" s="72">
        <f t="shared" si="18"/>
        <v>0</v>
      </c>
      <c r="N41" s="72">
        <f t="shared" si="19"/>
        <v>0</v>
      </c>
      <c r="O41" s="72">
        <f t="shared" si="20"/>
        <v>0</v>
      </c>
      <c r="P41" s="72">
        <f t="shared" si="21"/>
        <v>0</v>
      </c>
      <c r="Q41" s="72">
        <f t="shared" si="22"/>
        <v>0</v>
      </c>
      <c r="R41" s="72">
        <f t="shared" si="23"/>
        <v>0</v>
      </c>
      <c r="S41" s="72">
        <f t="shared" si="24"/>
        <v>0</v>
      </c>
      <c r="T41" s="72">
        <f t="shared" si="25"/>
        <v>0</v>
      </c>
      <c r="U41" s="72">
        <f t="shared" si="26"/>
        <v>0</v>
      </c>
      <c r="V41" s="72"/>
      <c r="W41" s="72"/>
      <c r="X41" s="72"/>
      <c r="Z41" s="72">
        <f t="shared" si="3"/>
        <v>0</v>
      </c>
      <c r="AA41" s="72">
        <f t="shared" si="4"/>
        <v>0</v>
      </c>
      <c r="AB41" s="72">
        <f t="shared" si="5"/>
        <v>0</v>
      </c>
      <c r="AC41" s="72">
        <f t="shared" si="6"/>
        <v>0</v>
      </c>
      <c r="AD41" s="72">
        <f t="shared" si="7"/>
        <v>0</v>
      </c>
      <c r="AE41" s="72">
        <f t="shared" si="8"/>
        <v>0</v>
      </c>
      <c r="AF41" s="72">
        <f t="shared" si="9"/>
        <v>0</v>
      </c>
      <c r="AG41" s="72">
        <f t="shared" si="10"/>
        <v>0</v>
      </c>
      <c r="AH41" s="72">
        <f t="shared" si="11"/>
        <v>0</v>
      </c>
      <c r="AI41" s="72">
        <f t="shared" si="12"/>
        <v>0</v>
      </c>
      <c r="AJ41" s="72">
        <f t="shared" si="13"/>
        <v>0</v>
      </c>
      <c r="AK41" s="72">
        <f t="shared" si="14"/>
        <v>0</v>
      </c>
    </row>
    <row r="42" spans="2:49" hidden="1">
      <c r="B42" s="60"/>
      <c r="C42" s="62"/>
      <c r="D42" s="79"/>
      <c r="E42" s="56"/>
      <c r="F42" s="76"/>
      <c r="G42" s="77">
        <f t="shared" si="1"/>
        <v>0</v>
      </c>
      <c r="H42" s="78">
        <f t="shared" si="2"/>
        <v>0</v>
      </c>
      <c r="I42" s="91"/>
      <c r="J42" s="72">
        <f t="shared" si="15"/>
        <v>0</v>
      </c>
      <c r="K42" s="72">
        <f t="shared" si="16"/>
        <v>0</v>
      </c>
      <c r="L42" s="72">
        <f t="shared" si="17"/>
        <v>0</v>
      </c>
      <c r="M42" s="72">
        <f t="shared" si="18"/>
        <v>0</v>
      </c>
      <c r="N42" s="72">
        <f t="shared" si="19"/>
        <v>0</v>
      </c>
      <c r="O42" s="72">
        <f t="shared" si="20"/>
        <v>0</v>
      </c>
      <c r="P42" s="72">
        <f t="shared" si="21"/>
        <v>0</v>
      </c>
      <c r="Q42" s="72">
        <f t="shared" si="22"/>
        <v>0</v>
      </c>
      <c r="R42" s="72">
        <f t="shared" si="23"/>
        <v>0</v>
      </c>
      <c r="S42" s="72">
        <f t="shared" si="24"/>
        <v>0</v>
      </c>
      <c r="T42" s="72">
        <f t="shared" si="25"/>
        <v>0</v>
      </c>
      <c r="U42" s="72">
        <f t="shared" si="26"/>
        <v>0</v>
      </c>
      <c r="V42" s="72"/>
      <c r="W42" s="72"/>
      <c r="X42" s="72"/>
      <c r="Z42" s="72">
        <f t="shared" si="3"/>
        <v>0</v>
      </c>
      <c r="AA42" s="72">
        <f t="shared" si="4"/>
        <v>0</v>
      </c>
      <c r="AB42" s="72">
        <f t="shared" si="5"/>
        <v>0</v>
      </c>
      <c r="AC42" s="72">
        <f t="shared" si="6"/>
        <v>0</v>
      </c>
      <c r="AD42" s="72">
        <f t="shared" si="7"/>
        <v>0</v>
      </c>
      <c r="AE42" s="72">
        <f t="shared" si="8"/>
        <v>0</v>
      </c>
      <c r="AF42" s="72">
        <f t="shared" si="9"/>
        <v>0</v>
      </c>
      <c r="AG42" s="72">
        <f t="shared" si="10"/>
        <v>0</v>
      </c>
      <c r="AH42" s="72">
        <f t="shared" si="11"/>
        <v>0</v>
      </c>
      <c r="AI42" s="72">
        <f t="shared" si="12"/>
        <v>0</v>
      </c>
      <c r="AJ42" s="72">
        <f t="shared" si="13"/>
        <v>0</v>
      </c>
      <c r="AK42" s="72">
        <f t="shared" si="14"/>
        <v>0</v>
      </c>
    </row>
    <row r="43" spans="2:49" hidden="1">
      <c r="B43" s="60"/>
      <c r="C43" s="62"/>
      <c r="D43" s="79"/>
      <c r="E43" s="56"/>
      <c r="F43" s="76"/>
      <c r="G43" s="77">
        <f t="shared" si="1"/>
        <v>0</v>
      </c>
      <c r="H43" s="78">
        <f t="shared" si="2"/>
        <v>0</v>
      </c>
      <c r="I43" s="91"/>
      <c r="J43" s="72">
        <f t="shared" si="15"/>
        <v>0</v>
      </c>
      <c r="K43" s="72">
        <f t="shared" si="16"/>
        <v>0</v>
      </c>
      <c r="L43" s="72">
        <f t="shared" si="17"/>
        <v>0</v>
      </c>
      <c r="M43" s="72">
        <f t="shared" si="18"/>
        <v>0</v>
      </c>
      <c r="N43" s="72">
        <f t="shared" si="19"/>
        <v>0</v>
      </c>
      <c r="O43" s="72">
        <f t="shared" si="20"/>
        <v>0</v>
      </c>
      <c r="P43" s="72">
        <f t="shared" si="21"/>
        <v>0</v>
      </c>
      <c r="Q43" s="72">
        <f t="shared" si="22"/>
        <v>0</v>
      </c>
      <c r="R43" s="72">
        <f t="shared" si="23"/>
        <v>0</v>
      </c>
      <c r="S43" s="72">
        <f t="shared" si="24"/>
        <v>0</v>
      </c>
      <c r="T43" s="72">
        <f t="shared" si="25"/>
        <v>0</v>
      </c>
      <c r="U43" s="72">
        <f t="shared" si="26"/>
        <v>0</v>
      </c>
      <c r="V43" s="72"/>
      <c r="W43" s="72"/>
      <c r="X43" s="72"/>
      <c r="Z43" s="72">
        <f t="shared" si="3"/>
        <v>0</v>
      </c>
      <c r="AA43" s="72">
        <f t="shared" si="4"/>
        <v>0</v>
      </c>
      <c r="AB43" s="72">
        <f t="shared" si="5"/>
        <v>0</v>
      </c>
      <c r="AC43" s="72">
        <f t="shared" si="6"/>
        <v>0</v>
      </c>
      <c r="AD43" s="72">
        <f t="shared" si="7"/>
        <v>0</v>
      </c>
      <c r="AE43" s="72">
        <f t="shared" si="8"/>
        <v>0</v>
      </c>
      <c r="AF43" s="72">
        <f t="shared" si="9"/>
        <v>0</v>
      </c>
      <c r="AG43" s="72">
        <f t="shared" si="10"/>
        <v>0</v>
      </c>
      <c r="AH43" s="72">
        <f t="shared" si="11"/>
        <v>0</v>
      </c>
      <c r="AI43" s="72">
        <f t="shared" si="12"/>
        <v>0</v>
      </c>
      <c r="AJ43" s="72">
        <f t="shared" si="13"/>
        <v>0</v>
      </c>
      <c r="AK43" s="72">
        <f t="shared" si="14"/>
        <v>0</v>
      </c>
    </row>
    <row r="44" spans="2:49" hidden="1">
      <c r="B44" s="60"/>
      <c r="C44" s="62"/>
      <c r="D44" s="79"/>
      <c r="E44" s="56"/>
      <c r="F44" s="76"/>
      <c r="G44" s="77">
        <f t="shared" si="1"/>
        <v>0</v>
      </c>
      <c r="H44" s="78">
        <f t="shared" si="2"/>
        <v>0</v>
      </c>
      <c r="I44" s="91"/>
      <c r="J44" s="72">
        <f t="shared" si="15"/>
        <v>0</v>
      </c>
      <c r="K44" s="72">
        <f t="shared" si="16"/>
        <v>0</v>
      </c>
      <c r="L44" s="72">
        <f t="shared" si="17"/>
        <v>0</v>
      </c>
      <c r="M44" s="72">
        <f t="shared" si="18"/>
        <v>0</v>
      </c>
      <c r="N44" s="72">
        <f t="shared" si="19"/>
        <v>0</v>
      </c>
      <c r="O44" s="72">
        <f t="shared" si="20"/>
        <v>0</v>
      </c>
      <c r="P44" s="72">
        <f t="shared" si="21"/>
        <v>0</v>
      </c>
      <c r="Q44" s="72">
        <f t="shared" si="22"/>
        <v>0</v>
      </c>
      <c r="R44" s="72">
        <f t="shared" si="23"/>
        <v>0</v>
      </c>
      <c r="S44" s="72">
        <f t="shared" si="24"/>
        <v>0</v>
      </c>
      <c r="T44" s="72">
        <f t="shared" si="25"/>
        <v>0</v>
      </c>
      <c r="U44" s="72">
        <f t="shared" si="26"/>
        <v>0</v>
      </c>
      <c r="V44" s="72"/>
      <c r="W44" s="72"/>
      <c r="X44" s="72"/>
      <c r="Z44" s="72">
        <f t="shared" si="3"/>
        <v>0</v>
      </c>
      <c r="AA44" s="72">
        <f t="shared" si="4"/>
        <v>0</v>
      </c>
      <c r="AB44" s="72">
        <f t="shared" si="5"/>
        <v>0</v>
      </c>
      <c r="AC44" s="72">
        <f t="shared" si="6"/>
        <v>0</v>
      </c>
      <c r="AD44" s="72">
        <f t="shared" si="7"/>
        <v>0</v>
      </c>
      <c r="AE44" s="72">
        <f t="shared" si="8"/>
        <v>0</v>
      </c>
      <c r="AF44" s="72">
        <f t="shared" si="9"/>
        <v>0</v>
      </c>
      <c r="AG44" s="72">
        <f t="shared" si="10"/>
        <v>0</v>
      </c>
      <c r="AH44" s="72">
        <f t="shared" si="11"/>
        <v>0</v>
      </c>
      <c r="AI44" s="72">
        <f t="shared" si="12"/>
        <v>0</v>
      </c>
      <c r="AJ44" s="72">
        <f t="shared" si="13"/>
        <v>0</v>
      </c>
      <c r="AK44" s="72">
        <f t="shared" si="14"/>
        <v>0</v>
      </c>
    </row>
    <row r="45" spans="2:49" hidden="1">
      <c r="B45" s="60"/>
      <c r="C45" s="62"/>
      <c r="D45" s="79"/>
      <c r="E45" s="56"/>
      <c r="F45" s="76"/>
      <c r="G45" s="77">
        <f t="shared" si="1"/>
        <v>0</v>
      </c>
      <c r="H45" s="78">
        <f t="shared" si="2"/>
        <v>0</v>
      </c>
      <c r="I45" s="91"/>
      <c r="J45" s="72">
        <f t="shared" si="15"/>
        <v>0</v>
      </c>
      <c r="K45" s="72">
        <f t="shared" si="16"/>
        <v>0</v>
      </c>
      <c r="L45" s="72">
        <f t="shared" si="17"/>
        <v>0</v>
      </c>
      <c r="M45" s="72">
        <f t="shared" si="18"/>
        <v>0</v>
      </c>
      <c r="N45" s="72">
        <f t="shared" si="19"/>
        <v>0</v>
      </c>
      <c r="O45" s="72">
        <f t="shared" si="20"/>
        <v>0</v>
      </c>
      <c r="P45" s="72">
        <f t="shared" si="21"/>
        <v>0</v>
      </c>
      <c r="Q45" s="72">
        <f t="shared" si="22"/>
        <v>0</v>
      </c>
      <c r="R45" s="72">
        <f t="shared" si="23"/>
        <v>0</v>
      </c>
      <c r="S45" s="72">
        <f t="shared" si="24"/>
        <v>0</v>
      </c>
      <c r="T45" s="72">
        <f t="shared" si="25"/>
        <v>0</v>
      </c>
      <c r="U45" s="72">
        <f t="shared" si="26"/>
        <v>0</v>
      </c>
      <c r="V45" s="72"/>
      <c r="W45" s="72"/>
      <c r="X45" s="72"/>
      <c r="Z45" s="72">
        <f t="shared" si="3"/>
        <v>0</v>
      </c>
      <c r="AA45" s="72">
        <f t="shared" si="4"/>
        <v>0</v>
      </c>
      <c r="AB45" s="72">
        <f t="shared" si="5"/>
        <v>0</v>
      </c>
      <c r="AC45" s="72">
        <f t="shared" si="6"/>
        <v>0</v>
      </c>
      <c r="AD45" s="72">
        <f t="shared" si="7"/>
        <v>0</v>
      </c>
      <c r="AE45" s="72">
        <f t="shared" si="8"/>
        <v>0</v>
      </c>
      <c r="AF45" s="72">
        <f t="shared" si="9"/>
        <v>0</v>
      </c>
      <c r="AG45" s="72">
        <f t="shared" si="10"/>
        <v>0</v>
      </c>
      <c r="AH45" s="72">
        <f t="shared" si="11"/>
        <v>0</v>
      </c>
      <c r="AI45" s="72">
        <f t="shared" si="12"/>
        <v>0</v>
      </c>
      <c r="AJ45" s="72">
        <f t="shared" si="13"/>
        <v>0</v>
      </c>
      <c r="AK45" s="72">
        <f t="shared" si="14"/>
        <v>0</v>
      </c>
    </row>
    <row r="46" spans="2:49" hidden="1">
      <c r="B46" s="60"/>
      <c r="C46" s="62"/>
      <c r="D46" s="79"/>
      <c r="E46" s="56"/>
      <c r="F46" s="76"/>
      <c r="G46" s="77">
        <f t="shared" si="1"/>
        <v>0</v>
      </c>
      <c r="H46" s="78">
        <f t="shared" si="2"/>
        <v>0</v>
      </c>
      <c r="I46" s="91"/>
      <c r="J46" s="72">
        <f t="shared" si="15"/>
        <v>0</v>
      </c>
      <c r="K46" s="72">
        <f t="shared" si="16"/>
        <v>0</v>
      </c>
      <c r="L46" s="72">
        <f t="shared" si="17"/>
        <v>0</v>
      </c>
      <c r="M46" s="72">
        <f t="shared" si="18"/>
        <v>0</v>
      </c>
      <c r="N46" s="72">
        <f t="shared" si="19"/>
        <v>0</v>
      </c>
      <c r="O46" s="72">
        <f t="shared" si="20"/>
        <v>0</v>
      </c>
      <c r="P46" s="72">
        <f t="shared" si="21"/>
        <v>0</v>
      </c>
      <c r="Q46" s="72">
        <f t="shared" si="22"/>
        <v>0</v>
      </c>
      <c r="R46" s="72">
        <f t="shared" si="23"/>
        <v>0</v>
      </c>
      <c r="S46" s="72">
        <f t="shared" si="24"/>
        <v>0</v>
      </c>
      <c r="T46" s="72">
        <f t="shared" si="25"/>
        <v>0</v>
      </c>
      <c r="U46" s="72">
        <f t="shared" si="26"/>
        <v>0</v>
      </c>
      <c r="V46" s="72"/>
      <c r="W46" s="72"/>
      <c r="X46" s="72"/>
      <c r="Z46" s="72">
        <f t="shared" si="3"/>
        <v>0</v>
      </c>
      <c r="AA46" s="72">
        <f t="shared" si="4"/>
        <v>0</v>
      </c>
      <c r="AB46" s="72">
        <f t="shared" si="5"/>
        <v>0</v>
      </c>
      <c r="AC46" s="72">
        <f t="shared" si="6"/>
        <v>0</v>
      </c>
      <c r="AD46" s="72">
        <f t="shared" si="7"/>
        <v>0</v>
      </c>
      <c r="AE46" s="72">
        <f t="shared" si="8"/>
        <v>0</v>
      </c>
      <c r="AF46" s="72">
        <f t="shared" si="9"/>
        <v>0</v>
      </c>
      <c r="AG46" s="72">
        <f t="shared" si="10"/>
        <v>0</v>
      </c>
      <c r="AH46" s="72">
        <f t="shared" si="11"/>
        <v>0</v>
      </c>
      <c r="AI46" s="72">
        <f t="shared" si="12"/>
        <v>0</v>
      </c>
      <c r="AJ46" s="72">
        <f t="shared" si="13"/>
        <v>0</v>
      </c>
      <c r="AK46" s="72">
        <f t="shared" si="14"/>
        <v>0</v>
      </c>
    </row>
    <row r="47" spans="2:49" hidden="1">
      <c r="B47" s="60"/>
      <c r="C47" s="62"/>
      <c r="D47" s="79"/>
      <c r="E47" s="56"/>
      <c r="F47" s="76"/>
      <c r="G47" s="77">
        <f t="shared" si="1"/>
        <v>0</v>
      </c>
      <c r="H47" s="78">
        <f t="shared" si="2"/>
        <v>0</v>
      </c>
      <c r="I47" s="91"/>
      <c r="J47" s="72">
        <f t="shared" si="15"/>
        <v>0</v>
      </c>
      <c r="K47" s="72">
        <f t="shared" si="16"/>
        <v>0</v>
      </c>
      <c r="L47" s="72">
        <f t="shared" si="17"/>
        <v>0</v>
      </c>
      <c r="M47" s="72">
        <f t="shared" si="18"/>
        <v>0</v>
      </c>
      <c r="N47" s="72">
        <f t="shared" si="19"/>
        <v>0</v>
      </c>
      <c r="O47" s="72">
        <f t="shared" si="20"/>
        <v>0</v>
      </c>
      <c r="P47" s="72">
        <f t="shared" si="21"/>
        <v>0</v>
      </c>
      <c r="Q47" s="72">
        <f t="shared" si="22"/>
        <v>0</v>
      </c>
      <c r="R47" s="72">
        <f t="shared" si="23"/>
        <v>0</v>
      </c>
      <c r="S47" s="72">
        <f t="shared" si="24"/>
        <v>0</v>
      </c>
      <c r="T47" s="72">
        <f t="shared" si="25"/>
        <v>0</v>
      </c>
      <c r="U47" s="72">
        <f t="shared" si="26"/>
        <v>0</v>
      </c>
      <c r="V47" s="72"/>
      <c r="W47" s="72"/>
      <c r="X47" s="72"/>
      <c r="Z47" s="72">
        <f t="shared" si="3"/>
        <v>0</v>
      </c>
      <c r="AA47" s="72">
        <f t="shared" si="4"/>
        <v>0</v>
      </c>
      <c r="AB47" s="72">
        <f t="shared" si="5"/>
        <v>0</v>
      </c>
      <c r="AC47" s="72">
        <f t="shared" si="6"/>
        <v>0</v>
      </c>
      <c r="AD47" s="72">
        <f t="shared" si="7"/>
        <v>0</v>
      </c>
      <c r="AE47" s="72">
        <f t="shared" si="8"/>
        <v>0</v>
      </c>
      <c r="AF47" s="72">
        <f t="shared" si="9"/>
        <v>0</v>
      </c>
      <c r="AG47" s="72">
        <f t="shared" si="10"/>
        <v>0</v>
      </c>
      <c r="AH47" s="72">
        <f t="shared" si="11"/>
        <v>0</v>
      </c>
      <c r="AI47" s="72">
        <f t="shared" si="12"/>
        <v>0</v>
      </c>
      <c r="AJ47" s="72">
        <f t="shared" si="13"/>
        <v>0</v>
      </c>
      <c r="AK47" s="72">
        <f t="shared" si="14"/>
        <v>0</v>
      </c>
    </row>
    <row r="48" spans="2:49" hidden="1">
      <c r="B48" s="60"/>
      <c r="C48" s="62"/>
      <c r="D48" s="79"/>
      <c r="E48" s="56"/>
      <c r="F48" s="76"/>
      <c r="G48" s="77">
        <f t="shared" si="1"/>
        <v>0</v>
      </c>
      <c r="H48" s="78">
        <f t="shared" si="2"/>
        <v>0</v>
      </c>
      <c r="I48" s="91"/>
      <c r="J48" s="72">
        <f t="shared" si="15"/>
        <v>0</v>
      </c>
      <c r="K48" s="72">
        <f t="shared" si="16"/>
        <v>0</v>
      </c>
      <c r="L48" s="72">
        <f t="shared" si="17"/>
        <v>0</v>
      </c>
      <c r="M48" s="72">
        <f t="shared" si="18"/>
        <v>0</v>
      </c>
      <c r="N48" s="72">
        <f t="shared" si="19"/>
        <v>0</v>
      </c>
      <c r="O48" s="72">
        <f t="shared" si="20"/>
        <v>0</v>
      </c>
      <c r="P48" s="72">
        <f t="shared" si="21"/>
        <v>0</v>
      </c>
      <c r="Q48" s="72">
        <f t="shared" si="22"/>
        <v>0</v>
      </c>
      <c r="R48" s="72">
        <f t="shared" si="23"/>
        <v>0</v>
      </c>
      <c r="S48" s="72">
        <f t="shared" si="24"/>
        <v>0</v>
      </c>
      <c r="T48" s="72">
        <f t="shared" si="25"/>
        <v>0</v>
      </c>
      <c r="U48" s="72">
        <f t="shared" si="26"/>
        <v>0</v>
      </c>
      <c r="V48" s="72"/>
      <c r="W48" s="72"/>
      <c r="X48" s="72"/>
      <c r="Z48" s="72">
        <f t="shared" si="3"/>
        <v>0</v>
      </c>
      <c r="AA48" s="72">
        <f t="shared" si="4"/>
        <v>0</v>
      </c>
      <c r="AB48" s="72">
        <f t="shared" si="5"/>
        <v>0</v>
      </c>
      <c r="AC48" s="72">
        <f t="shared" si="6"/>
        <v>0</v>
      </c>
      <c r="AD48" s="72">
        <f t="shared" si="7"/>
        <v>0</v>
      </c>
      <c r="AE48" s="72">
        <f t="shared" si="8"/>
        <v>0</v>
      </c>
      <c r="AF48" s="72">
        <f t="shared" si="9"/>
        <v>0</v>
      </c>
      <c r="AG48" s="72">
        <f t="shared" si="10"/>
        <v>0</v>
      </c>
      <c r="AH48" s="72">
        <f t="shared" si="11"/>
        <v>0</v>
      </c>
      <c r="AI48" s="72">
        <f t="shared" si="12"/>
        <v>0</v>
      </c>
      <c r="AJ48" s="72">
        <f t="shared" si="13"/>
        <v>0</v>
      </c>
      <c r="AK48" s="72">
        <f t="shared" si="14"/>
        <v>0</v>
      </c>
    </row>
    <row r="49" spans="2:42" hidden="1">
      <c r="B49" s="60"/>
      <c r="C49" s="62"/>
      <c r="D49" s="79"/>
      <c r="E49" s="56"/>
      <c r="F49" s="76"/>
      <c r="G49" s="77">
        <f t="shared" si="1"/>
        <v>0</v>
      </c>
      <c r="H49" s="78">
        <f t="shared" si="2"/>
        <v>0</v>
      </c>
      <c r="I49" s="91"/>
      <c r="J49" s="72">
        <f t="shared" si="15"/>
        <v>0</v>
      </c>
      <c r="K49" s="72">
        <f t="shared" si="16"/>
        <v>0</v>
      </c>
      <c r="L49" s="72">
        <f t="shared" si="17"/>
        <v>0</v>
      </c>
      <c r="M49" s="72">
        <f t="shared" si="18"/>
        <v>0</v>
      </c>
      <c r="N49" s="72">
        <f t="shared" si="19"/>
        <v>0</v>
      </c>
      <c r="O49" s="72">
        <f t="shared" si="20"/>
        <v>0</v>
      </c>
      <c r="P49" s="72">
        <f t="shared" si="21"/>
        <v>0</v>
      </c>
      <c r="Q49" s="72">
        <f t="shared" si="22"/>
        <v>0</v>
      </c>
      <c r="R49" s="72">
        <f t="shared" si="23"/>
        <v>0</v>
      </c>
      <c r="S49" s="72">
        <f t="shared" si="24"/>
        <v>0</v>
      </c>
      <c r="T49" s="72">
        <f t="shared" si="25"/>
        <v>0</v>
      </c>
      <c r="U49" s="72">
        <f t="shared" si="26"/>
        <v>0</v>
      </c>
      <c r="V49" s="72"/>
      <c r="W49" s="72"/>
      <c r="X49" s="72"/>
      <c r="Z49" s="72">
        <f t="shared" si="3"/>
        <v>0</v>
      </c>
      <c r="AA49" s="72">
        <f t="shared" si="4"/>
        <v>0</v>
      </c>
      <c r="AB49" s="72">
        <f t="shared" si="5"/>
        <v>0</v>
      </c>
      <c r="AC49" s="72">
        <f t="shared" si="6"/>
        <v>0</v>
      </c>
      <c r="AD49" s="72">
        <f t="shared" si="7"/>
        <v>0</v>
      </c>
      <c r="AE49" s="72">
        <f t="shared" si="8"/>
        <v>0</v>
      </c>
      <c r="AF49" s="72">
        <f t="shared" si="9"/>
        <v>0</v>
      </c>
      <c r="AG49" s="72">
        <f t="shared" si="10"/>
        <v>0</v>
      </c>
      <c r="AH49" s="72">
        <f t="shared" si="11"/>
        <v>0</v>
      </c>
      <c r="AI49" s="72">
        <f t="shared" si="12"/>
        <v>0</v>
      </c>
      <c r="AJ49" s="72">
        <f t="shared" si="13"/>
        <v>0</v>
      </c>
      <c r="AK49" s="72">
        <f t="shared" si="14"/>
        <v>0</v>
      </c>
    </row>
    <row r="50" spans="2:42" hidden="1">
      <c r="B50" s="60"/>
      <c r="C50" s="62"/>
      <c r="D50" s="79"/>
      <c r="E50" s="56"/>
      <c r="F50" s="76"/>
      <c r="G50" s="77">
        <f t="shared" si="1"/>
        <v>0</v>
      </c>
      <c r="H50" s="78">
        <f t="shared" si="2"/>
        <v>0</v>
      </c>
      <c r="I50" s="91"/>
      <c r="J50" s="72">
        <f t="shared" si="15"/>
        <v>0</v>
      </c>
      <c r="K50" s="72">
        <f t="shared" si="16"/>
        <v>0</v>
      </c>
      <c r="L50" s="72">
        <f t="shared" si="17"/>
        <v>0</v>
      </c>
      <c r="M50" s="72">
        <f t="shared" si="18"/>
        <v>0</v>
      </c>
      <c r="N50" s="72">
        <f t="shared" si="19"/>
        <v>0</v>
      </c>
      <c r="O50" s="72">
        <f t="shared" si="20"/>
        <v>0</v>
      </c>
      <c r="P50" s="72">
        <f t="shared" si="21"/>
        <v>0</v>
      </c>
      <c r="Q50" s="72">
        <f t="shared" si="22"/>
        <v>0</v>
      </c>
      <c r="R50" s="72">
        <f t="shared" si="23"/>
        <v>0</v>
      </c>
      <c r="S50" s="72">
        <f t="shared" si="24"/>
        <v>0</v>
      </c>
      <c r="T50" s="72">
        <f t="shared" si="25"/>
        <v>0</v>
      </c>
      <c r="U50" s="72">
        <f t="shared" si="26"/>
        <v>0</v>
      </c>
      <c r="V50" s="72"/>
      <c r="W50" s="72"/>
      <c r="X50" s="72"/>
      <c r="Z50" s="72">
        <f t="shared" si="3"/>
        <v>0</v>
      </c>
      <c r="AA50" s="72">
        <f t="shared" si="4"/>
        <v>0</v>
      </c>
      <c r="AB50" s="72">
        <f t="shared" si="5"/>
        <v>0</v>
      </c>
      <c r="AC50" s="72">
        <f t="shared" si="6"/>
        <v>0</v>
      </c>
      <c r="AD50" s="72">
        <f t="shared" si="7"/>
        <v>0</v>
      </c>
      <c r="AE50" s="72">
        <f t="shared" si="8"/>
        <v>0</v>
      </c>
      <c r="AF50" s="72">
        <f t="shared" si="9"/>
        <v>0</v>
      </c>
      <c r="AG50" s="72">
        <f t="shared" si="10"/>
        <v>0</v>
      </c>
      <c r="AH50" s="72">
        <f t="shared" si="11"/>
        <v>0</v>
      </c>
      <c r="AI50" s="72">
        <f t="shared" si="12"/>
        <v>0</v>
      </c>
      <c r="AJ50" s="72">
        <f t="shared" si="13"/>
        <v>0</v>
      </c>
      <c r="AK50" s="72">
        <f t="shared" si="14"/>
        <v>0</v>
      </c>
    </row>
    <row r="51" spans="2:42" hidden="1">
      <c r="B51" s="60"/>
      <c r="C51" s="62"/>
      <c r="D51" s="79"/>
      <c r="E51" s="56"/>
      <c r="F51" s="76"/>
      <c r="G51" s="77">
        <f t="shared" si="1"/>
        <v>0</v>
      </c>
      <c r="H51" s="78">
        <f t="shared" si="2"/>
        <v>0</v>
      </c>
      <c r="I51" s="91"/>
      <c r="J51" s="72">
        <f t="shared" si="15"/>
        <v>0</v>
      </c>
      <c r="K51" s="72">
        <f t="shared" si="16"/>
        <v>0</v>
      </c>
      <c r="L51" s="72">
        <f t="shared" si="17"/>
        <v>0</v>
      </c>
      <c r="M51" s="72">
        <f t="shared" si="18"/>
        <v>0</v>
      </c>
      <c r="N51" s="72">
        <f t="shared" si="19"/>
        <v>0</v>
      </c>
      <c r="O51" s="72">
        <f t="shared" si="20"/>
        <v>0</v>
      </c>
      <c r="P51" s="72">
        <f t="shared" si="21"/>
        <v>0</v>
      </c>
      <c r="Q51" s="72">
        <f t="shared" si="22"/>
        <v>0</v>
      </c>
      <c r="R51" s="72">
        <f t="shared" si="23"/>
        <v>0</v>
      </c>
      <c r="S51" s="72">
        <f t="shared" si="24"/>
        <v>0</v>
      </c>
      <c r="T51" s="72">
        <f t="shared" si="25"/>
        <v>0</v>
      </c>
      <c r="U51" s="72">
        <f t="shared" si="26"/>
        <v>0</v>
      </c>
      <c r="V51" s="72"/>
      <c r="W51" s="72"/>
      <c r="X51" s="72"/>
      <c r="Z51" s="72">
        <f t="shared" si="3"/>
        <v>0</v>
      </c>
      <c r="AA51" s="72">
        <f t="shared" si="4"/>
        <v>0</v>
      </c>
      <c r="AB51" s="72">
        <f t="shared" si="5"/>
        <v>0</v>
      </c>
      <c r="AC51" s="72">
        <f t="shared" si="6"/>
        <v>0</v>
      </c>
      <c r="AD51" s="72">
        <f t="shared" si="7"/>
        <v>0</v>
      </c>
      <c r="AE51" s="72">
        <f t="shared" si="8"/>
        <v>0</v>
      </c>
      <c r="AF51" s="72">
        <f t="shared" si="9"/>
        <v>0</v>
      </c>
      <c r="AG51" s="72">
        <f t="shared" si="10"/>
        <v>0</v>
      </c>
      <c r="AH51" s="72">
        <f t="shared" si="11"/>
        <v>0</v>
      </c>
      <c r="AI51" s="72">
        <f t="shared" si="12"/>
        <v>0</v>
      </c>
      <c r="AJ51" s="72">
        <f t="shared" si="13"/>
        <v>0</v>
      </c>
      <c r="AK51" s="72">
        <f t="shared" si="14"/>
        <v>0</v>
      </c>
    </row>
    <row r="52" spans="2:42" hidden="1">
      <c r="B52" s="60"/>
      <c r="C52" s="62"/>
      <c r="D52" s="79"/>
      <c r="E52" s="56"/>
      <c r="F52" s="76"/>
      <c r="G52" s="77">
        <f t="shared" si="1"/>
        <v>0</v>
      </c>
      <c r="H52" s="78">
        <f t="shared" si="2"/>
        <v>0</v>
      </c>
      <c r="I52" s="91"/>
      <c r="J52" s="72">
        <f t="shared" si="15"/>
        <v>0</v>
      </c>
      <c r="K52" s="72">
        <f t="shared" si="16"/>
        <v>0</v>
      </c>
      <c r="L52" s="72">
        <f t="shared" si="17"/>
        <v>0</v>
      </c>
      <c r="M52" s="72">
        <f t="shared" si="18"/>
        <v>0</v>
      </c>
      <c r="N52" s="72">
        <f t="shared" si="19"/>
        <v>0</v>
      </c>
      <c r="O52" s="72">
        <f t="shared" si="20"/>
        <v>0</v>
      </c>
      <c r="P52" s="72">
        <f t="shared" si="21"/>
        <v>0</v>
      </c>
      <c r="Q52" s="72">
        <f t="shared" si="22"/>
        <v>0</v>
      </c>
      <c r="R52" s="72">
        <f t="shared" si="23"/>
        <v>0</v>
      </c>
      <c r="S52" s="72">
        <f t="shared" si="24"/>
        <v>0</v>
      </c>
      <c r="T52" s="72">
        <f t="shared" si="25"/>
        <v>0</v>
      </c>
      <c r="U52" s="72">
        <f t="shared" si="26"/>
        <v>0</v>
      </c>
      <c r="V52" s="72"/>
      <c r="W52" s="72"/>
      <c r="X52" s="72"/>
      <c r="Z52" s="72">
        <f t="shared" si="3"/>
        <v>0</v>
      </c>
      <c r="AA52" s="72">
        <f t="shared" si="4"/>
        <v>0</v>
      </c>
      <c r="AB52" s="72">
        <f t="shared" si="5"/>
        <v>0</v>
      </c>
      <c r="AC52" s="72">
        <f t="shared" si="6"/>
        <v>0</v>
      </c>
      <c r="AD52" s="72">
        <f t="shared" si="7"/>
        <v>0</v>
      </c>
      <c r="AE52" s="72">
        <f t="shared" si="8"/>
        <v>0</v>
      </c>
      <c r="AF52" s="72">
        <f t="shared" si="9"/>
        <v>0</v>
      </c>
      <c r="AG52" s="72">
        <f t="shared" si="10"/>
        <v>0</v>
      </c>
      <c r="AH52" s="72">
        <f t="shared" si="11"/>
        <v>0</v>
      </c>
      <c r="AI52" s="72">
        <f t="shared" si="12"/>
        <v>0</v>
      </c>
      <c r="AJ52" s="72">
        <f t="shared" si="13"/>
        <v>0</v>
      </c>
      <c r="AK52" s="72">
        <f t="shared" si="14"/>
        <v>0</v>
      </c>
    </row>
    <row r="53" spans="2:42" hidden="1">
      <c r="B53" s="60"/>
      <c r="C53" s="62"/>
      <c r="D53" s="79"/>
      <c r="E53" s="56"/>
      <c r="F53" s="76"/>
      <c r="G53" s="77">
        <f t="shared" si="1"/>
        <v>0</v>
      </c>
      <c r="H53" s="78">
        <f t="shared" si="2"/>
        <v>0</v>
      </c>
      <c r="I53" s="91"/>
      <c r="J53" s="72">
        <f t="shared" si="15"/>
        <v>0</v>
      </c>
      <c r="K53" s="72">
        <f t="shared" si="16"/>
        <v>0</v>
      </c>
      <c r="L53" s="72">
        <f t="shared" si="17"/>
        <v>0</v>
      </c>
      <c r="M53" s="72">
        <f t="shared" si="18"/>
        <v>0</v>
      </c>
      <c r="N53" s="72">
        <f t="shared" si="19"/>
        <v>0</v>
      </c>
      <c r="O53" s="72">
        <f t="shared" si="20"/>
        <v>0</v>
      </c>
      <c r="P53" s="72">
        <f t="shared" si="21"/>
        <v>0</v>
      </c>
      <c r="Q53" s="72">
        <f t="shared" si="22"/>
        <v>0</v>
      </c>
      <c r="R53" s="72">
        <f t="shared" si="23"/>
        <v>0</v>
      </c>
      <c r="S53" s="72">
        <f t="shared" si="24"/>
        <v>0</v>
      </c>
      <c r="T53" s="72">
        <f t="shared" si="25"/>
        <v>0</v>
      </c>
      <c r="U53" s="72">
        <f t="shared" si="26"/>
        <v>0</v>
      </c>
      <c r="V53" s="72"/>
      <c r="W53" s="72"/>
      <c r="X53" s="72"/>
      <c r="Z53" s="72">
        <f t="shared" si="3"/>
        <v>0</v>
      </c>
      <c r="AA53" s="72">
        <f t="shared" si="4"/>
        <v>0</v>
      </c>
      <c r="AB53" s="72">
        <f t="shared" si="5"/>
        <v>0</v>
      </c>
      <c r="AC53" s="72">
        <f t="shared" si="6"/>
        <v>0</v>
      </c>
      <c r="AD53" s="72">
        <f t="shared" si="7"/>
        <v>0</v>
      </c>
      <c r="AE53" s="72">
        <f t="shared" si="8"/>
        <v>0</v>
      </c>
      <c r="AF53" s="72">
        <f t="shared" si="9"/>
        <v>0</v>
      </c>
      <c r="AG53" s="72">
        <f t="shared" si="10"/>
        <v>0</v>
      </c>
      <c r="AH53" s="72">
        <f t="shared" si="11"/>
        <v>0</v>
      </c>
      <c r="AI53" s="72">
        <f t="shared" si="12"/>
        <v>0</v>
      </c>
      <c r="AJ53" s="72">
        <f t="shared" si="13"/>
        <v>0</v>
      </c>
      <c r="AK53" s="72">
        <f t="shared" si="14"/>
        <v>0</v>
      </c>
    </row>
    <row r="54" spans="2:42" hidden="1">
      <c r="B54" s="60"/>
      <c r="C54" s="62"/>
      <c r="D54" s="79"/>
      <c r="E54" s="56"/>
      <c r="F54" s="76"/>
      <c r="G54" s="77">
        <f t="shared" si="1"/>
        <v>0</v>
      </c>
      <c r="H54" s="78">
        <f t="shared" si="2"/>
        <v>0</v>
      </c>
      <c r="I54" s="91"/>
      <c r="J54" s="72">
        <f t="shared" si="15"/>
        <v>0</v>
      </c>
      <c r="K54" s="72">
        <f t="shared" si="16"/>
        <v>0</v>
      </c>
      <c r="L54" s="72">
        <f t="shared" si="17"/>
        <v>0</v>
      </c>
      <c r="M54" s="72">
        <f t="shared" si="18"/>
        <v>0</v>
      </c>
      <c r="N54" s="72">
        <f t="shared" si="19"/>
        <v>0</v>
      </c>
      <c r="O54" s="72">
        <f t="shared" si="20"/>
        <v>0</v>
      </c>
      <c r="P54" s="72">
        <f t="shared" si="21"/>
        <v>0</v>
      </c>
      <c r="Q54" s="72">
        <f t="shared" si="22"/>
        <v>0</v>
      </c>
      <c r="R54" s="72">
        <f t="shared" si="23"/>
        <v>0</v>
      </c>
      <c r="S54" s="72">
        <f t="shared" si="24"/>
        <v>0</v>
      </c>
      <c r="T54" s="72">
        <f t="shared" si="25"/>
        <v>0</v>
      </c>
      <c r="U54" s="72">
        <f t="shared" si="26"/>
        <v>0</v>
      </c>
      <c r="V54" s="72"/>
      <c r="W54" s="72"/>
      <c r="X54" s="72"/>
      <c r="Z54" s="72">
        <f t="shared" si="3"/>
        <v>0</v>
      </c>
      <c r="AA54" s="72">
        <f t="shared" si="4"/>
        <v>0</v>
      </c>
      <c r="AB54" s="72">
        <f t="shared" si="5"/>
        <v>0</v>
      </c>
      <c r="AC54" s="72">
        <f t="shared" si="6"/>
        <v>0</v>
      </c>
      <c r="AD54" s="72">
        <f t="shared" si="7"/>
        <v>0</v>
      </c>
      <c r="AE54" s="72">
        <f t="shared" si="8"/>
        <v>0</v>
      </c>
      <c r="AF54" s="72">
        <f t="shared" si="9"/>
        <v>0</v>
      </c>
      <c r="AG54" s="72">
        <f t="shared" si="10"/>
        <v>0</v>
      </c>
      <c r="AH54" s="72">
        <f t="shared" si="11"/>
        <v>0</v>
      </c>
      <c r="AI54" s="72">
        <f t="shared" si="12"/>
        <v>0</v>
      </c>
      <c r="AJ54" s="72">
        <f t="shared" si="13"/>
        <v>0</v>
      </c>
      <c r="AK54" s="72">
        <f t="shared" si="14"/>
        <v>0</v>
      </c>
    </row>
    <row r="55" spans="2:42" hidden="1">
      <c r="B55" s="60"/>
      <c r="C55" s="62"/>
      <c r="D55" s="79"/>
      <c r="E55" s="56"/>
      <c r="F55" s="76"/>
      <c r="G55" s="77">
        <f t="shared" si="1"/>
        <v>0</v>
      </c>
      <c r="H55" s="78">
        <f t="shared" si="2"/>
        <v>0</v>
      </c>
      <c r="I55" s="91"/>
      <c r="J55" s="72">
        <f t="shared" si="15"/>
        <v>0</v>
      </c>
      <c r="K55" s="72">
        <f t="shared" si="16"/>
        <v>0</v>
      </c>
      <c r="L55" s="72">
        <f t="shared" si="17"/>
        <v>0</v>
      </c>
      <c r="M55" s="72">
        <f t="shared" si="18"/>
        <v>0</v>
      </c>
      <c r="N55" s="72">
        <f t="shared" si="19"/>
        <v>0</v>
      </c>
      <c r="O55" s="72">
        <f t="shared" si="20"/>
        <v>0</v>
      </c>
      <c r="P55" s="72">
        <f t="shared" si="21"/>
        <v>0</v>
      </c>
      <c r="Q55" s="72">
        <f t="shared" si="22"/>
        <v>0</v>
      </c>
      <c r="R55" s="72">
        <f t="shared" si="23"/>
        <v>0</v>
      </c>
      <c r="S55" s="72">
        <f t="shared" si="24"/>
        <v>0</v>
      </c>
      <c r="T55" s="72">
        <f t="shared" si="25"/>
        <v>0</v>
      </c>
      <c r="U55" s="72">
        <f t="shared" si="26"/>
        <v>0</v>
      </c>
      <c r="V55" s="72"/>
      <c r="W55" s="72"/>
      <c r="X55" s="72"/>
      <c r="Z55" s="72">
        <f t="shared" si="3"/>
        <v>0</v>
      </c>
      <c r="AA55" s="72">
        <f t="shared" si="4"/>
        <v>0</v>
      </c>
      <c r="AB55" s="72">
        <f t="shared" si="5"/>
        <v>0</v>
      </c>
      <c r="AC55" s="72">
        <f t="shared" si="6"/>
        <v>0</v>
      </c>
      <c r="AD55" s="72">
        <f t="shared" si="7"/>
        <v>0</v>
      </c>
      <c r="AE55" s="72">
        <f t="shared" si="8"/>
        <v>0</v>
      </c>
      <c r="AF55" s="72">
        <f t="shared" si="9"/>
        <v>0</v>
      </c>
      <c r="AG55" s="72">
        <f t="shared" si="10"/>
        <v>0</v>
      </c>
      <c r="AH55" s="72">
        <f t="shared" si="11"/>
        <v>0</v>
      </c>
      <c r="AI55" s="72">
        <f t="shared" si="12"/>
        <v>0</v>
      </c>
      <c r="AJ55" s="72">
        <f t="shared" si="13"/>
        <v>0</v>
      </c>
      <c r="AK55" s="72">
        <f t="shared" si="14"/>
        <v>0</v>
      </c>
    </row>
    <row r="56" spans="2:42" hidden="1">
      <c r="B56" s="60"/>
      <c r="C56" s="62"/>
      <c r="D56" s="79"/>
      <c r="E56" s="56"/>
      <c r="F56" s="76"/>
      <c r="G56" s="77">
        <f t="shared" si="1"/>
        <v>0</v>
      </c>
      <c r="H56" s="78">
        <f t="shared" si="2"/>
        <v>0</v>
      </c>
      <c r="I56" s="91"/>
      <c r="J56" s="72">
        <f t="shared" si="15"/>
        <v>0</v>
      </c>
      <c r="K56" s="72">
        <f t="shared" si="16"/>
        <v>0</v>
      </c>
      <c r="L56" s="72">
        <f t="shared" si="17"/>
        <v>0</v>
      </c>
      <c r="M56" s="72">
        <f t="shared" si="18"/>
        <v>0</v>
      </c>
      <c r="N56" s="72">
        <f t="shared" si="19"/>
        <v>0</v>
      </c>
      <c r="O56" s="72">
        <f t="shared" si="20"/>
        <v>0</v>
      </c>
      <c r="P56" s="72">
        <f t="shared" si="21"/>
        <v>0</v>
      </c>
      <c r="Q56" s="72">
        <f t="shared" si="22"/>
        <v>0</v>
      </c>
      <c r="R56" s="72">
        <f t="shared" si="23"/>
        <v>0</v>
      </c>
      <c r="S56" s="72">
        <f t="shared" si="24"/>
        <v>0</v>
      </c>
      <c r="T56" s="72">
        <f t="shared" si="25"/>
        <v>0</v>
      </c>
      <c r="U56" s="72">
        <f t="shared" si="26"/>
        <v>0</v>
      </c>
      <c r="V56" s="72"/>
      <c r="W56" s="72"/>
      <c r="X56" s="72"/>
      <c r="Z56" s="72">
        <f t="shared" si="3"/>
        <v>0</v>
      </c>
      <c r="AA56" s="72">
        <f t="shared" si="4"/>
        <v>0</v>
      </c>
      <c r="AB56" s="72">
        <f t="shared" si="5"/>
        <v>0</v>
      </c>
      <c r="AC56" s="72">
        <f t="shared" si="6"/>
        <v>0</v>
      </c>
      <c r="AD56" s="72">
        <f t="shared" si="7"/>
        <v>0</v>
      </c>
      <c r="AE56" s="72">
        <f t="shared" si="8"/>
        <v>0</v>
      </c>
      <c r="AF56" s="72">
        <f t="shared" si="9"/>
        <v>0</v>
      </c>
      <c r="AG56" s="72">
        <f t="shared" si="10"/>
        <v>0</v>
      </c>
      <c r="AH56" s="72">
        <f t="shared" si="11"/>
        <v>0</v>
      </c>
      <c r="AI56" s="72">
        <f t="shared" si="12"/>
        <v>0</v>
      </c>
      <c r="AJ56" s="72">
        <f t="shared" si="13"/>
        <v>0</v>
      </c>
      <c r="AK56" s="72">
        <f t="shared" si="14"/>
        <v>0</v>
      </c>
    </row>
    <row r="57" spans="2:42" hidden="1">
      <c r="B57" s="60"/>
      <c r="C57" s="62"/>
      <c r="D57" s="79"/>
      <c r="E57" s="56"/>
      <c r="F57" s="76"/>
      <c r="G57" s="77">
        <f t="shared" si="1"/>
        <v>0</v>
      </c>
      <c r="H57" s="78">
        <f t="shared" si="2"/>
        <v>0</v>
      </c>
      <c r="I57" s="91"/>
      <c r="J57" s="72">
        <f t="shared" si="15"/>
        <v>0</v>
      </c>
      <c r="K57" s="72">
        <f t="shared" si="16"/>
        <v>0</v>
      </c>
      <c r="L57" s="72">
        <f t="shared" si="17"/>
        <v>0</v>
      </c>
      <c r="M57" s="72">
        <f t="shared" si="18"/>
        <v>0</v>
      </c>
      <c r="N57" s="72">
        <f t="shared" si="19"/>
        <v>0</v>
      </c>
      <c r="O57" s="72">
        <f t="shared" si="20"/>
        <v>0</v>
      </c>
      <c r="P57" s="72">
        <f t="shared" si="21"/>
        <v>0</v>
      </c>
      <c r="Q57" s="72">
        <f t="shared" si="22"/>
        <v>0</v>
      </c>
      <c r="R57" s="72">
        <f t="shared" si="23"/>
        <v>0</v>
      </c>
      <c r="S57" s="72">
        <f t="shared" si="24"/>
        <v>0</v>
      </c>
      <c r="T57" s="72">
        <f t="shared" si="25"/>
        <v>0</v>
      </c>
      <c r="U57" s="72">
        <f t="shared" si="26"/>
        <v>0</v>
      </c>
      <c r="V57" s="72"/>
      <c r="W57" s="72"/>
      <c r="X57" s="72"/>
      <c r="Z57" s="72">
        <f t="shared" si="3"/>
        <v>0</v>
      </c>
      <c r="AA57" s="72">
        <f t="shared" si="4"/>
        <v>0</v>
      </c>
      <c r="AB57" s="72">
        <f t="shared" si="5"/>
        <v>0</v>
      </c>
      <c r="AC57" s="72">
        <f t="shared" si="6"/>
        <v>0</v>
      </c>
      <c r="AD57" s="72">
        <f t="shared" si="7"/>
        <v>0</v>
      </c>
      <c r="AE57" s="72">
        <f t="shared" si="8"/>
        <v>0</v>
      </c>
      <c r="AF57" s="72">
        <f t="shared" si="9"/>
        <v>0</v>
      </c>
      <c r="AG57" s="72">
        <f t="shared" si="10"/>
        <v>0</v>
      </c>
      <c r="AH57" s="72">
        <f t="shared" si="11"/>
        <v>0</v>
      </c>
      <c r="AI57" s="72">
        <f t="shared" si="12"/>
        <v>0</v>
      </c>
      <c r="AJ57" s="72">
        <f t="shared" si="13"/>
        <v>0</v>
      </c>
      <c r="AK57" s="72">
        <f t="shared" si="14"/>
        <v>0</v>
      </c>
    </row>
    <row r="58" spans="2:42" hidden="1">
      <c r="B58" s="60"/>
      <c r="C58" s="62"/>
      <c r="D58" s="79"/>
      <c r="E58" s="56"/>
      <c r="F58" s="76"/>
      <c r="G58" s="77">
        <f t="shared" si="1"/>
        <v>0</v>
      </c>
      <c r="H58" s="78">
        <f t="shared" si="2"/>
        <v>0</v>
      </c>
      <c r="I58" s="91"/>
      <c r="J58" s="72">
        <f t="shared" si="15"/>
        <v>0</v>
      </c>
      <c r="K58" s="72">
        <f t="shared" si="16"/>
        <v>0</v>
      </c>
      <c r="L58" s="72">
        <f t="shared" si="17"/>
        <v>0</v>
      </c>
      <c r="M58" s="72">
        <f t="shared" si="18"/>
        <v>0</v>
      </c>
      <c r="N58" s="72">
        <f t="shared" si="19"/>
        <v>0</v>
      </c>
      <c r="O58" s="72">
        <f t="shared" si="20"/>
        <v>0</v>
      </c>
      <c r="P58" s="72">
        <f t="shared" si="21"/>
        <v>0</v>
      </c>
      <c r="Q58" s="72">
        <f t="shared" si="22"/>
        <v>0</v>
      </c>
      <c r="R58" s="72">
        <f t="shared" si="23"/>
        <v>0</v>
      </c>
      <c r="S58" s="72">
        <f t="shared" si="24"/>
        <v>0</v>
      </c>
      <c r="T58" s="72">
        <f t="shared" si="25"/>
        <v>0</v>
      </c>
      <c r="U58" s="72">
        <f t="shared" si="26"/>
        <v>0</v>
      </c>
      <c r="V58" s="72"/>
      <c r="W58" s="72"/>
      <c r="X58" s="72"/>
      <c r="Z58" s="72">
        <f t="shared" si="3"/>
        <v>0</v>
      </c>
      <c r="AA58" s="72">
        <f t="shared" si="4"/>
        <v>0</v>
      </c>
      <c r="AB58" s="72">
        <f t="shared" si="5"/>
        <v>0</v>
      </c>
      <c r="AC58" s="72">
        <f t="shared" si="6"/>
        <v>0</v>
      </c>
      <c r="AD58" s="72">
        <f t="shared" si="7"/>
        <v>0</v>
      </c>
      <c r="AE58" s="72">
        <f t="shared" si="8"/>
        <v>0</v>
      </c>
      <c r="AF58" s="72">
        <f t="shared" si="9"/>
        <v>0</v>
      </c>
      <c r="AG58" s="72">
        <f t="shared" si="10"/>
        <v>0</v>
      </c>
      <c r="AH58" s="72">
        <f t="shared" si="11"/>
        <v>0</v>
      </c>
      <c r="AI58" s="72">
        <f t="shared" si="12"/>
        <v>0</v>
      </c>
      <c r="AJ58" s="72">
        <f t="shared" si="13"/>
        <v>0</v>
      </c>
      <c r="AK58" s="72">
        <f t="shared" si="14"/>
        <v>0</v>
      </c>
    </row>
    <row r="59" spans="2:42" hidden="1">
      <c r="B59" s="60"/>
      <c r="C59" s="62"/>
      <c r="D59" s="79"/>
      <c r="E59" s="56"/>
      <c r="F59" s="76"/>
      <c r="G59" s="77">
        <f t="shared" si="1"/>
        <v>0</v>
      </c>
      <c r="H59" s="78">
        <f t="shared" si="2"/>
        <v>0</v>
      </c>
      <c r="I59" s="91"/>
      <c r="J59" s="72">
        <f t="shared" si="15"/>
        <v>0</v>
      </c>
      <c r="K59" s="72">
        <f t="shared" si="16"/>
        <v>0</v>
      </c>
      <c r="L59" s="72">
        <f t="shared" si="17"/>
        <v>0</v>
      </c>
      <c r="M59" s="72">
        <f t="shared" si="18"/>
        <v>0</v>
      </c>
      <c r="N59" s="72">
        <f t="shared" si="19"/>
        <v>0</v>
      </c>
      <c r="O59" s="72">
        <f t="shared" si="20"/>
        <v>0</v>
      </c>
      <c r="P59" s="72">
        <f t="shared" si="21"/>
        <v>0</v>
      </c>
      <c r="Q59" s="72">
        <f t="shared" si="22"/>
        <v>0</v>
      </c>
      <c r="R59" s="72">
        <f t="shared" si="23"/>
        <v>0</v>
      </c>
      <c r="S59" s="72">
        <f t="shared" si="24"/>
        <v>0</v>
      </c>
      <c r="T59" s="72">
        <f t="shared" si="25"/>
        <v>0</v>
      </c>
      <c r="U59" s="72">
        <f t="shared" si="26"/>
        <v>0</v>
      </c>
      <c r="V59" s="72"/>
      <c r="W59" s="72"/>
      <c r="X59" s="72"/>
      <c r="Z59" s="72">
        <f t="shared" si="3"/>
        <v>0</v>
      </c>
      <c r="AA59" s="72">
        <f t="shared" si="4"/>
        <v>0</v>
      </c>
      <c r="AB59" s="72">
        <f t="shared" si="5"/>
        <v>0</v>
      </c>
      <c r="AC59" s="72">
        <f t="shared" si="6"/>
        <v>0</v>
      </c>
      <c r="AD59" s="72">
        <f t="shared" si="7"/>
        <v>0</v>
      </c>
      <c r="AE59" s="72">
        <f t="shared" si="8"/>
        <v>0</v>
      </c>
      <c r="AF59" s="72">
        <f t="shared" si="9"/>
        <v>0</v>
      </c>
      <c r="AG59" s="72">
        <f t="shared" si="10"/>
        <v>0</v>
      </c>
      <c r="AH59" s="72">
        <f t="shared" si="11"/>
        <v>0</v>
      </c>
      <c r="AI59" s="72">
        <f t="shared" si="12"/>
        <v>0</v>
      </c>
      <c r="AJ59" s="72">
        <f t="shared" si="13"/>
        <v>0</v>
      </c>
      <c r="AK59" s="72">
        <f t="shared" si="14"/>
        <v>0</v>
      </c>
    </row>
    <row r="60" spans="2:42" hidden="1">
      <c r="B60" s="60"/>
      <c r="C60" s="62"/>
      <c r="D60" s="79"/>
      <c r="E60" s="56"/>
      <c r="F60" s="76"/>
      <c r="G60" s="77">
        <f t="shared" si="1"/>
        <v>0</v>
      </c>
      <c r="H60" s="78">
        <f t="shared" si="2"/>
        <v>0</v>
      </c>
      <c r="I60" s="91"/>
      <c r="J60" s="72">
        <f t="shared" si="15"/>
        <v>0</v>
      </c>
      <c r="K60" s="72">
        <f t="shared" si="16"/>
        <v>0</v>
      </c>
      <c r="L60" s="72">
        <f t="shared" si="17"/>
        <v>0</v>
      </c>
      <c r="M60" s="72">
        <f t="shared" si="18"/>
        <v>0</v>
      </c>
      <c r="N60" s="72">
        <f t="shared" si="19"/>
        <v>0</v>
      </c>
      <c r="O60" s="72">
        <f t="shared" si="20"/>
        <v>0</v>
      </c>
      <c r="P60" s="72">
        <f t="shared" si="21"/>
        <v>0</v>
      </c>
      <c r="Q60" s="72">
        <f t="shared" si="22"/>
        <v>0</v>
      </c>
      <c r="R60" s="72">
        <f t="shared" si="23"/>
        <v>0</v>
      </c>
      <c r="S60" s="72">
        <f t="shared" si="24"/>
        <v>0</v>
      </c>
      <c r="T60" s="72">
        <f t="shared" si="25"/>
        <v>0</v>
      </c>
      <c r="U60" s="72">
        <f t="shared" si="26"/>
        <v>0</v>
      </c>
      <c r="V60" s="72"/>
      <c r="W60" s="72"/>
      <c r="X60" s="72"/>
      <c r="Z60" s="72">
        <f t="shared" si="3"/>
        <v>0</v>
      </c>
      <c r="AA60" s="72">
        <f t="shared" si="4"/>
        <v>0</v>
      </c>
      <c r="AB60" s="72">
        <f t="shared" si="5"/>
        <v>0</v>
      </c>
      <c r="AC60" s="72">
        <f t="shared" si="6"/>
        <v>0</v>
      </c>
      <c r="AD60" s="72">
        <f t="shared" si="7"/>
        <v>0</v>
      </c>
      <c r="AE60" s="72">
        <f t="shared" si="8"/>
        <v>0</v>
      </c>
      <c r="AF60" s="72">
        <f t="shared" si="9"/>
        <v>0</v>
      </c>
      <c r="AG60" s="72">
        <f t="shared" si="10"/>
        <v>0</v>
      </c>
      <c r="AH60" s="72">
        <f t="shared" si="11"/>
        <v>0</v>
      </c>
      <c r="AI60" s="72">
        <f t="shared" si="12"/>
        <v>0</v>
      </c>
      <c r="AJ60" s="72">
        <f t="shared" si="13"/>
        <v>0</v>
      </c>
      <c r="AK60" s="72">
        <f t="shared" si="14"/>
        <v>0</v>
      </c>
    </row>
    <row r="61" spans="2:42" hidden="1">
      <c r="B61" s="60"/>
      <c r="C61" s="62"/>
      <c r="D61" s="79"/>
      <c r="E61" s="56"/>
      <c r="F61" s="76"/>
      <c r="G61" s="77">
        <f t="shared" si="1"/>
        <v>0</v>
      </c>
      <c r="H61" s="78">
        <f t="shared" si="2"/>
        <v>0</v>
      </c>
      <c r="I61" s="91"/>
      <c r="J61" s="72">
        <f t="shared" si="15"/>
        <v>0</v>
      </c>
      <c r="K61" s="72">
        <f t="shared" si="16"/>
        <v>0</v>
      </c>
      <c r="L61" s="72">
        <f t="shared" si="17"/>
        <v>0</v>
      </c>
      <c r="M61" s="72">
        <f t="shared" si="18"/>
        <v>0</v>
      </c>
      <c r="N61" s="72">
        <f t="shared" si="19"/>
        <v>0</v>
      </c>
      <c r="O61" s="72">
        <f t="shared" si="20"/>
        <v>0</v>
      </c>
      <c r="P61" s="72">
        <f t="shared" si="21"/>
        <v>0</v>
      </c>
      <c r="Q61" s="72">
        <f t="shared" si="22"/>
        <v>0</v>
      </c>
      <c r="R61" s="72">
        <f t="shared" si="23"/>
        <v>0</v>
      </c>
      <c r="S61" s="72">
        <f t="shared" si="24"/>
        <v>0</v>
      </c>
      <c r="T61" s="72">
        <f t="shared" si="25"/>
        <v>0</v>
      </c>
      <c r="U61" s="72">
        <f t="shared" si="26"/>
        <v>0</v>
      </c>
      <c r="V61" s="72"/>
      <c r="W61" s="72"/>
      <c r="X61" s="72"/>
      <c r="Z61" s="72">
        <f t="shared" si="3"/>
        <v>0</v>
      </c>
      <c r="AA61" s="72">
        <f t="shared" si="4"/>
        <v>0</v>
      </c>
      <c r="AB61" s="72">
        <f t="shared" si="5"/>
        <v>0</v>
      </c>
      <c r="AC61" s="72">
        <f t="shared" si="6"/>
        <v>0</v>
      </c>
      <c r="AD61" s="72">
        <f t="shared" si="7"/>
        <v>0</v>
      </c>
      <c r="AE61" s="72">
        <f t="shared" si="8"/>
        <v>0</v>
      </c>
      <c r="AF61" s="72">
        <f t="shared" si="9"/>
        <v>0</v>
      </c>
      <c r="AG61" s="72">
        <f t="shared" si="10"/>
        <v>0</v>
      </c>
      <c r="AH61" s="72">
        <f t="shared" si="11"/>
        <v>0</v>
      </c>
      <c r="AI61" s="72">
        <f t="shared" si="12"/>
        <v>0</v>
      </c>
      <c r="AJ61" s="72">
        <f t="shared" si="13"/>
        <v>0</v>
      </c>
      <c r="AK61" s="72">
        <f t="shared" si="14"/>
        <v>0</v>
      </c>
    </row>
    <row r="62" spans="2:42" ht="17.25" hidden="1" thickBot="1">
      <c r="B62" s="100"/>
      <c r="C62" s="84"/>
      <c r="D62" s="159"/>
      <c r="E62" s="86"/>
      <c r="F62" s="160"/>
      <c r="G62" s="161">
        <f t="shared" si="1"/>
        <v>0</v>
      </c>
      <c r="H62" s="162">
        <f t="shared" si="2"/>
        <v>0</v>
      </c>
      <c r="I62" s="91"/>
      <c r="J62" s="72">
        <f t="shared" si="15"/>
        <v>0</v>
      </c>
      <c r="K62" s="72">
        <f t="shared" si="16"/>
        <v>0</v>
      </c>
      <c r="L62" s="72">
        <f t="shared" si="17"/>
        <v>0</v>
      </c>
      <c r="M62" s="72">
        <f t="shared" si="18"/>
        <v>0</v>
      </c>
      <c r="N62" s="72">
        <f t="shared" si="19"/>
        <v>0</v>
      </c>
      <c r="O62" s="72">
        <f t="shared" si="20"/>
        <v>0</v>
      </c>
      <c r="P62" s="72">
        <f t="shared" si="21"/>
        <v>0</v>
      </c>
      <c r="Q62" s="72">
        <f t="shared" si="22"/>
        <v>0</v>
      </c>
      <c r="R62" s="72">
        <f t="shared" si="23"/>
        <v>0</v>
      </c>
      <c r="S62" s="72">
        <f t="shared" si="24"/>
        <v>0</v>
      </c>
      <c r="T62" s="72">
        <f t="shared" si="25"/>
        <v>0</v>
      </c>
      <c r="U62" s="72">
        <f t="shared" si="26"/>
        <v>0</v>
      </c>
      <c r="V62" s="72"/>
      <c r="W62" s="72"/>
      <c r="X62" s="72"/>
      <c r="Z62" s="72">
        <f t="shared" si="3"/>
        <v>0</v>
      </c>
      <c r="AA62" s="72">
        <f t="shared" si="4"/>
        <v>0</v>
      </c>
      <c r="AB62" s="72">
        <f t="shared" si="5"/>
        <v>0</v>
      </c>
      <c r="AC62" s="72">
        <f t="shared" si="6"/>
        <v>0</v>
      </c>
      <c r="AD62" s="72">
        <f t="shared" si="7"/>
        <v>0</v>
      </c>
      <c r="AE62" s="72">
        <f t="shared" si="8"/>
        <v>0</v>
      </c>
      <c r="AF62" s="72">
        <f t="shared" si="9"/>
        <v>0</v>
      </c>
      <c r="AG62" s="72">
        <f t="shared" si="10"/>
        <v>0</v>
      </c>
      <c r="AH62" s="72">
        <f t="shared" si="11"/>
        <v>0</v>
      </c>
      <c r="AI62" s="72">
        <f t="shared" si="12"/>
        <v>0</v>
      </c>
      <c r="AJ62" s="72">
        <f t="shared" si="13"/>
        <v>0</v>
      </c>
      <c r="AK62" s="72">
        <f t="shared" si="14"/>
        <v>0</v>
      </c>
    </row>
    <row r="63" spans="2:42" ht="17.25" thickBot="1">
      <c r="C63" s="853" t="s">
        <v>45</v>
      </c>
      <c r="D63" s="854"/>
      <c r="E63" s="63">
        <f>SUM(E3:E62)</f>
        <v>2307.06</v>
      </c>
      <c r="F63" s="69"/>
      <c r="G63" s="64">
        <f>SUM(G3:G62)</f>
        <v>376.29</v>
      </c>
      <c r="H63" s="65">
        <f>SUM(H3:H62)</f>
        <v>1775.47</v>
      </c>
      <c r="I63" s="93"/>
      <c r="J63" s="73">
        <f>SUM(J3:J62)</f>
        <v>0</v>
      </c>
      <c r="K63" s="73">
        <f t="shared" ref="K63:U63" si="27">SUM(K3:K62)</f>
        <v>115</v>
      </c>
      <c r="L63" s="73">
        <f t="shared" si="27"/>
        <v>14.9</v>
      </c>
      <c r="M63" s="73">
        <f t="shared" si="27"/>
        <v>95</v>
      </c>
      <c r="N63" s="73">
        <f t="shared" si="27"/>
        <v>62.905000000000001</v>
      </c>
      <c r="O63" s="73">
        <f t="shared" si="27"/>
        <v>0</v>
      </c>
      <c r="P63" s="73">
        <f t="shared" si="27"/>
        <v>333.8</v>
      </c>
      <c r="Q63" s="73">
        <f t="shared" si="27"/>
        <v>115.5</v>
      </c>
      <c r="R63" s="73">
        <f t="shared" si="27"/>
        <v>682.66499999999996</v>
      </c>
      <c r="S63" s="73">
        <f t="shared" si="27"/>
        <v>0</v>
      </c>
      <c r="T63" s="73">
        <f t="shared" si="27"/>
        <v>355.7</v>
      </c>
      <c r="U63" s="73">
        <f t="shared" si="27"/>
        <v>0</v>
      </c>
      <c r="V63" s="73"/>
      <c r="W63" s="73"/>
      <c r="X63" s="73"/>
      <c r="Y63" s="73"/>
      <c r="Z63" s="73">
        <f>SUM(Z3:Z62)</f>
        <v>0</v>
      </c>
      <c r="AA63" s="73">
        <f t="shared" ref="AA63:AK63" si="28">SUM(AA3:AA62)</f>
        <v>115</v>
      </c>
      <c r="AB63" s="73">
        <f t="shared" si="28"/>
        <v>0</v>
      </c>
      <c r="AC63" s="73">
        <f t="shared" si="28"/>
        <v>75</v>
      </c>
      <c r="AD63" s="73">
        <f t="shared" si="28"/>
        <v>62.905000000000001</v>
      </c>
      <c r="AE63" s="73">
        <f t="shared" si="28"/>
        <v>0</v>
      </c>
      <c r="AF63" s="73">
        <f t="shared" si="28"/>
        <v>0</v>
      </c>
      <c r="AG63" s="73">
        <f t="shared" si="28"/>
        <v>115.5</v>
      </c>
      <c r="AH63" s="73">
        <f t="shared" si="28"/>
        <v>7.8849999999999998</v>
      </c>
      <c r="AI63" s="73">
        <f t="shared" si="28"/>
        <v>0</v>
      </c>
      <c r="AJ63" s="73">
        <f t="shared" si="28"/>
        <v>0</v>
      </c>
      <c r="AK63" s="73">
        <f t="shared" si="28"/>
        <v>0</v>
      </c>
      <c r="AL63" s="73"/>
      <c r="AM63" s="73"/>
      <c r="AN63" s="73"/>
      <c r="AO63" s="73"/>
      <c r="AP63" s="73"/>
    </row>
    <row r="64" spans="2:42">
      <c r="H64" s="59"/>
      <c r="I64" s="94"/>
      <c r="J64" s="59"/>
      <c r="K64" s="59"/>
      <c r="L64" s="59"/>
      <c r="M64" s="59"/>
      <c r="N64" s="59"/>
      <c r="O64" s="59"/>
      <c r="P64" s="59"/>
      <c r="Q64" s="59"/>
      <c r="R64" s="59"/>
      <c r="S64" s="59"/>
      <c r="Z64" s="59"/>
      <c r="AA64" s="59"/>
      <c r="AB64" s="59"/>
      <c r="AC64" s="59"/>
      <c r="AD64" s="59"/>
      <c r="AE64" s="59"/>
      <c r="AF64" s="59"/>
      <c r="AG64" s="59"/>
      <c r="AH64" s="59"/>
      <c r="AI64" s="59"/>
    </row>
    <row r="66" spans="4:8" ht="17.25" thickBot="1"/>
    <row r="67" spans="4:8">
      <c r="D67" s="855" t="s">
        <v>267</v>
      </c>
      <c r="E67" s="856"/>
      <c r="F67" s="856"/>
      <c r="G67" s="856"/>
      <c r="H67" s="857"/>
    </row>
    <row r="68" spans="4:8">
      <c r="D68" s="858"/>
      <c r="E68" s="859"/>
      <c r="F68" s="859"/>
      <c r="G68" s="859"/>
      <c r="H68" s="860"/>
    </row>
    <row r="69" spans="4:8">
      <c r="D69" s="858"/>
      <c r="E69" s="859"/>
      <c r="F69" s="859"/>
      <c r="G69" s="859"/>
      <c r="H69" s="860"/>
    </row>
    <row r="70" spans="4:8" ht="17.25" thickBot="1">
      <c r="D70" s="861"/>
      <c r="E70" s="862"/>
      <c r="F70" s="862"/>
      <c r="G70" s="862"/>
      <c r="H70" s="863"/>
    </row>
  </sheetData>
  <mergeCells count="3">
    <mergeCell ref="AR18:AT18"/>
    <mergeCell ref="C63:D63"/>
    <mergeCell ref="D67:H70"/>
  </mergeCells>
  <dataValidations count="4">
    <dataValidation type="list" allowBlank="1" showInputMessage="1" showErrorMessage="1" sqref="D3:D19">
      <formula1>$AH$2:$AH$12</formula1>
    </dataValidation>
    <dataValidation type="list" allowBlank="1" showInputMessage="1" showErrorMessage="1" sqref="F31:F62">
      <formula1>$G$2:$H$2</formula1>
    </dataValidation>
    <dataValidation type="list" allowBlank="1" showInputMessage="1" showErrorMessage="1" sqref="D20:D62">
      <formula1>$AQ$2:$AQ$12</formula1>
    </dataValidation>
    <dataValidation type="list" allowBlank="1" showInputMessage="1" showErrorMessage="1" sqref="F3:F30">
      <formula1>$AQ$17:$AQ$19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AZ70"/>
  <sheetViews>
    <sheetView workbookViewId="0">
      <selection activeCell="D67" sqref="D67:H70"/>
    </sheetView>
  </sheetViews>
  <sheetFormatPr defaultRowHeight="16.5"/>
  <cols>
    <col min="1" max="1" width="1" style="55" customWidth="1"/>
    <col min="2" max="2" width="6.5703125" style="134" bestFit="1" customWidth="1"/>
    <col min="3" max="3" width="16.7109375" style="55" customWidth="1"/>
    <col min="4" max="4" width="17.5703125" style="55" customWidth="1"/>
    <col min="5" max="5" width="13.7109375" style="55" customWidth="1"/>
    <col min="6" max="6" width="13.7109375" style="134" customWidth="1"/>
    <col min="7" max="8" width="13.7109375" style="55" customWidth="1"/>
    <col min="9" max="9" width="10" style="89" customWidth="1"/>
    <col min="10" max="24" width="10.140625" style="55" hidden="1" customWidth="1"/>
    <col min="25" max="25" width="9.7109375" style="55" hidden="1" customWidth="1"/>
    <col min="26" max="41" width="10.140625" style="55" hidden="1" customWidth="1"/>
    <col min="42" max="42" width="2.5703125" style="55" customWidth="1"/>
    <col min="43" max="43" width="16.85546875" style="55" bestFit="1" customWidth="1"/>
    <col min="44" max="47" width="12.7109375" style="55" customWidth="1"/>
    <col min="48" max="48" width="8.28515625" style="55" bestFit="1" customWidth="1"/>
    <col min="49" max="49" width="10.5703125" style="55" bestFit="1" customWidth="1"/>
    <col min="50" max="50" width="3.28515625" style="55" customWidth="1"/>
    <col min="51" max="51" width="18.42578125" style="55" bestFit="1" customWidth="1"/>
    <col min="52" max="52" width="11.7109375" style="55" bestFit="1" customWidth="1"/>
    <col min="53" max="16384" width="9.140625" style="55"/>
  </cols>
  <sheetData>
    <row r="1" spans="2:48" ht="17.25" thickBot="1">
      <c r="AR1" s="134" t="s">
        <v>66</v>
      </c>
      <c r="AS1" s="134" t="s">
        <v>67</v>
      </c>
      <c r="AT1" s="81" t="s">
        <v>65</v>
      </c>
      <c r="AV1" s="134"/>
    </row>
    <row r="2" spans="2:48" ht="17.25" thickBot="1">
      <c r="B2" s="68" t="s">
        <v>1</v>
      </c>
      <c r="C2" s="66" t="s">
        <v>0</v>
      </c>
      <c r="D2" s="66" t="s">
        <v>63</v>
      </c>
      <c r="E2" s="66" t="s">
        <v>2</v>
      </c>
      <c r="F2" s="66" t="s">
        <v>64</v>
      </c>
      <c r="G2" s="66" t="s">
        <v>3</v>
      </c>
      <c r="H2" s="67" t="s">
        <v>4</v>
      </c>
      <c r="I2" s="90"/>
      <c r="J2" s="75" t="s">
        <v>57</v>
      </c>
      <c r="K2" s="74" t="s">
        <v>51</v>
      </c>
      <c r="L2" s="74" t="s">
        <v>120</v>
      </c>
      <c r="M2" s="74" t="s">
        <v>36</v>
      </c>
      <c r="N2" s="74" t="s">
        <v>56</v>
      </c>
      <c r="O2" s="74" t="s">
        <v>125</v>
      </c>
      <c r="P2" s="74" t="s">
        <v>54</v>
      </c>
      <c r="Q2" s="74" t="s">
        <v>59</v>
      </c>
      <c r="R2" s="74" t="s">
        <v>40</v>
      </c>
      <c r="S2" s="74" t="s">
        <v>55</v>
      </c>
      <c r="T2" s="74" t="s">
        <v>58</v>
      </c>
      <c r="U2" s="74" t="s">
        <v>52</v>
      </c>
      <c r="V2" s="74"/>
      <c r="W2" s="74"/>
      <c r="X2" s="74"/>
      <c r="Z2" s="75" t="s">
        <v>57</v>
      </c>
      <c r="AA2" s="74" t="s">
        <v>51</v>
      </c>
      <c r="AB2" s="74" t="s">
        <v>120</v>
      </c>
      <c r="AC2" s="74" t="s">
        <v>36</v>
      </c>
      <c r="AD2" s="74" t="s">
        <v>56</v>
      </c>
      <c r="AE2" s="74" t="s">
        <v>125</v>
      </c>
      <c r="AF2" s="74" t="s">
        <v>54</v>
      </c>
      <c r="AG2" s="74" t="s">
        <v>59</v>
      </c>
      <c r="AH2" s="74" t="s">
        <v>40</v>
      </c>
      <c r="AI2" s="74" t="s">
        <v>55</v>
      </c>
      <c r="AJ2" s="74" t="s">
        <v>58</v>
      </c>
      <c r="AK2" s="74" t="s">
        <v>52</v>
      </c>
      <c r="AL2" s="74"/>
      <c r="AM2" s="74"/>
      <c r="AN2" s="74"/>
      <c r="AO2" s="74"/>
      <c r="AP2" s="74"/>
      <c r="AQ2" s="71" t="s">
        <v>57</v>
      </c>
      <c r="AR2" s="97">
        <f t="shared" ref="AR2:AR16" si="0">AT2+AS2</f>
        <v>102.45</v>
      </c>
      <c r="AS2" s="58">
        <f>Z63</f>
        <v>51.225000000000001</v>
      </c>
      <c r="AT2" s="58">
        <f>J63</f>
        <v>51.225000000000001</v>
      </c>
    </row>
    <row r="3" spans="2:48">
      <c r="B3" s="60">
        <v>44717</v>
      </c>
      <c r="C3" s="62" t="s">
        <v>71</v>
      </c>
      <c r="D3" s="79" t="s">
        <v>40</v>
      </c>
      <c r="E3" s="56">
        <v>139.9</v>
      </c>
      <c r="F3" s="76" t="s">
        <v>65</v>
      </c>
      <c r="G3" s="157">
        <f>IF(F3="MARCIA",E3,IF(F3="AMBOS",E3/2,0))</f>
        <v>0</v>
      </c>
      <c r="H3" s="158">
        <f>IF(F3="LUCIANO",E3,IF(F3="AMBOS",E3/2,0))</f>
        <v>139.9</v>
      </c>
      <c r="I3" s="91" t="s">
        <v>136</v>
      </c>
      <c r="J3" s="72">
        <f>IF($D3="ALIMENTAÇÃO",$H3,0)</f>
        <v>0</v>
      </c>
      <c r="K3" s="72">
        <f>IF($D3="ANIMAIS",$H3,0)</f>
        <v>0</v>
      </c>
      <c r="L3" s="72">
        <f>IF($D3="FILHO",$H3,0)</f>
        <v>0</v>
      </c>
      <c r="M3" s="72">
        <f>IF($D3="GASOLINA",$H3,0)</f>
        <v>0</v>
      </c>
      <c r="N3" s="72">
        <f>IF($D3="LAZER",$H3,0)</f>
        <v>0</v>
      </c>
      <c r="O3" s="72">
        <f>IF($D3="MANUT. IMÓVEL",$H3,0)</f>
        <v>0</v>
      </c>
      <c r="P3" s="72">
        <f>IF($D3="MANUT. VEICULAR",$H3,0)</f>
        <v>0</v>
      </c>
      <c r="Q3" s="72">
        <f>IF($D3="MÓVEIS",$H3,0)</f>
        <v>0</v>
      </c>
      <c r="R3" s="72">
        <f>IF($D3="OUTROS",$H3,0)</f>
        <v>139.9</v>
      </c>
      <c r="S3" s="72">
        <f>IF($D3="PLANOS",$H3,0)</f>
        <v>0</v>
      </c>
      <c r="T3" s="72">
        <f>IF($D3="SAÚDE",$H3,0)</f>
        <v>0</v>
      </c>
      <c r="U3" s="72">
        <f>IF($D3="TRANSPORTE",$H3,0)</f>
        <v>0</v>
      </c>
      <c r="V3" s="72"/>
      <c r="W3" s="72"/>
      <c r="X3" s="72"/>
      <c r="Z3" s="72">
        <f>IF($D3="ALIMENTAÇÃO",$G3,0)</f>
        <v>0</v>
      </c>
      <c r="AA3" s="72">
        <f>IF($D3="ANIMAIS",$G3,0)</f>
        <v>0</v>
      </c>
      <c r="AB3" s="72">
        <f>IF($D3="FILHO",$G3,0)</f>
        <v>0</v>
      </c>
      <c r="AC3" s="72">
        <f>IF($D3="GASOLINA",$G3,0)</f>
        <v>0</v>
      </c>
      <c r="AD3" s="72">
        <f>IF($D3="LAZER",$G3,0)</f>
        <v>0</v>
      </c>
      <c r="AE3" s="72">
        <f>IF($D3="MANUT. IMÓVEL",$G3,0)</f>
        <v>0</v>
      </c>
      <c r="AF3" s="72">
        <f>IF($D3="MANUT. VEICULAR",$G3,0)</f>
        <v>0</v>
      </c>
      <c r="AG3" s="72">
        <f>IF($D3="MÓVEIS",$G3,0)</f>
        <v>0</v>
      </c>
      <c r="AH3" s="72">
        <f>IF($D3="OUTROS",$G3,0)</f>
        <v>0</v>
      </c>
      <c r="AI3" s="72">
        <f>IF($D3="PLANOS",$G3,0)</f>
        <v>0</v>
      </c>
      <c r="AJ3" s="72">
        <f>IF($D3="SAÚDE",$G3,0)</f>
        <v>0</v>
      </c>
      <c r="AK3" s="72">
        <f>IF($D3="TRANSPORTE",$G3,0)</f>
        <v>0</v>
      </c>
      <c r="AQ3" s="71" t="s">
        <v>51</v>
      </c>
      <c r="AR3" s="97">
        <f t="shared" si="0"/>
        <v>0</v>
      </c>
      <c r="AS3" s="58">
        <f>AA63</f>
        <v>0</v>
      </c>
      <c r="AT3" s="58">
        <f>K63</f>
        <v>0</v>
      </c>
    </row>
    <row r="4" spans="2:48">
      <c r="B4" s="60">
        <v>44731</v>
      </c>
      <c r="C4" s="62" t="s">
        <v>74</v>
      </c>
      <c r="D4" s="79" t="s">
        <v>59</v>
      </c>
      <c r="E4" s="56">
        <v>231</v>
      </c>
      <c r="F4" s="76" t="s">
        <v>66</v>
      </c>
      <c r="G4" s="77">
        <f t="shared" ref="G4:G11" si="1">IF(F4="MARCIA",E4,IF(F4="AMBOS",E4/2,0))</f>
        <v>115.5</v>
      </c>
      <c r="H4" s="78">
        <f t="shared" ref="H4:H11" si="2">IF(F4="LUCIANO",E4,IF(F4="AMBOS",E4/2,0))</f>
        <v>115.5</v>
      </c>
      <c r="I4" s="91" t="s">
        <v>68</v>
      </c>
      <c r="J4" s="72">
        <f>IF($D4="ALIMENTAÇÃO",$H4,0)</f>
        <v>0</v>
      </c>
      <c r="K4" s="72">
        <f>IF($D4="ANIMAIS",$H4,0)</f>
        <v>0</v>
      </c>
      <c r="L4" s="72">
        <f>IF($D4="FILHO",$H4,0)</f>
        <v>0</v>
      </c>
      <c r="M4" s="72">
        <f>IF($D4="GASOLINA",$H4,0)</f>
        <v>0</v>
      </c>
      <c r="N4" s="72">
        <f>IF($D4="LAZER",$H4,0)</f>
        <v>0</v>
      </c>
      <c r="O4" s="72">
        <f>IF($D4="MANUT. IMÓVEL",$H4,0)</f>
        <v>0</v>
      </c>
      <c r="P4" s="72">
        <f>IF($D4="MANUT. VEICULAR",$H4,0)</f>
        <v>0</v>
      </c>
      <c r="Q4" s="72">
        <f>IF($D4="MÓVEIS",$H4,0)</f>
        <v>115.5</v>
      </c>
      <c r="R4" s="72">
        <f>IF($D4="OUTROS",$H4,0)</f>
        <v>0</v>
      </c>
      <c r="S4" s="72">
        <f>IF($D4="PLANOS",$H4,0)</f>
        <v>0</v>
      </c>
      <c r="T4" s="72">
        <f>IF($D4="SAÚDE",$H4,0)</f>
        <v>0</v>
      </c>
      <c r="U4" s="72">
        <f>IF($D4="TRANSPORTE",$H4,0)</f>
        <v>0</v>
      </c>
      <c r="V4" s="72"/>
      <c r="W4" s="72"/>
      <c r="X4" s="72"/>
      <c r="Z4" s="72">
        <f t="shared" ref="Z4:Z62" si="3">IF($D4="ALIMENTAÇÃO",$G4,0)</f>
        <v>0</v>
      </c>
      <c r="AA4" s="72">
        <f t="shared" ref="AA4:AA62" si="4">IF($D4="ANIMAIS",$G4,0)</f>
        <v>0</v>
      </c>
      <c r="AB4" s="72">
        <f t="shared" ref="AB4:AB62" si="5">IF($D4="FILHO",$G4,0)</f>
        <v>0</v>
      </c>
      <c r="AC4" s="72">
        <f t="shared" ref="AC4:AC62" si="6">IF($D4="GASOLINA",$G4,0)</f>
        <v>0</v>
      </c>
      <c r="AD4" s="72">
        <f t="shared" ref="AD4:AD62" si="7">IF($D4="LAZER",$G4,0)</f>
        <v>0</v>
      </c>
      <c r="AE4" s="72">
        <f t="shared" ref="AE4:AE62" si="8">IF($D4="MANUT. IMÓVEL",$G4,0)</f>
        <v>0</v>
      </c>
      <c r="AF4" s="72">
        <f t="shared" ref="AF4:AF62" si="9">IF($D4="MANUT. VEICULAR",$G4,0)</f>
        <v>0</v>
      </c>
      <c r="AG4" s="72">
        <f t="shared" ref="AG4:AG62" si="10">IF($D4="MÓVEIS",$G4,0)</f>
        <v>115.5</v>
      </c>
      <c r="AH4" s="72">
        <f t="shared" ref="AH4:AH62" si="11">IF($D4="OUTROS",$G4,0)</f>
        <v>0</v>
      </c>
      <c r="AI4" s="72">
        <f t="shared" ref="AI4:AI62" si="12">IF($D4="PLANOS",$G4,0)</f>
        <v>0</v>
      </c>
      <c r="AJ4" s="72">
        <f t="shared" ref="AJ4:AJ62" si="13">IF($D4="SAÚDE",$G4,0)</f>
        <v>0</v>
      </c>
      <c r="AK4" s="72">
        <f t="shared" ref="AK4:AK62" si="14">IF($D4="TRANSPORTE",$G4,0)</f>
        <v>0</v>
      </c>
      <c r="AM4" s="72"/>
      <c r="AQ4" s="71" t="s">
        <v>120</v>
      </c>
      <c r="AR4" s="97">
        <f t="shared" si="0"/>
        <v>417.86</v>
      </c>
      <c r="AS4" s="58">
        <f>AB63</f>
        <v>0</v>
      </c>
      <c r="AT4" s="58">
        <f>L63</f>
        <v>417.86</v>
      </c>
    </row>
    <row r="5" spans="2:48">
      <c r="B5" s="60">
        <v>44816</v>
      </c>
      <c r="C5" s="62" t="s">
        <v>82</v>
      </c>
      <c r="D5" s="79" t="s">
        <v>58</v>
      </c>
      <c r="E5" s="56">
        <v>158</v>
      </c>
      <c r="F5" s="76" t="s">
        <v>65</v>
      </c>
      <c r="G5" s="77">
        <f t="shared" si="1"/>
        <v>0</v>
      </c>
      <c r="H5" s="78">
        <f t="shared" si="2"/>
        <v>158</v>
      </c>
      <c r="I5" s="91" t="s">
        <v>137</v>
      </c>
      <c r="J5" s="72">
        <f t="shared" ref="J5:J62" si="15">IF($D5="ALIMENTAÇÃO",$H5,0)</f>
        <v>0</v>
      </c>
      <c r="K5" s="72">
        <f t="shared" ref="K5:K62" si="16">IF($D5="ANIMAIS",$H5,0)</f>
        <v>0</v>
      </c>
      <c r="L5" s="72">
        <f t="shared" ref="L5:L62" si="17">IF($D5="FILHO",$H5,0)</f>
        <v>0</v>
      </c>
      <c r="M5" s="72">
        <f t="shared" ref="M5:M62" si="18">IF($D5="GASOLINA",$H5,0)</f>
        <v>0</v>
      </c>
      <c r="N5" s="72">
        <f t="shared" ref="N5:N62" si="19">IF($D5="LAZER",$H5,0)</f>
        <v>0</v>
      </c>
      <c r="O5" s="72">
        <f t="shared" ref="O5:O62" si="20">IF($D5="MANUT. IMÓVEL",$H5,0)</f>
        <v>0</v>
      </c>
      <c r="P5" s="72">
        <f t="shared" ref="P5:P62" si="21">IF($D5="MANUT. VEICULAR",$H5,0)</f>
        <v>0</v>
      </c>
      <c r="Q5" s="72">
        <f t="shared" ref="Q5:Q62" si="22">IF($D5="MÓVEIS",$H5,0)</f>
        <v>0</v>
      </c>
      <c r="R5" s="72">
        <f t="shared" ref="R5:R62" si="23">IF($D5="OUTROS",$H5,0)</f>
        <v>0</v>
      </c>
      <c r="S5" s="72">
        <f t="shared" ref="S5:S62" si="24">IF($D5="PLANOS",$H5,0)</f>
        <v>0</v>
      </c>
      <c r="T5" s="72">
        <f t="shared" ref="T5:T62" si="25">IF($D5="SAÚDE",$H5,0)</f>
        <v>158</v>
      </c>
      <c r="U5" s="72">
        <f t="shared" ref="U5:U62" si="26">IF($D5="TRANSPORTE",$H5,0)</f>
        <v>0</v>
      </c>
      <c r="V5" s="72"/>
      <c r="W5" s="72"/>
      <c r="X5" s="72"/>
      <c r="Z5" s="72">
        <f t="shared" si="3"/>
        <v>0</v>
      </c>
      <c r="AA5" s="72">
        <f t="shared" si="4"/>
        <v>0</v>
      </c>
      <c r="AB5" s="72">
        <f t="shared" si="5"/>
        <v>0</v>
      </c>
      <c r="AC5" s="72">
        <f t="shared" si="6"/>
        <v>0</v>
      </c>
      <c r="AD5" s="72">
        <f t="shared" si="7"/>
        <v>0</v>
      </c>
      <c r="AE5" s="72">
        <f t="shared" si="8"/>
        <v>0</v>
      </c>
      <c r="AF5" s="72">
        <f t="shared" si="9"/>
        <v>0</v>
      </c>
      <c r="AG5" s="72">
        <f t="shared" si="10"/>
        <v>0</v>
      </c>
      <c r="AH5" s="72">
        <f t="shared" si="11"/>
        <v>0</v>
      </c>
      <c r="AI5" s="72">
        <f t="shared" si="12"/>
        <v>0</v>
      </c>
      <c r="AJ5" s="72">
        <f t="shared" si="13"/>
        <v>0</v>
      </c>
      <c r="AK5" s="72">
        <f t="shared" si="14"/>
        <v>0</v>
      </c>
      <c r="AQ5" s="71" t="s">
        <v>36</v>
      </c>
      <c r="AR5" s="97">
        <f t="shared" si="0"/>
        <v>250</v>
      </c>
      <c r="AS5" s="58">
        <f>AC63</f>
        <v>100</v>
      </c>
      <c r="AT5" s="58">
        <f>M63</f>
        <v>150</v>
      </c>
    </row>
    <row r="6" spans="2:48">
      <c r="B6" s="60">
        <v>44834</v>
      </c>
      <c r="C6" s="62" t="s">
        <v>83</v>
      </c>
      <c r="D6" s="79" t="s">
        <v>40</v>
      </c>
      <c r="E6" s="56">
        <v>37.979999999999997</v>
      </c>
      <c r="F6" s="76" t="s">
        <v>65</v>
      </c>
      <c r="G6" s="77">
        <f t="shared" si="1"/>
        <v>0</v>
      </c>
      <c r="H6" s="78">
        <f t="shared" si="2"/>
        <v>37.979999999999997</v>
      </c>
      <c r="I6" s="91" t="s">
        <v>138</v>
      </c>
      <c r="J6" s="72">
        <f t="shared" si="15"/>
        <v>0</v>
      </c>
      <c r="K6" s="72">
        <f t="shared" si="16"/>
        <v>0</v>
      </c>
      <c r="L6" s="72">
        <f t="shared" si="17"/>
        <v>0</v>
      </c>
      <c r="M6" s="72">
        <f t="shared" si="18"/>
        <v>0</v>
      </c>
      <c r="N6" s="72">
        <f t="shared" si="19"/>
        <v>0</v>
      </c>
      <c r="O6" s="72">
        <f t="shared" si="20"/>
        <v>0</v>
      </c>
      <c r="P6" s="72">
        <f t="shared" si="21"/>
        <v>0</v>
      </c>
      <c r="Q6" s="72">
        <f t="shared" si="22"/>
        <v>0</v>
      </c>
      <c r="R6" s="72">
        <f t="shared" si="23"/>
        <v>37.979999999999997</v>
      </c>
      <c r="S6" s="72">
        <f t="shared" si="24"/>
        <v>0</v>
      </c>
      <c r="T6" s="72">
        <f t="shared" si="25"/>
        <v>0</v>
      </c>
      <c r="U6" s="72">
        <f t="shared" si="26"/>
        <v>0</v>
      </c>
      <c r="V6" s="72"/>
      <c r="W6" s="72"/>
      <c r="X6" s="72"/>
      <c r="Z6" s="72">
        <f t="shared" si="3"/>
        <v>0</v>
      </c>
      <c r="AA6" s="72">
        <f t="shared" si="4"/>
        <v>0</v>
      </c>
      <c r="AB6" s="72">
        <f t="shared" si="5"/>
        <v>0</v>
      </c>
      <c r="AC6" s="72">
        <f t="shared" si="6"/>
        <v>0</v>
      </c>
      <c r="AD6" s="72">
        <f t="shared" si="7"/>
        <v>0</v>
      </c>
      <c r="AE6" s="72">
        <f t="shared" si="8"/>
        <v>0</v>
      </c>
      <c r="AF6" s="72">
        <f t="shared" si="9"/>
        <v>0</v>
      </c>
      <c r="AG6" s="72">
        <f t="shared" si="10"/>
        <v>0</v>
      </c>
      <c r="AH6" s="72">
        <f t="shared" si="11"/>
        <v>0</v>
      </c>
      <c r="AI6" s="72">
        <f t="shared" si="12"/>
        <v>0</v>
      </c>
      <c r="AJ6" s="72">
        <f t="shared" si="13"/>
        <v>0</v>
      </c>
      <c r="AK6" s="72">
        <f t="shared" si="14"/>
        <v>0</v>
      </c>
      <c r="AQ6" s="71" t="s">
        <v>56</v>
      </c>
      <c r="AR6" s="97">
        <f t="shared" si="0"/>
        <v>1049.93</v>
      </c>
      <c r="AS6" s="58">
        <f>AD63</f>
        <v>583.95333333333338</v>
      </c>
      <c r="AT6" s="58">
        <f>N63</f>
        <v>465.97666666666669</v>
      </c>
    </row>
    <row r="7" spans="2:48">
      <c r="B7" s="60">
        <v>44834</v>
      </c>
      <c r="C7" s="62" t="s">
        <v>84</v>
      </c>
      <c r="D7" s="79" t="s">
        <v>40</v>
      </c>
      <c r="E7" s="56">
        <v>129</v>
      </c>
      <c r="F7" s="76" t="s">
        <v>65</v>
      </c>
      <c r="G7" s="77">
        <f t="shared" si="1"/>
        <v>0</v>
      </c>
      <c r="H7" s="78">
        <f t="shared" si="2"/>
        <v>129</v>
      </c>
      <c r="I7" s="91" t="s">
        <v>137</v>
      </c>
      <c r="J7" s="72">
        <f t="shared" si="15"/>
        <v>0</v>
      </c>
      <c r="K7" s="72">
        <f t="shared" si="16"/>
        <v>0</v>
      </c>
      <c r="L7" s="72">
        <f t="shared" si="17"/>
        <v>0</v>
      </c>
      <c r="M7" s="72">
        <f t="shared" si="18"/>
        <v>0</v>
      </c>
      <c r="N7" s="72">
        <f t="shared" si="19"/>
        <v>0</v>
      </c>
      <c r="O7" s="72">
        <f t="shared" si="20"/>
        <v>0</v>
      </c>
      <c r="P7" s="72">
        <f t="shared" si="21"/>
        <v>0</v>
      </c>
      <c r="Q7" s="72">
        <f t="shared" si="22"/>
        <v>0</v>
      </c>
      <c r="R7" s="72">
        <f t="shared" si="23"/>
        <v>129</v>
      </c>
      <c r="S7" s="72">
        <f t="shared" si="24"/>
        <v>0</v>
      </c>
      <c r="T7" s="72">
        <f t="shared" si="25"/>
        <v>0</v>
      </c>
      <c r="U7" s="72">
        <f t="shared" si="26"/>
        <v>0</v>
      </c>
      <c r="V7" s="72"/>
      <c r="W7" s="72"/>
      <c r="X7" s="72"/>
      <c r="Z7" s="72">
        <f t="shared" si="3"/>
        <v>0</v>
      </c>
      <c r="AA7" s="72">
        <f t="shared" si="4"/>
        <v>0</v>
      </c>
      <c r="AB7" s="72">
        <f t="shared" si="5"/>
        <v>0</v>
      </c>
      <c r="AC7" s="72">
        <f t="shared" si="6"/>
        <v>0</v>
      </c>
      <c r="AD7" s="72">
        <f t="shared" si="7"/>
        <v>0</v>
      </c>
      <c r="AE7" s="72">
        <f t="shared" si="8"/>
        <v>0</v>
      </c>
      <c r="AF7" s="72">
        <f t="shared" si="9"/>
        <v>0</v>
      </c>
      <c r="AG7" s="72">
        <f t="shared" si="10"/>
        <v>0</v>
      </c>
      <c r="AH7" s="72">
        <f t="shared" si="11"/>
        <v>0</v>
      </c>
      <c r="AI7" s="72">
        <f t="shared" si="12"/>
        <v>0</v>
      </c>
      <c r="AJ7" s="72">
        <f t="shared" si="13"/>
        <v>0</v>
      </c>
      <c r="AK7" s="72">
        <f t="shared" si="14"/>
        <v>0</v>
      </c>
      <c r="AQ7" s="71" t="s">
        <v>53</v>
      </c>
      <c r="AR7" s="97">
        <f t="shared" si="0"/>
        <v>0</v>
      </c>
      <c r="AS7" s="58">
        <f>AE63</f>
        <v>0</v>
      </c>
      <c r="AT7" s="58">
        <f>O63</f>
        <v>0</v>
      </c>
    </row>
    <row r="8" spans="2:48">
      <c r="B8" s="60">
        <v>44863</v>
      </c>
      <c r="C8" s="62" t="s">
        <v>107</v>
      </c>
      <c r="D8" s="79" t="s">
        <v>40</v>
      </c>
      <c r="E8" s="56">
        <v>50</v>
      </c>
      <c r="F8" s="76" t="s">
        <v>65</v>
      </c>
      <c r="G8" s="77">
        <f t="shared" si="1"/>
        <v>0</v>
      </c>
      <c r="H8" s="78">
        <f t="shared" si="2"/>
        <v>50</v>
      </c>
      <c r="I8" s="91" t="s">
        <v>70</v>
      </c>
      <c r="J8" s="72">
        <f t="shared" si="15"/>
        <v>0</v>
      </c>
      <c r="K8" s="72">
        <f t="shared" si="16"/>
        <v>0</v>
      </c>
      <c r="L8" s="72">
        <f t="shared" si="17"/>
        <v>0</v>
      </c>
      <c r="M8" s="72">
        <f t="shared" si="18"/>
        <v>0</v>
      </c>
      <c r="N8" s="72">
        <f t="shared" si="19"/>
        <v>0</v>
      </c>
      <c r="O8" s="72">
        <f t="shared" si="20"/>
        <v>0</v>
      </c>
      <c r="P8" s="72">
        <f t="shared" si="21"/>
        <v>0</v>
      </c>
      <c r="Q8" s="72">
        <f t="shared" si="22"/>
        <v>0</v>
      </c>
      <c r="R8" s="72">
        <f t="shared" si="23"/>
        <v>50</v>
      </c>
      <c r="S8" s="72">
        <f t="shared" si="24"/>
        <v>0</v>
      </c>
      <c r="T8" s="72">
        <f t="shared" si="25"/>
        <v>0</v>
      </c>
      <c r="U8" s="72">
        <f t="shared" si="26"/>
        <v>0</v>
      </c>
      <c r="V8" s="72"/>
      <c r="W8" s="72"/>
      <c r="X8" s="72"/>
      <c r="Z8" s="72">
        <f t="shared" si="3"/>
        <v>0</v>
      </c>
      <c r="AA8" s="72">
        <f t="shared" si="4"/>
        <v>0</v>
      </c>
      <c r="AB8" s="72">
        <f t="shared" si="5"/>
        <v>0</v>
      </c>
      <c r="AC8" s="72">
        <f t="shared" si="6"/>
        <v>0</v>
      </c>
      <c r="AD8" s="72">
        <f t="shared" si="7"/>
        <v>0</v>
      </c>
      <c r="AE8" s="72">
        <f t="shared" si="8"/>
        <v>0</v>
      </c>
      <c r="AF8" s="72">
        <f t="shared" si="9"/>
        <v>0</v>
      </c>
      <c r="AG8" s="72">
        <f t="shared" si="10"/>
        <v>0</v>
      </c>
      <c r="AH8" s="72">
        <f t="shared" si="11"/>
        <v>0</v>
      </c>
      <c r="AI8" s="72">
        <f t="shared" si="12"/>
        <v>0</v>
      </c>
      <c r="AJ8" s="72">
        <f t="shared" si="13"/>
        <v>0</v>
      </c>
      <c r="AK8" s="72">
        <f t="shared" si="14"/>
        <v>0</v>
      </c>
      <c r="AQ8" s="71" t="s">
        <v>54</v>
      </c>
      <c r="AR8" s="97">
        <f t="shared" si="0"/>
        <v>333.8</v>
      </c>
      <c r="AS8" s="58">
        <f>AF63</f>
        <v>0</v>
      </c>
      <c r="AT8" s="58">
        <f>P63</f>
        <v>333.8</v>
      </c>
    </row>
    <row r="9" spans="2:48">
      <c r="B9" s="60">
        <v>44861</v>
      </c>
      <c r="C9" s="62" t="s">
        <v>108</v>
      </c>
      <c r="D9" s="79" t="s">
        <v>40</v>
      </c>
      <c r="E9" s="56">
        <v>15.73</v>
      </c>
      <c r="F9" s="76" t="s">
        <v>66</v>
      </c>
      <c r="G9" s="77">
        <f t="shared" si="1"/>
        <v>7.8650000000000002</v>
      </c>
      <c r="H9" s="78">
        <f t="shared" si="2"/>
        <v>7.8650000000000002</v>
      </c>
      <c r="I9" s="91" t="s">
        <v>139</v>
      </c>
      <c r="J9" s="72">
        <f t="shared" si="15"/>
        <v>0</v>
      </c>
      <c r="K9" s="72">
        <f t="shared" si="16"/>
        <v>0</v>
      </c>
      <c r="L9" s="72">
        <f t="shared" si="17"/>
        <v>0</v>
      </c>
      <c r="M9" s="72">
        <f t="shared" si="18"/>
        <v>0</v>
      </c>
      <c r="N9" s="72">
        <f t="shared" si="19"/>
        <v>0</v>
      </c>
      <c r="O9" s="72">
        <f t="shared" si="20"/>
        <v>0</v>
      </c>
      <c r="P9" s="72">
        <f t="shared" si="21"/>
        <v>0</v>
      </c>
      <c r="Q9" s="72">
        <f t="shared" si="22"/>
        <v>0</v>
      </c>
      <c r="R9" s="72">
        <f t="shared" si="23"/>
        <v>7.8650000000000002</v>
      </c>
      <c r="S9" s="72">
        <f t="shared" si="24"/>
        <v>0</v>
      </c>
      <c r="T9" s="72">
        <f t="shared" si="25"/>
        <v>0</v>
      </c>
      <c r="U9" s="72">
        <f t="shared" si="26"/>
        <v>0</v>
      </c>
      <c r="V9" s="72"/>
      <c r="W9" s="72"/>
      <c r="X9" s="72"/>
      <c r="Z9" s="72">
        <f t="shared" si="3"/>
        <v>0</v>
      </c>
      <c r="AA9" s="72">
        <f t="shared" si="4"/>
        <v>0</v>
      </c>
      <c r="AB9" s="72">
        <f t="shared" si="5"/>
        <v>0</v>
      </c>
      <c r="AC9" s="72">
        <f t="shared" si="6"/>
        <v>0</v>
      </c>
      <c r="AD9" s="72">
        <f t="shared" si="7"/>
        <v>0</v>
      </c>
      <c r="AE9" s="72">
        <f t="shared" si="8"/>
        <v>0</v>
      </c>
      <c r="AF9" s="72">
        <f t="shared" si="9"/>
        <v>0</v>
      </c>
      <c r="AG9" s="72">
        <f t="shared" si="10"/>
        <v>0</v>
      </c>
      <c r="AH9" s="72">
        <f t="shared" si="11"/>
        <v>7.8650000000000002</v>
      </c>
      <c r="AI9" s="72">
        <f t="shared" si="12"/>
        <v>0</v>
      </c>
      <c r="AJ9" s="72">
        <f t="shared" si="13"/>
        <v>0</v>
      </c>
      <c r="AK9" s="72">
        <f t="shared" si="14"/>
        <v>0</v>
      </c>
      <c r="AQ9" s="71" t="s">
        <v>59</v>
      </c>
      <c r="AR9" s="97">
        <f t="shared" si="0"/>
        <v>231</v>
      </c>
      <c r="AS9" s="58">
        <f>AG63</f>
        <v>115.5</v>
      </c>
      <c r="AT9" s="58">
        <f>Q63</f>
        <v>115.5</v>
      </c>
    </row>
    <row r="10" spans="2:48">
      <c r="B10" s="60">
        <v>44857</v>
      </c>
      <c r="C10" s="62" t="s">
        <v>109</v>
      </c>
      <c r="D10" s="79" t="s">
        <v>40</v>
      </c>
      <c r="E10" s="56">
        <v>119.9</v>
      </c>
      <c r="F10" s="76" t="s">
        <v>65</v>
      </c>
      <c r="G10" s="77">
        <f t="shared" si="1"/>
        <v>0</v>
      </c>
      <c r="H10" s="78">
        <f t="shared" si="2"/>
        <v>119.9</v>
      </c>
      <c r="I10" s="91" t="s">
        <v>72</v>
      </c>
      <c r="J10" s="72">
        <f t="shared" si="15"/>
        <v>0</v>
      </c>
      <c r="K10" s="72">
        <f t="shared" si="16"/>
        <v>0</v>
      </c>
      <c r="L10" s="72">
        <f t="shared" si="17"/>
        <v>0</v>
      </c>
      <c r="M10" s="72">
        <f t="shared" si="18"/>
        <v>0</v>
      </c>
      <c r="N10" s="72">
        <f t="shared" si="19"/>
        <v>0</v>
      </c>
      <c r="O10" s="72">
        <f t="shared" si="20"/>
        <v>0</v>
      </c>
      <c r="P10" s="72">
        <f t="shared" si="21"/>
        <v>0</v>
      </c>
      <c r="Q10" s="72">
        <f t="shared" si="22"/>
        <v>0</v>
      </c>
      <c r="R10" s="72">
        <f t="shared" si="23"/>
        <v>119.9</v>
      </c>
      <c r="S10" s="72">
        <f t="shared" si="24"/>
        <v>0</v>
      </c>
      <c r="T10" s="72">
        <f t="shared" si="25"/>
        <v>0</v>
      </c>
      <c r="U10" s="72">
        <f t="shared" si="26"/>
        <v>0</v>
      </c>
      <c r="V10" s="72"/>
      <c r="W10" s="72"/>
      <c r="X10" s="72"/>
      <c r="Z10" s="72">
        <f t="shared" si="3"/>
        <v>0</v>
      </c>
      <c r="AA10" s="72">
        <f t="shared" si="4"/>
        <v>0</v>
      </c>
      <c r="AB10" s="72">
        <f t="shared" si="5"/>
        <v>0</v>
      </c>
      <c r="AC10" s="72">
        <f t="shared" si="6"/>
        <v>0</v>
      </c>
      <c r="AD10" s="72">
        <f t="shared" si="7"/>
        <v>0</v>
      </c>
      <c r="AE10" s="72">
        <f t="shared" si="8"/>
        <v>0</v>
      </c>
      <c r="AF10" s="72">
        <f t="shared" si="9"/>
        <v>0</v>
      </c>
      <c r="AG10" s="72">
        <f t="shared" si="10"/>
        <v>0</v>
      </c>
      <c r="AH10" s="72">
        <f t="shared" si="11"/>
        <v>0</v>
      </c>
      <c r="AI10" s="72">
        <f t="shared" si="12"/>
        <v>0</v>
      </c>
      <c r="AJ10" s="72">
        <f t="shared" si="13"/>
        <v>0</v>
      </c>
      <c r="AK10" s="72">
        <f t="shared" si="14"/>
        <v>0</v>
      </c>
      <c r="AQ10" s="71" t="s">
        <v>40</v>
      </c>
      <c r="AR10" s="97">
        <f t="shared" si="0"/>
        <v>492.51</v>
      </c>
      <c r="AS10" s="58">
        <f>AH63</f>
        <v>7.8650000000000002</v>
      </c>
      <c r="AT10" s="58">
        <f>R63</f>
        <v>484.64499999999998</v>
      </c>
    </row>
    <row r="11" spans="2:48">
      <c r="B11" s="60">
        <v>44870</v>
      </c>
      <c r="C11" s="57" t="s">
        <v>111</v>
      </c>
      <c r="D11" s="79" t="s">
        <v>54</v>
      </c>
      <c r="E11" s="56">
        <v>122.5</v>
      </c>
      <c r="F11" s="76" t="s">
        <v>65</v>
      </c>
      <c r="G11" s="77">
        <f t="shared" si="1"/>
        <v>0</v>
      </c>
      <c r="H11" s="78">
        <f t="shared" si="2"/>
        <v>122.5</v>
      </c>
      <c r="I11" s="91" t="s">
        <v>140</v>
      </c>
      <c r="J11" s="72">
        <f t="shared" si="15"/>
        <v>0</v>
      </c>
      <c r="K11" s="72">
        <f t="shared" si="16"/>
        <v>0</v>
      </c>
      <c r="L11" s="72">
        <f t="shared" si="17"/>
        <v>0</v>
      </c>
      <c r="M11" s="72">
        <f t="shared" si="18"/>
        <v>0</v>
      </c>
      <c r="N11" s="72">
        <f t="shared" si="19"/>
        <v>0</v>
      </c>
      <c r="O11" s="72">
        <f t="shared" si="20"/>
        <v>0</v>
      </c>
      <c r="P11" s="72">
        <f t="shared" si="21"/>
        <v>122.5</v>
      </c>
      <c r="Q11" s="72">
        <f t="shared" si="22"/>
        <v>0</v>
      </c>
      <c r="R11" s="72">
        <f t="shared" si="23"/>
        <v>0</v>
      </c>
      <c r="S11" s="72">
        <f t="shared" si="24"/>
        <v>0</v>
      </c>
      <c r="T11" s="72">
        <f t="shared" si="25"/>
        <v>0</v>
      </c>
      <c r="U11" s="72">
        <f t="shared" si="26"/>
        <v>0</v>
      </c>
      <c r="V11" s="72"/>
      <c r="W11" s="72"/>
      <c r="X11" s="72"/>
      <c r="Z11" s="72">
        <f t="shared" si="3"/>
        <v>0</v>
      </c>
      <c r="AA11" s="72">
        <f t="shared" si="4"/>
        <v>0</v>
      </c>
      <c r="AB11" s="72">
        <f t="shared" si="5"/>
        <v>0</v>
      </c>
      <c r="AC11" s="72">
        <f t="shared" si="6"/>
        <v>0</v>
      </c>
      <c r="AD11" s="72">
        <f t="shared" si="7"/>
        <v>0</v>
      </c>
      <c r="AE11" s="72">
        <f t="shared" si="8"/>
        <v>0</v>
      </c>
      <c r="AF11" s="72">
        <f t="shared" si="9"/>
        <v>0</v>
      </c>
      <c r="AG11" s="72">
        <f t="shared" si="10"/>
        <v>0</v>
      </c>
      <c r="AH11" s="72">
        <f t="shared" si="11"/>
        <v>0</v>
      </c>
      <c r="AI11" s="72">
        <f t="shared" si="12"/>
        <v>0</v>
      </c>
      <c r="AJ11" s="72">
        <f t="shared" si="13"/>
        <v>0</v>
      </c>
      <c r="AK11" s="72">
        <f t="shared" si="14"/>
        <v>0</v>
      </c>
      <c r="AQ11" s="71" t="s">
        <v>55</v>
      </c>
      <c r="AR11" s="97">
        <f t="shared" si="0"/>
        <v>0</v>
      </c>
      <c r="AS11" s="58">
        <f>AI63</f>
        <v>0</v>
      </c>
      <c r="AT11" s="58">
        <f>S63</f>
        <v>0</v>
      </c>
    </row>
    <row r="12" spans="2:48">
      <c r="B12" s="60">
        <v>45289</v>
      </c>
      <c r="C12" s="62" t="s">
        <v>126</v>
      </c>
      <c r="D12" s="79" t="s">
        <v>54</v>
      </c>
      <c r="E12" s="56">
        <v>211.3</v>
      </c>
      <c r="F12" s="76" t="s">
        <v>65</v>
      </c>
      <c r="G12" s="77">
        <f t="shared" ref="G12" si="27">IF(F12="MARCIA",E12,IF(F12="AMBOS",E12/2,0))</f>
        <v>0</v>
      </c>
      <c r="H12" s="78">
        <f t="shared" ref="H12" si="28">IF(F12="LUCIANO",E12,IF(F12="AMBOS",E12/2,0))</f>
        <v>211.3</v>
      </c>
      <c r="I12" s="91" t="s">
        <v>141</v>
      </c>
      <c r="J12" s="72">
        <f t="shared" si="15"/>
        <v>0</v>
      </c>
      <c r="K12" s="72">
        <f t="shared" si="16"/>
        <v>0</v>
      </c>
      <c r="L12" s="72">
        <f t="shared" si="17"/>
        <v>0</v>
      </c>
      <c r="M12" s="72">
        <f t="shared" si="18"/>
        <v>0</v>
      </c>
      <c r="N12" s="72">
        <f t="shared" si="19"/>
        <v>0</v>
      </c>
      <c r="O12" s="72">
        <f t="shared" si="20"/>
        <v>0</v>
      </c>
      <c r="P12" s="72">
        <f t="shared" si="21"/>
        <v>211.3</v>
      </c>
      <c r="Q12" s="72">
        <f t="shared" si="22"/>
        <v>0</v>
      </c>
      <c r="R12" s="72">
        <f t="shared" si="23"/>
        <v>0</v>
      </c>
      <c r="S12" s="72">
        <f t="shared" si="24"/>
        <v>0</v>
      </c>
      <c r="T12" s="72">
        <f t="shared" si="25"/>
        <v>0</v>
      </c>
      <c r="U12" s="72">
        <f t="shared" si="26"/>
        <v>0</v>
      </c>
      <c r="V12" s="72"/>
      <c r="W12" s="72"/>
      <c r="X12" s="72"/>
      <c r="Z12" s="72">
        <f t="shared" si="3"/>
        <v>0</v>
      </c>
      <c r="AA12" s="72">
        <f t="shared" si="4"/>
        <v>0</v>
      </c>
      <c r="AB12" s="72">
        <f t="shared" si="5"/>
        <v>0</v>
      </c>
      <c r="AC12" s="72">
        <f t="shared" si="6"/>
        <v>0</v>
      </c>
      <c r="AD12" s="72">
        <f t="shared" si="7"/>
        <v>0</v>
      </c>
      <c r="AE12" s="72">
        <f t="shared" si="8"/>
        <v>0</v>
      </c>
      <c r="AF12" s="72">
        <f t="shared" si="9"/>
        <v>0</v>
      </c>
      <c r="AG12" s="72">
        <f t="shared" si="10"/>
        <v>0</v>
      </c>
      <c r="AH12" s="72">
        <f t="shared" si="11"/>
        <v>0</v>
      </c>
      <c r="AI12" s="72">
        <f t="shared" si="12"/>
        <v>0</v>
      </c>
      <c r="AJ12" s="72">
        <f t="shared" si="13"/>
        <v>0</v>
      </c>
      <c r="AK12" s="72">
        <f t="shared" si="14"/>
        <v>0</v>
      </c>
      <c r="AQ12" s="71" t="s">
        <v>58</v>
      </c>
      <c r="AR12" s="97">
        <f t="shared" si="0"/>
        <v>182</v>
      </c>
      <c r="AS12" s="58">
        <f>AJ63</f>
        <v>0</v>
      </c>
      <c r="AT12" s="58">
        <f>T63</f>
        <v>182</v>
      </c>
    </row>
    <row r="13" spans="2:48">
      <c r="B13" s="172">
        <v>44929</v>
      </c>
      <c r="C13" s="173" t="s">
        <v>144</v>
      </c>
      <c r="D13" s="79" t="s">
        <v>56</v>
      </c>
      <c r="E13" s="56">
        <v>121.38</v>
      </c>
      <c r="F13" s="76" t="s">
        <v>66</v>
      </c>
      <c r="G13" s="77">
        <f>(E13/3)*2</f>
        <v>80.92</v>
      </c>
      <c r="H13" s="78">
        <f>E13/3</f>
        <v>40.46</v>
      </c>
      <c r="I13" s="91"/>
      <c r="J13" s="72">
        <f t="shared" si="15"/>
        <v>0</v>
      </c>
      <c r="K13" s="72">
        <f t="shared" si="16"/>
        <v>0</v>
      </c>
      <c r="L13" s="72">
        <f t="shared" si="17"/>
        <v>0</v>
      </c>
      <c r="M13" s="72">
        <f t="shared" si="18"/>
        <v>0</v>
      </c>
      <c r="N13" s="72">
        <f t="shared" si="19"/>
        <v>40.46</v>
      </c>
      <c r="O13" s="72">
        <f t="shared" si="20"/>
        <v>0</v>
      </c>
      <c r="P13" s="72">
        <f t="shared" si="21"/>
        <v>0</v>
      </c>
      <c r="Q13" s="72">
        <f t="shared" si="22"/>
        <v>0</v>
      </c>
      <c r="R13" s="72">
        <f t="shared" si="23"/>
        <v>0</v>
      </c>
      <c r="S13" s="72">
        <f t="shared" si="24"/>
        <v>0</v>
      </c>
      <c r="T13" s="72">
        <f t="shared" si="25"/>
        <v>0</v>
      </c>
      <c r="U13" s="72">
        <f t="shared" si="26"/>
        <v>0</v>
      </c>
      <c r="V13" s="72"/>
      <c r="W13" s="72"/>
      <c r="X13" s="72"/>
      <c r="Z13" s="72">
        <f t="shared" si="3"/>
        <v>0</v>
      </c>
      <c r="AA13" s="72">
        <f t="shared" si="4"/>
        <v>0</v>
      </c>
      <c r="AB13" s="72">
        <f t="shared" si="5"/>
        <v>0</v>
      </c>
      <c r="AC13" s="72">
        <f t="shared" si="6"/>
        <v>0</v>
      </c>
      <c r="AD13" s="72">
        <f t="shared" si="7"/>
        <v>80.92</v>
      </c>
      <c r="AE13" s="72">
        <f t="shared" si="8"/>
        <v>0</v>
      </c>
      <c r="AF13" s="72">
        <f t="shared" si="9"/>
        <v>0</v>
      </c>
      <c r="AG13" s="72">
        <f t="shared" si="10"/>
        <v>0</v>
      </c>
      <c r="AH13" s="72">
        <f t="shared" si="11"/>
        <v>0</v>
      </c>
      <c r="AI13" s="72">
        <f t="shared" si="12"/>
        <v>0</v>
      </c>
      <c r="AJ13" s="72">
        <f t="shared" si="13"/>
        <v>0</v>
      </c>
      <c r="AK13" s="72">
        <f t="shared" si="14"/>
        <v>0</v>
      </c>
      <c r="AQ13" s="71" t="s">
        <v>52</v>
      </c>
      <c r="AR13" s="97">
        <f t="shared" si="0"/>
        <v>0</v>
      </c>
      <c r="AS13" s="58">
        <f>AK63</f>
        <v>0</v>
      </c>
      <c r="AT13" s="58">
        <f>U63</f>
        <v>0</v>
      </c>
    </row>
    <row r="14" spans="2:48">
      <c r="B14" s="172">
        <v>44929</v>
      </c>
      <c r="C14" s="173" t="s">
        <v>145</v>
      </c>
      <c r="D14" s="79" t="s">
        <v>56</v>
      </c>
      <c r="E14" s="56">
        <v>175.97</v>
      </c>
      <c r="F14" s="76" t="s">
        <v>66</v>
      </c>
      <c r="G14" s="77">
        <f t="shared" ref="G14:G15" si="29">(E14/3)*2</f>
        <v>117.31333333333333</v>
      </c>
      <c r="H14" s="78">
        <f t="shared" ref="H14:H15" si="30">E14/3</f>
        <v>58.656666666666666</v>
      </c>
      <c r="I14" s="91" t="s">
        <v>148</v>
      </c>
      <c r="J14" s="72">
        <f t="shared" si="15"/>
        <v>0</v>
      </c>
      <c r="K14" s="72">
        <f t="shared" si="16"/>
        <v>0</v>
      </c>
      <c r="L14" s="72">
        <f t="shared" si="17"/>
        <v>0</v>
      </c>
      <c r="M14" s="72">
        <f t="shared" si="18"/>
        <v>0</v>
      </c>
      <c r="N14" s="72">
        <f t="shared" si="19"/>
        <v>58.656666666666666</v>
      </c>
      <c r="O14" s="72">
        <f t="shared" si="20"/>
        <v>0</v>
      </c>
      <c r="P14" s="72">
        <f t="shared" si="21"/>
        <v>0</v>
      </c>
      <c r="Q14" s="72">
        <f t="shared" si="22"/>
        <v>0</v>
      </c>
      <c r="R14" s="72">
        <f t="shared" si="23"/>
        <v>0</v>
      </c>
      <c r="S14" s="72">
        <f t="shared" si="24"/>
        <v>0</v>
      </c>
      <c r="T14" s="72">
        <f t="shared" si="25"/>
        <v>0</v>
      </c>
      <c r="U14" s="72">
        <f t="shared" si="26"/>
        <v>0</v>
      </c>
      <c r="V14" s="72"/>
      <c r="W14" s="72"/>
      <c r="X14" s="72"/>
      <c r="Z14" s="72">
        <f t="shared" si="3"/>
        <v>0</v>
      </c>
      <c r="AA14" s="72">
        <f t="shared" si="4"/>
        <v>0</v>
      </c>
      <c r="AB14" s="72">
        <f t="shared" si="5"/>
        <v>0</v>
      </c>
      <c r="AC14" s="72">
        <f t="shared" si="6"/>
        <v>0</v>
      </c>
      <c r="AD14" s="72">
        <f t="shared" si="7"/>
        <v>117.31333333333333</v>
      </c>
      <c r="AE14" s="72">
        <f t="shared" si="8"/>
        <v>0</v>
      </c>
      <c r="AF14" s="72">
        <f t="shared" si="9"/>
        <v>0</v>
      </c>
      <c r="AG14" s="72">
        <f t="shared" si="10"/>
        <v>0</v>
      </c>
      <c r="AH14" s="72">
        <f t="shared" si="11"/>
        <v>0</v>
      </c>
      <c r="AI14" s="72">
        <f t="shared" si="12"/>
        <v>0</v>
      </c>
      <c r="AJ14" s="72">
        <f t="shared" si="13"/>
        <v>0</v>
      </c>
      <c r="AK14" s="72">
        <f t="shared" si="14"/>
        <v>0</v>
      </c>
      <c r="AQ14" s="71"/>
      <c r="AR14" s="97">
        <f t="shared" si="0"/>
        <v>0</v>
      </c>
      <c r="AS14" s="58">
        <f>AL63</f>
        <v>0</v>
      </c>
      <c r="AT14" s="58">
        <f>V63</f>
        <v>0</v>
      </c>
    </row>
    <row r="15" spans="2:48">
      <c r="B15" s="172">
        <v>44929</v>
      </c>
      <c r="C15" s="173" t="s">
        <v>146</v>
      </c>
      <c r="D15" s="79" t="s">
        <v>56</v>
      </c>
      <c r="E15" s="56">
        <v>409.08</v>
      </c>
      <c r="F15" s="76" t="s">
        <v>66</v>
      </c>
      <c r="G15" s="77">
        <f t="shared" si="29"/>
        <v>272.71999999999997</v>
      </c>
      <c r="H15" s="78">
        <f t="shared" si="30"/>
        <v>136.35999999999999</v>
      </c>
      <c r="I15" s="91" t="s">
        <v>127</v>
      </c>
      <c r="J15" s="72">
        <f t="shared" si="15"/>
        <v>0</v>
      </c>
      <c r="K15" s="72">
        <f t="shared" si="16"/>
        <v>0</v>
      </c>
      <c r="L15" s="72">
        <f t="shared" si="17"/>
        <v>0</v>
      </c>
      <c r="M15" s="72">
        <f t="shared" si="18"/>
        <v>0</v>
      </c>
      <c r="N15" s="72">
        <f t="shared" si="19"/>
        <v>136.35999999999999</v>
      </c>
      <c r="O15" s="72">
        <f t="shared" si="20"/>
        <v>0</v>
      </c>
      <c r="P15" s="72">
        <f t="shared" si="21"/>
        <v>0</v>
      </c>
      <c r="Q15" s="72">
        <f t="shared" si="22"/>
        <v>0</v>
      </c>
      <c r="R15" s="72">
        <f t="shared" si="23"/>
        <v>0</v>
      </c>
      <c r="S15" s="72">
        <f t="shared" si="24"/>
        <v>0</v>
      </c>
      <c r="T15" s="72">
        <f t="shared" si="25"/>
        <v>0</v>
      </c>
      <c r="U15" s="72">
        <f t="shared" si="26"/>
        <v>0</v>
      </c>
      <c r="V15" s="72"/>
      <c r="W15" s="72"/>
      <c r="X15" s="72"/>
      <c r="Z15" s="72">
        <f t="shared" si="3"/>
        <v>0</v>
      </c>
      <c r="AA15" s="72">
        <f t="shared" si="4"/>
        <v>0</v>
      </c>
      <c r="AB15" s="72">
        <f t="shared" si="5"/>
        <v>0</v>
      </c>
      <c r="AC15" s="72">
        <f t="shared" si="6"/>
        <v>0</v>
      </c>
      <c r="AD15" s="72">
        <f t="shared" si="7"/>
        <v>272.71999999999997</v>
      </c>
      <c r="AE15" s="72">
        <f t="shared" si="8"/>
        <v>0</v>
      </c>
      <c r="AF15" s="72">
        <f t="shared" si="9"/>
        <v>0</v>
      </c>
      <c r="AG15" s="72">
        <f t="shared" si="10"/>
        <v>0</v>
      </c>
      <c r="AH15" s="72">
        <f t="shared" si="11"/>
        <v>0</v>
      </c>
      <c r="AI15" s="72">
        <f t="shared" si="12"/>
        <v>0</v>
      </c>
      <c r="AJ15" s="72">
        <f t="shared" si="13"/>
        <v>0</v>
      </c>
      <c r="AK15" s="72">
        <f t="shared" si="14"/>
        <v>0</v>
      </c>
      <c r="AQ15" s="71"/>
      <c r="AR15" s="97">
        <f t="shared" si="0"/>
        <v>0</v>
      </c>
      <c r="AS15" s="58">
        <f>AM63</f>
        <v>0</v>
      </c>
      <c r="AT15" s="58">
        <f>W63</f>
        <v>0</v>
      </c>
    </row>
    <row r="16" spans="2:48">
      <c r="B16" s="172">
        <v>44929</v>
      </c>
      <c r="C16" s="173" t="s">
        <v>147</v>
      </c>
      <c r="D16" s="79" t="s">
        <v>56</v>
      </c>
      <c r="E16" s="56">
        <v>50</v>
      </c>
      <c r="F16" s="76" t="s">
        <v>66</v>
      </c>
      <c r="G16" s="77">
        <f t="shared" ref="G16:G62" si="31">IF(F16="MARCIA",E16,IF(F16="AMBOS",E16/2,0))</f>
        <v>25</v>
      </c>
      <c r="H16" s="78">
        <f t="shared" ref="H16:H62" si="32">IF(F16="LUCIANO",E16,IF(F16="AMBOS",E16/2,0))</f>
        <v>25</v>
      </c>
      <c r="I16" s="91"/>
      <c r="J16" s="72">
        <f t="shared" si="15"/>
        <v>0</v>
      </c>
      <c r="K16" s="72">
        <f t="shared" si="16"/>
        <v>0</v>
      </c>
      <c r="L16" s="72">
        <f t="shared" si="17"/>
        <v>0</v>
      </c>
      <c r="M16" s="72">
        <f t="shared" si="18"/>
        <v>0</v>
      </c>
      <c r="N16" s="72">
        <f t="shared" si="19"/>
        <v>25</v>
      </c>
      <c r="O16" s="72">
        <f t="shared" si="20"/>
        <v>0</v>
      </c>
      <c r="P16" s="72">
        <f t="shared" si="21"/>
        <v>0</v>
      </c>
      <c r="Q16" s="72">
        <f t="shared" si="22"/>
        <v>0</v>
      </c>
      <c r="R16" s="72">
        <f t="shared" si="23"/>
        <v>0</v>
      </c>
      <c r="S16" s="72">
        <f t="shared" si="24"/>
        <v>0</v>
      </c>
      <c r="T16" s="72">
        <f t="shared" si="25"/>
        <v>0</v>
      </c>
      <c r="U16" s="72">
        <f t="shared" si="26"/>
        <v>0</v>
      </c>
      <c r="V16" s="72"/>
      <c r="W16" s="72"/>
      <c r="X16" s="72"/>
      <c r="Z16" s="72">
        <f t="shared" si="3"/>
        <v>0</v>
      </c>
      <c r="AA16" s="72">
        <f t="shared" si="4"/>
        <v>0</v>
      </c>
      <c r="AB16" s="72">
        <f t="shared" si="5"/>
        <v>0</v>
      </c>
      <c r="AC16" s="72">
        <f t="shared" si="6"/>
        <v>0</v>
      </c>
      <c r="AD16" s="72">
        <f t="shared" si="7"/>
        <v>25</v>
      </c>
      <c r="AE16" s="72">
        <f t="shared" si="8"/>
        <v>0</v>
      </c>
      <c r="AF16" s="72">
        <f t="shared" si="9"/>
        <v>0</v>
      </c>
      <c r="AG16" s="72">
        <f t="shared" si="10"/>
        <v>0</v>
      </c>
      <c r="AH16" s="72">
        <f t="shared" si="11"/>
        <v>0</v>
      </c>
      <c r="AI16" s="72">
        <f t="shared" si="12"/>
        <v>0</v>
      </c>
      <c r="AJ16" s="72">
        <f t="shared" si="13"/>
        <v>0</v>
      </c>
      <c r="AK16" s="72">
        <f t="shared" si="14"/>
        <v>0</v>
      </c>
      <c r="AQ16" s="71"/>
      <c r="AR16" s="97">
        <f t="shared" si="0"/>
        <v>0</v>
      </c>
      <c r="AS16" s="95">
        <f>AN63</f>
        <v>0</v>
      </c>
      <c r="AT16" s="95">
        <f>X63</f>
        <v>0</v>
      </c>
      <c r="AU16" s="59"/>
    </row>
    <row r="17" spans="2:52">
      <c r="B17" s="60">
        <v>44938</v>
      </c>
      <c r="C17" s="62" t="s">
        <v>142</v>
      </c>
      <c r="D17" s="79" t="s">
        <v>56</v>
      </c>
      <c r="E17" s="56">
        <f>85.7+31.8</f>
        <v>117.5</v>
      </c>
      <c r="F17" s="76" t="s">
        <v>65</v>
      </c>
      <c r="G17" s="77">
        <f t="shared" si="31"/>
        <v>0</v>
      </c>
      <c r="H17" s="78">
        <f t="shared" si="32"/>
        <v>117.5</v>
      </c>
      <c r="I17" s="91"/>
      <c r="J17" s="72">
        <f t="shared" si="15"/>
        <v>0</v>
      </c>
      <c r="K17" s="72">
        <f t="shared" si="16"/>
        <v>0</v>
      </c>
      <c r="L17" s="72">
        <f t="shared" si="17"/>
        <v>0</v>
      </c>
      <c r="M17" s="72">
        <f t="shared" si="18"/>
        <v>0</v>
      </c>
      <c r="N17" s="72">
        <f t="shared" si="19"/>
        <v>117.5</v>
      </c>
      <c r="O17" s="72">
        <f t="shared" si="20"/>
        <v>0</v>
      </c>
      <c r="P17" s="72">
        <f t="shared" si="21"/>
        <v>0</v>
      </c>
      <c r="Q17" s="72">
        <f t="shared" si="22"/>
        <v>0</v>
      </c>
      <c r="R17" s="72">
        <f t="shared" si="23"/>
        <v>0</v>
      </c>
      <c r="S17" s="72">
        <f t="shared" si="24"/>
        <v>0</v>
      </c>
      <c r="T17" s="72">
        <f t="shared" si="25"/>
        <v>0</v>
      </c>
      <c r="U17" s="72">
        <f t="shared" si="26"/>
        <v>0</v>
      </c>
      <c r="V17" s="72"/>
      <c r="W17" s="72"/>
      <c r="X17" s="72"/>
      <c r="Z17" s="72">
        <f t="shared" si="3"/>
        <v>0</v>
      </c>
      <c r="AA17" s="72">
        <f t="shared" si="4"/>
        <v>0</v>
      </c>
      <c r="AB17" s="72">
        <f t="shared" si="5"/>
        <v>0</v>
      </c>
      <c r="AC17" s="72">
        <f t="shared" si="6"/>
        <v>0</v>
      </c>
      <c r="AD17" s="72">
        <f t="shared" si="7"/>
        <v>0</v>
      </c>
      <c r="AE17" s="72">
        <f t="shared" si="8"/>
        <v>0</v>
      </c>
      <c r="AF17" s="72">
        <f t="shared" si="9"/>
        <v>0</v>
      </c>
      <c r="AG17" s="72">
        <f t="shared" si="10"/>
        <v>0</v>
      </c>
      <c r="AH17" s="72">
        <f t="shared" si="11"/>
        <v>0</v>
      </c>
      <c r="AI17" s="72">
        <f t="shared" si="12"/>
        <v>0</v>
      </c>
      <c r="AJ17" s="72">
        <f t="shared" si="13"/>
        <v>0</v>
      </c>
      <c r="AK17" s="72">
        <f t="shared" si="14"/>
        <v>0</v>
      </c>
      <c r="AQ17" s="87" t="s">
        <v>67</v>
      </c>
      <c r="AR17" s="96">
        <f>SUM(AR2:AR16)</f>
        <v>3059.55</v>
      </c>
      <c r="AS17" s="88">
        <f>SUM(AS2:AS16)</f>
        <v>858.54333333333341</v>
      </c>
      <c r="AT17" s="88">
        <f>SUM(AT2:AT16)</f>
        <v>2201.0066666666667</v>
      </c>
    </row>
    <row r="18" spans="2:52">
      <c r="B18" s="82">
        <v>44939</v>
      </c>
      <c r="C18" s="83" t="s">
        <v>81</v>
      </c>
      <c r="D18" s="79" t="s">
        <v>36</v>
      </c>
      <c r="E18" s="85">
        <v>100</v>
      </c>
      <c r="F18" s="76" t="s">
        <v>66</v>
      </c>
      <c r="G18" s="77">
        <f t="shared" si="31"/>
        <v>50</v>
      </c>
      <c r="H18" s="78">
        <f t="shared" si="32"/>
        <v>50</v>
      </c>
      <c r="I18" s="91"/>
      <c r="J18" s="72">
        <f t="shared" si="15"/>
        <v>0</v>
      </c>
      <c r="K18" s="72">
        <f t="shared" si="16"/>
        <v>0</v>
      </c>
      <c r="L18" s="72">
        <f t="shared" si="17"/>
        <v>0</v>
      </c>
      <c r="M18" s="72">
        <f t="shared" si="18"/>
        <v>50</v>
      </c>
      <c r="N18" s="72">
        <f t="shared" si="19"/>
        <v>0</v>
      </c>
      <c r="O18" s="72">
        <f t="shared" si="20"/>
        <v>0</v>
      </c>
      <c r="P18" s="72">
        <f t="shared" si="21"/>
        <v>0</v>
      </c>
      <c r="Q18" s="72">
        <f t="shared" si="22"/>
        <v>0</v>
      </c>
      <c r="R18" s="72">
        <f t="shared" si="23"/>
        <v>0</v>
      </c>
      <c r="S18" s="72">
        <f t="shared" si="24"/>
        <v>0</v>
      </c>
      <c r="T18" s="72">
        <f t="shared" si="25"/>
        <v>0</v>
      </c>
      <c r="U18" s="72">
        <f t="shared" si="26"/>
        <v>0</v>
      </c>
      <c r="V18" s="72"/>
      <c r="W18" s="72"/>
      <c r="X18" s="72"/>
      <c r="Z18" s="72">
        <f t="shared" si="3"/>
        <v>0</v>
      </c>
      <c r="AA18" s="72">
        <f t="shared" si="4"/>
        <v>0</v>
      </c>
      <c r="AB18" s="72">
        <f t="shared" si="5"/>
        <v>0</v>
      </c>
      <c r="AC18" s="72">
        <f t="shared" si="6"/>
        <v>50</v>
      </c>
      <c r="AD18" s="72">
        <f t="shared" si="7"/>
        <v>0</v>
      </c>
      <c r="AE18" s="72">
        <f t="shared" si="8"/>
        <v>0</v>
      </c>
      <c r="AF18" s="72">
        <f t="shared" si="9"/>
        <v>0</v>
      </c>
      <c r="AG18" s="72">
        <f t="shared" si="10"/>
        <v>0</v>
      </c>
      <c r="AH18" s="72">
        <f t="shared" si="11"/>
        <v>0</v>
      </c>
      <c r="AI18" s="72">
        <f t="shared" si="12"/>
        <v>0</v>
      </c>
      <c r="AJ18" s="72">
        <f t="shared" si="13"/>
        <v>0</v>
      </c>
      <c r="AK18" s="72">
        <f t="shared" si="14"/>
        <v>0</v>
      </c>
      <c r="AQ18" s="80" t="s">
        <v>65</v>
      </c>
      <c r="AR18" s="850" t="s">
        <v>45</v>
      </c>
      <c r="AS18" s="851"/>
      <c r="AT18" s="852"/>
      <c r="AU18" s="99"/>
      <c r="AV18" s="98"/>
    </row>
    <row r="19" spans="2:52">
      <c r="B19" s="60">
        <v>44939</v>
      </c>
      <c r="C19" s="62" t="s">
        <v>153</v>
      </c>
      <c r="D19" s="79" t="s">
        <v>120</v>
      </c>
      <c r="E19" s="56">
        <v>58.4</v>
      </c>
      <c r="F19" s="76" t="s">
        <v>65</v>
      </c>
      <c r="G19" s="77">
        <f t="shared" si="31"/>
        <v>0</v>
      </c>
      <c r="H19" s="78">
        <f t="shared" si="32"/>
        <v>58.4</v>
      </c>
      <c r="I19" s="91" t="s">
        <v>154</v>
      </c>
      <c r="J19" s="72">
        <f t="shared" si="15"/>
        <v>0</v>
      </c>
      <c r="K19" s="72">
        <f t="shared" si="16"/>
        <v>0</v>
      </c>
      <c r="L19" s="72">
        <f t="shared" si="17"/>
        <v>58.4</v>
      </c>
      <c r="M19" s="72">
        <f t="shared" si="18"/>
        <v>0</v>
      </c>
      <c r="N19" s="72">
        <f t="shared" si="19"/>
        <v>0</v>
      </c>
      <c r="O19" s="72">
        <f t="shared" si="20"/>
        <v>0</v>
      </c>
      <c r="P19" s="72">
        <f t="shared" si="21"/>
        <v>0</v>
      </c>
      <c r="Q19" s="72">
        <f t="shared" si="22"/>
        <v>0</v>
      </c>
      <c r="R19" s="72">
        <f t="shared" si="23"/>
        <v>0</v>
      </c>
      <c r="S19" s="72">
        <f t="shared" si="24"/>
        <v>0</v>
      </c>
      <c r="T19" s="72">
        <f t="shared" si="25"/>
        <v>0</v>
      </c>
      <c r="U19" s="72">
        <f t="shared" si="26"/>
        <v>0</v>
      </c>
      <c r="V19" s="72"/>
      <c r="W19" s="72"/>
      <c r="X19" s="72"/>
      <c r="Z19" s="72">
        <f t="shared" si="3"/>
        <v>0</v>
      </c>
      <c r="AA19" s="72">
        <f t="shared" si="4"/>
        <v>0</v>
      </c>
      <c r="AB19" s="72">
        <f t="shared" si="5"/>
        <v>0</v>
      </c>
      <c r="AC19" s="72">
        <f t="shared" si="6"/>
        <v>0</v>
      </c>
      <c r="AD19" s="72">
        <f t="shared" si="7"/>
        <v>0</v>
      </c>
      <c r="AE19" s="72">
        <f t="shared" si="8"/>
        <v>0</v>
      </c>
      <c r="AF19" s="72">
        <f t="shared" si="9"/>
        <v>0</v>
      </c>
      <c r="AG19" s="72">
        <f t="shared" si="10"/>
        <v>0</v>
      </c>
      <c r="AH19" s="72">
        <f t="shared" si="11"/>
        <v>0</v>
      </c>
      <c r="AI19" s="72">
        <f t="shared" si="12"/>
        <v>0</v>
      </c>
      <c r="AJ19" s="72">
        <f t="shared" si="13"/>
        <v>0</v>
      </c>
      <c r="AK19" s="72">
        <f t="shared" si="14"/>
        <v>0</v>
      </c>
      <c r="AQ19" s="80" t="s">
        <v>66</v>
      </c>
      <c r="AU19" s="98"/>
    </row>
    <row r="20" spans="2:52">
      <c r="B20" s="60">
        <v>44939</v>
      </c>
      <c r="C20" s="62" t="s">
        <v>153</v>
      </c>
      <c r="D20" s="79" t="s">
        <v>120</v>
      </c>
      <c r="E20" s="56">
        <v>36.58</v>
      </c>
      <c r="F20" s="76" t="s">
        <v>65</v>
      </c>
      <c r="G20" s="77">
        <f t="shared" si="31"/>
        <v>0</v>
      </c>
      <c r="H20" s="78">
        <f t="shared" si="32"/>
        <v>36.58</v>
      </c>
      <c r="I20" s="91" t="s">
        <v>155</v>
      </c>
      <c r="J20" s="72">
        <f t="shared" si="15"/>
        <v>0</v>
      </c>
      <c r="K20" s="72">
        <f t="shared" si="16"/>
        <v>0</v>
      </c>
      <c r="L20" s="72">
        <f t="shared" si="17"/>
        <v>36.58</v>
      </c>
      <c r="M20" s="72">
        <f t="shared" si="18"/>
        <v>0</v>
      </c>
      <c r="N20" s="72">
        <f t="shared" si="19"/>
        <v>0</v>
      </c>
      <c r="O20" s="72">
        <f t="shared" si="20"/>
        <v>0</v>
      </c>
      <c r="P20" s="72">
        <f t="shared" si="21"/>
        <v>0</v>
      </c>
      <c r="Q20" s="72">
        <f t="shared" si="22"/>
        <v>0</v>
      </c>
      <c r="R20" s="72">
        <f t="shared" si="23"/>
        <v>0</v>
      </c>
      <c r="S20" s="72">
        <f t="shared" si="24"/>
        <v>0</v>
      </c>
      <c r="T20" s="72">
        <f t="shared" si="25"/>
        <v>0</v>
      </c>
      <c r="U20" s="72">
        <f t="shared" si="26"/>
        <v>0</v>
      </c>
      <c r="V20" s="72"/>
      <c r="W20" s="72"/>
      <c r="X20" s="72"/>
      <c r="Z20" s="72">
        <f t="shared" si="3"/>
        <v>0</v>
      </c>
      <c r="AA20" s="72">
        <f t="shared" si="4"/>
        <v>0</v>
      </c>
      <c r="AB20" s="72">
        <f t="shared" si="5"/>
        <v>0</v>
      </c>
      <c r="AC20" s="72">
        <f t="shared" si="6"/>
        <v>0</v>
      </c>
      <c r="AD20" s="72">
        <f t="shared" si="7"/>
        <v>0</v>
      </c>
      <c r="AE20" s="72">
        <f t="shared" si="8"/>
        <v>0</v>
      </c>
      <c r="AF20" s="72">
        <f t="shared" si="9"/>
        <v>0</v>
      </c>
      <c r="AG20" s="72">
        <f t="shared" si="10"/>
        <v>0</v>
      </c>
      <c r="AH20" s="72">
        <f t="shared" si="11"/>
        <v>0</v>
      </c>
      <c r="AI20" s="72">
        <f t="shared" si="12"/>
        <v>0</v>
      </c>
      <c r="AJ20" s="72">
        <f t="shared" si="13"/>
        <v>0</v>
      </c>
      <c r="AK20" s="72">
        <f t="shared" si="14"/>
        <v>0</v>
      </c>
    </row>
    <row r="21" spans="2:52">
      <c r="B21" s="60">
        <v>44942</v>
      </c>
      <c r="C21" s="62" t="s">
        <v>153</v>
      </c>
      <c r="D21" s="79" t="s">
        <v>120</v>
      </c>
      <c r="E21" s="56">
        <v>45.19</v>
      </c>
      <c r="F21" s="76" t="s">
        <v>65</v>
      </c>
      <c r="G21" s="77">
        <f t="shared" si="31"/>
        <v>0</v>
      </c>
      <c r="H21" s="78">
        <f t="shared" si="32"/>
        <v>45.19</v>
      </c>
      <c r="I21" s="91"/>
      <c r="J21" s="72">
        <f t="shared" si="15"/>
        <v>0</v>
      </c>
      <c r="K21" s="72">
        <f t="shared" si="16"/>
        <v>0</v>
      </c>
      <c r="L21" s="72">
        <f t="shared" si="17"/>
        <v>45.19</v>
      </c>
      <c r="M21" s="72">
        <f t="shared" si="18"/>
        <v>0</v>
      </c>
      <c r="N21" s="72">
        <f t="shared" si="19"/>
        <v>0</v>
      </c>
      <c r="O21" s="72">
        <f t="shared" si="20"/>
        <v>0</v>
      </c>
      <c r="P21" s="72">
        <f t="shared" si="21"/>
        <v>0</v>
      </c>
      <c r="Q21" s="72">
        <f t="shared" si="22"/>
        <v>0</v>
      </c>
      <c r="R21" s="72">
        <f t="shared" si="23"/>
        <v>0</v>
      </c>
      <c r="S21" s="72">
        <f t="shared" si="24"/>
        <v>0</v>
      </c>
      <c r="T21" s="72">
        <f t="shared" si="25"/>
        <v>0</v>
      </c>
      <c r="U21" s="72">
        <f t="shared" si="26"/>
        <v>0</v>
      </c>
      <c r="V21" s="72"/>
      <c r="W21" s="72"/>
      <c r="X21" s="72"/>
      <c r="Z21" s="72">
        <f t="shared" si="3"/>
        <v>0</v>
      </c>
      <c r="AA21" s="72">
        <f t="shared" si="4"/>
        <v>0</v>
      </c>
      <c r="AB21" s="72">
        <f t="shared" si="5"/>
        <v>0</v>
      </c>
      <c r="AC21" s="72">
        <f t="shared" si="6"/>
        <v>0</v>
      </c>
      <c r="AD21" s="72">
        <f t="shared" si="7"/>
        <v>0</v>
      </c>
      <c r="AE21" s="72">
        <f t="shared" si="8"/>
        <v>0</v>
      </c>
      <c r="AF21" s="72">
        <f t="shared" si="9"/>
        <v>0</v>
      </c>
      <c r="AG21" s="72">
        <f t="shared" si="10"/>
        <v>0</v>
      </c>
      <c r="AH21" s="72">
        <f t="shared" si="11"/>
        <v>0</v>
      </c>
      <c r="AI21" s="72">
        <f t="shared" si="12"/>
        <v>0</v>
      </c>
      <c r="AJ21" s="72">
        <f t="shared" si="13"/>
        <v>0</v>
      </c>
      <c r="AK21" s="72">
        <f t="shared" si="14"/>
        <v>0</v>
      </c>
    </row>
    <row r="22" spans="2:52">
      <c r="B22" s="60">
        <v>44939</v>
      </c>
      <c r="C22" s="62" t="s">
        <v>81</v>
      </c>
      <c r="D22" s="79" t="s">
        <v>36</v>
      </c>
      <c r="E22" s="56">
        <v>150</v>
      </c>
      <c r="F22" s="76" t="s">
        <v>66</v>
      </c>
      <c r="G22" s="77">
        <v>50</v>
      </c>
      <c r="H22" s="78">
        <v>100</v>
      </c>
      <c r="I22" s="92"/>
      <c r="J22" s="72">
        <f t="shared" si="15"/>
        <v>0</v>
      </c>
      <c r="K22" s="72">
        <f t="shared" si="16"/>
        <v>0</v>
      </c>
      <c r="L22" s="72">
        <f t="shared" si="17"/>
        <v>0</v>
      </c>
      <c r="M22" s="72">
        <f t="shared" si="18"/>
        <v>100</v>
      </c>
      <c r="N22" s="72">
        <f t="shared" si="19"/>
        <v>0</v>
      </c>
      <c r="O22" s="72">
        <f t="shared" si="20"/>
        <v>0</v>
      </c>
      <c r="P22" s="72">
        <f t="shared" si="21"/>
        <v>0</v>
      </c>
      <c r="Q22" s="72">
        <f t="shared" si="22"/>
        <v>0</v>
      </c>
      <c r="R22" s="72">
        <f t="shared" si="23"/>
        <v>0</v>
      </c>
      <c r="S22" s="72">
        <f t="shared" si="24"/>
        <v>0</v>
      </c>
      <c r="T22" s="72">
        <f t="shared" si="25"/>
        <v>0</v>
      </c>
      <c r="U22" s="72">
        <f t="shared" si="26"/>
        <v>0</v>
      </c>
      <c r="V22" s="72"/>
      <c r="W22" s="72"/>
      <c r="X22" s="72"/>
      <c r="Y22" s="61"/>
      <c r="Z22" s="72">
        <f t="shared" si="3"/>
        <v>0</v>
      </c>
      <c r="AA22" s="72">
        <f t="shared" si="4"/>
        <v>0</v>
      </c>
      <c r="AB22" s="72">
        <f t="shared" si="5"/>
        <v>0</v>
      </c>
      <c r="AC22" s="72">
        <f t="shared" si="6"/>
        <v>50</v>
      </c>
      <c r="AD22" s="72">
        <f t="shared" si="7"/>
        <v>0</v>
      </c>
      <c r="AE22" s="72">
        <f t="shared" si="8"/>
        <v>0</v>
      </c>
      <c r="AF22" s="72">
        <f t="shared" si="9"/>
        <v>0</v>
      </c>
      <c r="AG22" s="72">
        <f t="shared" si="10"/>
        <v>0</v>
      </c>
      <c r="AH22" s="72">
        <f t="shared" si="11"/>
        <v>0</v>
      </c>
      <c r="AI22" s="72">
        <f t="shared" si="12"/>
        <v>0</v>
      </c>
      <c r="AJ22" s="72">
        <f t="shared" si="13"/>
        <v>0</v>
      </c>
      <c r="AK22" s="72">
        <f t="shared" si="14"/>
        <v>0</v>
      </c>
      <c r="AL22" s="61"/>
      <c r="AM22" s="61"/>
      <c r="AN22" s="61"/>
      <c r="AO22" s="61"/>
      <c r="AP22" s="61"/>
    </row>
    <row r="23" spans="2:52" ht="17.25" thickBot="1">
      <c r="B23" s="60">
        <v>44952</v>
      </c>
      <c r="C23" s="62" t="s">
        <v>159</v>
      </c>
      <c r="D23" s="79" t="s">
        <v>120</v>
      </c>
      <c r="E23" s="56">
        <v>77</v>
      </c>
      <c r="F23" s="76" t="s">
        <v>65</v>
      </c>
      <c r="G23" s="77">
        <f t="shared" si="31"/>
        <v>0</v>
      </c>
      <c r="H23" s="78">
        <f t="shared" si="32"/>
        <v>77</v>
      </c>
      <c r="I23" s="91" t="s">
        <v>148</v>
      </c>
      <c r="J23" s="72">
        <f t="shared" si="15"/>
        <v>0</v>
      </c>
      <c r="K23" s="72">
        <f t="shared" si="16"/>
        <v>0</v>
      </c>
      <c r="L23" s="72">
        <f t="shared" si="17"/>
        <v>77</v>
      </c>
      <c r="M23" s="72">
        <f t="shared" si="18"/>
        <v>0</v>
      </c>
      <c r="N23" s="72">
        <f t="shared" si="19"/>
        <v>0</v>
      </c>
      <c r="O23" s="72">
        <f t="shared" si="20"/>
        <v>0</v>
      </c>
      <c r="P23" s="72">
        <f t="shared" si="21"/>
        <v>0</v>
      </c>
      <c r="Q23" s="72">
        <f t="shared" si="22"/>
        <v>0</v>
      </c>
      <c r="R23" s="72">
        <f t="shared" si="23"/>
        <v>0</v>
      </c>
      <c r="S23" s="72">
        <f t="shared" si="24"/>
        <v>0</v>
      </c>
      <c r="T23" s="72">
        <f t="shared" si="25"/>
        <v>0</v>
      </c>
      <c r="U23" s="72">
        <f t="shared" si="26"/>
        <v>0</v>
      </c>
      <c r="V23" s="72"/>
      <c r="W23" s="72"/>
      <c r="X23" s="72"/>
      <c r="Z23" s="72">
        <f t="shared" si="3"/>
        <v>0</v>
      </c>
      <c r="AA23" s="72">
        <f t="shared" si="4"/>
        <v>0</v>
      </c>
      <c r="AB23" s="72">
        <f t="shared" si="5"/>
        <v>0</v>
      </c>
      <c r="AC23" s="72">
        <f t="shared" si="6"/>
        <v>0</v>
      </c>
      <c r="AD23" s="72">
        <f t="shared" si="7"/>
        <v>0</v>
      </c>
      <c r="AE23" s="72">
        <f t="shared" si="8"/>
        <v>0</v>
      </c>
      <c r="AF23" s="72">
        <f t="shared" si="9"/>
        <v>0</v>
      </c>
      <c r="AG23" s="72">
        <f t="shared" si="10"/>
        <v>0</v>
      </c>
      <c r="AH23" s="72">
        <f t="shared" si="11"/>
        <v>0</v>
      </c>
      <c r="AI23" s="72">
        <f t="shared" si="12"/>
        <v>0</v>
      </c>
      <c r="AJ23" s="72">
        <f t="shared" si="13"/>
        <v>0</v>
      </c>
      <c r="AK23" s="72">
        <f t="shared" si="14"/>
        <v>0</v>
      </c>
      <c r="AV23" s="864" t="s">
        <v>134</v>
      </c>
      <c r="AW23" s="864"/>
      <c r="AY23" s="864" t="s">
        <v>133</v>
      </c>
      <c r="AZ23" s="864"/>
    </row>
    <row r="24" spans="2:52">
      <c r="B24" s="60">
        <v>44954</v>
      </c>
      <c r="C24" s="62" t="s">
        <v>254</v>
      </c>
      <c r="D24" s="79" t="s">
        <v>56</v>
      </c>
      <c r="E24" s="56">
        <f>156+20</f>
        <v>176</v>
      </c>
      <c r="F24" s="76" t="s">
        <v>66</v>
      </c>
      <c r="G24" s="77">
        <f t="shared" si="31"/>
        <v>88</v>
      </c>
      <c r="H24" s="78">
        <f t="shared" si="32"/>
        <v>88</v>
      </c>
      <c r="I24" s="91"/>
      <c r="J24" s="72">
        <f t="shared" si="15"/>
        <v>0</v>
      </c>
      <c r="K24" s="72">
        <f t="shared" si="16"/>
        <v>0</v>
      </c>
      <c r="L24" s="72">
        <f t="shared" si="17"/>
        <v>0</v>
      </c>
      <c r="M24" s="72">
        <f t="shared" si="18"/>
        <v>0</v>
      </c>
      <c r="N24" s="72">
        <f t="shared" si="19"/>
        <v>88</v>
      </c>
      <c r="O24" s="72">
        <f t="shared" si="20"/>
        <v>0</v>
      </c>
      <c r="P24" s="72">
        <f t="shared" si="21"/>
        <v>0</v>
      </c>
      <c r="Q24" s="72">
        <f t="shared" si="22"/>
        <v>0</v>
      </c>
      <c r="R24" s="72">
        <f t="shared" si="23"/>
        <v>0</v>
      </c>
      <c r="S24" s="72">
        <f t="shared" si="24"/>
        <v>0</v>
      </c>
      <c r="T24" s="72">
        <f t="shared" si="25"/>
        <v>0</v>
      </c>
      <c r="U24" s="72">
        <f t="shared" si="26"/>
        <v>0</v>
      </c>
      <c r="V24" s="72"/>
      <c r="W24" s="72"/>
      <c r="X24" s="72"/>
      <c r="Z24" s="72">
        <f t="shared" si="3"/>
        <v>0</v>
      </c>
      <c r="AA24" s="72">
        <f t="shared" si="4"/>
        <v>0</v>
      </c>
      <c r="AB24" s="72">
        <f t="shared" si="5"/>
        <v>0</v>
      </c>
      <c r="AC24" s="72">
        <f t="shared" si="6"/>
        <v>0</v>
      </c>
      <c r="AD24" s="72">
        <f t="shared" si="7"/>
        <v>88</v>
      </c>
      <c r="AE24" s="72">
        <f t="shared" si="8"/>
        <v>0</v>
      </c>
      <c r="AF24" s="72">
        <f t="shared" si="9"/>
        <v>0</v>
      </c>
      <c r="AG24" s="72">
        <f t="shared" si="10"/>
        <v>0</v>
      </c>
      <c r="AH24" s="72">
        <f t="shared" si="11"/>
        <v>0</v>
      </c>
      <c r="AI24" s="72">
        <f t="shared" si="12"/>
        <v>0</v>
      </c>
      <c r="AJ24" s="72">
        <f t="shared" si="13"/>
        <v>0</v>
      </c>
      <c r="AK24" s="72">
        <f t="shared" si="14"/>
        <v>0</v>
      </c>
      <c r="AV24" s="112" t="s">
        <v>75</v>
      </c>
      <c r="AW24" s="1">
        <v>0</v>
      </c>
      <c r="AY24" s="164" t="s">
        <v>130</v>
      </c>
      <c r="AZ24" s="55">
        <v>858.54</v>
      </c>
    </row>
    <row r="25" spans="2:52">
      <c r="B25" s="60">
        <v>44954</v>
      </c>
      <c r="C25" s="62" t="s">
        <v>255</v>
      </c>
      <c r="D25" s="79" t="s">
        <v>58</v>
      </c>
      <c r="E25" s="56">
        <v>24</v>
      </c>
      <c r="F25" s="76" t="s">
        <v>65</v>
      </c>
      <c r="G25" s="77">
        <f t="shared" si="31"/>
        <v>0</v>
      </c>
      <c r="H25" s="78">
        <f t="shared" si="32"/>
        <v>24</v>
      </c>
      <c r="I25" s="91"/>
      <c r="J25" s="72">
        <f t="shared" si="15"/>
        <v>0</v>
      </c>
      <c r="K25" s="72">
        <f t="shared" si="16"/>
        <v>0</v>
      </c>
      <c r="L25" s="72">
        <f t="shared" si="17"/>
        <v>0</v>
      </c>
      <c r="M25" s="72">
        <f t="shared" si="18"/>
        <v>0</v>
      </c>
      <c r="N25" s="72">
        <f t="shared" si="19"/>
        <v>0</v>
      </c>
      <c r="O25" s="72">
        <f t="shared" si="20"/>
        <v>0</v>
      </c>
      <c r="P25" s="72">
        <f t="shared" si="21"/>
        <v>0</v>
      </c>
      <c r="Q25" s="72">
        <f t="shared" si="22"/>
        <v>0</v>
      </c>
      <c r="R25" s="72">
        <f t="shared" si="23"/>
        <v>0</v>
      </c>
      <c r="S25" s="72">
        <f t="shared" si="24"/>
        <v>0</v>
      </c>
      <c r="T25" s="72">
        <f t="shared" si="25"/>
        <v>24</v>
      </c>
      <c r="U25" s="72">
        <f t="shared" si="26"/>
        <v>0</v>
      </c>
      <c r="V25" s="72"/>
      <c r="W25" s="72"/>
      <c r="X25" s="72"/>
      <c r="Z25" s="72">
        <f t="shared" si="3"/>
        <v>0</v>
      </c>
      <c r="AA25" s="72">
        <f t="shared" si="4"/>
        <v>0</v>
      </c>
      <c r="AB25" s="72">
        <f t="shared" si="5"/>
        <v>0</v>
      </c>
      <c r="AC25" s="72">
        <f t="shared" si="6"/>
        <v>0</v>
      </c>
      <c r="AD25" s="72">
        <f t="shared" si="7"/>
        <v>0</v>
      </c>
      <c r="AE25" s="72">
        <f t="shared" si="8"/>
        <v>0</v>
      </c>
      <c r="AF25" s="72">
        <f t="shared" si="9"/>
        <v>0</v>
      </c>
      <c r="AG25" s="72">
        <f t="shared" si="10"/>
        <v>0</v>
      </c>
      <c r="AH25" s="72">
        <f t="shared" si="11"/>
        <v>0</v>
      </c>
      <c r="AI25" s="72">
        <f t="shared" si="12"/>
        <v>0</v>
      </c>
      <c r="AJ25" s="72">
        <f t="shared" si="13"/>
        <v>0</v>
      </c>
      <c r="AK25" s="72">
        <f t="shared" si="14"/>
        <v>0</v>
      </c>
      <c r="AR25" s="59">
        <f>E13/3</f>
        <v>40.46</v>
      </c>
      <c r="AV25" s="112" t="s">
        <v>76</v>
      </c>
      <c r="AW25" s="1">
        <v>0</v>
      </c>
      <c r="AY25" s="164" t="s">
        <v>131</v>
      </c>
      <c r="AZ25" s="98">
        <f>621.35+241.52</f>
        <v>862.87</v>
      </c>
    </row>
    <row r="26" spans="2:52">
      <c r="B26" s="60">
        <v>44956</v>
      </c>
      <c r="C26" s="62" t="s">
        <v>256</v>
      </c>
      <c r="D26" s="79" t="s">
        <v>57</v>
      </c>
      <c r="E26" s="56">
        <v>102.45</v>
      </c>
      <c r="F26" s="76" t="s">
        <v>66</v>
      </c>
      <c r="G26" s="77">
        <f t="shared" si="31"/>
        <v>51.225000000000001</v>
      </c>
      <c r="H26" s="78">
        <f t="shared" si="32"/>
        <v>51.225000000000001</v>
      </c>
      <c r="I26" s="91"/>
      <c r="J26" s="72">
        <f t="shared" si="15"/>
        <v>51.225000000000001</v>
      </c>
      <c r="K26" s="72">
        <f t="shared" si="16"/>
        <v>0</v>
      </c>
      <c r="L26" s="72">
        <f t="shared" si="17"/>
        <v>0</v>
      </c>
      <c r="M26" s="72">
        <f t="shared" si="18"/>
        <v>0</v>
      </c>
      <c r="N26" s="72">
        <f t="shared" si="19"/>
        <v>0</v>
      </c>
      <c r="O26" s="72">
        <f t="shared" si="20"/>
        <v>0</v>
      </c>
      <c r="P26" s="72">
        <f t="shared" si="21"/>
        <v>0</v>
      </c>
      <c r="Q26" s="72">
        <f t="shared" si="22"/>
        <v>0</v>
      </c>
      <c r="R26" s="72">
        <f t="shared" si="23"/>
        <v>0</v>
      </c>
      <c r="S26" s="72">
        <f t="shared" si="24"/>
        <v>0</v>
      </c>
      <c r="T26" s="72">
        <f t="shared" si="25"/>
        <v>0</v>
      </c>
      <c r="U26" s="72">
        <f t="shared" si="26"/>
        <v>0</v>
      </c>
      <c r="V26" s="72"/>
      <c r="W26" s="72"/>
      <c r="X26" s="72"/>
      <c r="Z26" s="72">
        <f t="shared" si="3"/>
        <v>51.225000000000001</v>
      </c>
      <c r="AA26" s="72">
        <f t="shared" si="4"/>
        <v>0</v>
      </c>
      <c r="AB26" s="72">
        <f t="shared" si="5"/>
        <v>0</v>
      </c>
      <c r="AC26" s="72">
        <f t="shared" si="6"/>
        <v>0</v>
      </c>
      <c r="AD26" s="72">
        <f t="shared" si="7"/>
        <v>0</v>
      </c>
      <c r="AE26" s="72">
        <f t="shared" si="8"/>
        <v>0</v>
      </c>
      <c r="AF26" s="72">
        <f t="shared" si="9"/>
        <v>0</v>
      </c>
      <c r="AG26" s="72">
        <f t="shared" si="10"/>
        <v>0</v>
      </c>
      <c r="AH26" s="72">
        <f t="shared" si="11"/>
        <v>0</v>
      </c>
      <c r="AI26" s="72">
        <f t="shared" si="12"/>
        <v>0</v>
      </c>
      <c r="AJ26" s="72">
        <f t="shared" si="13"/>
        <v>0</v>
      </c>
      <c r="AK26" s="72">
        <f t="shared" si="14"/>
        <v>0</v>
      </c>
      <c r="AR26" s="59">
        <f>E14/3</f>
        <v>58.656666666666666</v>
      </c>
      <c r="AV26" s="112" t="s">
        <v>77</v>
      </c>
      <c r="AW26" s="1">
        <v>0</v>
      </c>
      <c r="AY26" s="164" t="s">
        <v>132</v>
      </c>
      <c r="AZ26" s="165"/>
    </row>
    <row r="27" spans="2:52">
      <c r="B27" s="60">
        <v>44956</v>
      </c>
      <c r="C27" s="62" t="s">
        <v>257</v>
      </c>
      <c r="D27" s="79" t="s">
        <v>120</v>
      </c>
      <c r="E27" s="56">
        <v>47.72</v>
      </c>
      <c r="F27" s="76" t="s">
        <v>65</v>
      </c>
      <c r="G27" s="77">
        <f t="shared" si="31"/>
        <v>0</v>
      </c>
      <c r="H27" s="78">
        <f t="shared" si="32"/>
        <v>47.72</v>
      </c>
      <c r="I27" s="91" t="s">
        <v>258</v>
      </c>
      <c r="J27" s="72">
        <f t="shared" si="15"/>
        <v>0</v>
      </c>
      <c r="K27" s="72">
        <f t="shared" si="16"/>
        <v>0</v>
      </c>
      <c r="L27" s="72">
        <f t="shared" si="17"/>
        <v>47.72</v>
      </c>
      <c r="M27" s="72">
        <f t="shared" si="18"/>
        <v>0</v>
      </c>
      <c r="N27" s="72">
        <f t="shared" si="19"/>
        <v>0</v>
      </c>
      <c r="O27" s="72">
        <f t="shared" si="20"/>
        <v>0</v>
      </c>
      <c r="P27" s="72">
        <f t="shared" si="21"/>
        <v>0</v>
      </c>
      <c r="Q27" s="72">
        <f t="shared" si="22"/>
        <v>0</v>
      </c>
      <c r="R27" s="72">
        <f t="shared" si="23"/>
        <v>0</v>
      </c>
      <c r="S27" s="72">
        <f t="shared" si="24"/>
        <v>0</v>
      </c>
      <c r="T27" s="72">
        <f t="shared" si="25"/>
        <v>0</v>
      </c>
      <c r="U27" s="72">
        <f t="shared" si="26"/>
        <v>0</v>
      </c>
      <c r="V27" s="72"/>
      <c r="W27" s="72"/>
      <c r="X27" s="72"/>
      <c r="Z27" s="72">
        <f t="shared" si="3"/>
        <v>0</v>
      </c>
      <c r="AA27" s="72">
        <f t="shared" si="4"/>
        <v>0</v>
      </c>
      <c r="AB27" s="72">
        <f t="shared" si="5"/>
        <v>0</v>
      </c>
      <c r="AC27" s="72">
        <f t="shared" si="6"/>
        <v>0</v>
      </c>
      <c r="AD27" s="72">
        <f t="shared" si="7"/>
        <v>0</v>
      </c>
      <c r="AE27" s="72">
        <f t="shared" si="8"/>
        <v>0</v>
      </c>
      <c r="AF27" s="72">
        <f t="shared" si="9"/>
        <v>0</v>
      </c>
      <c r="AG27" s="72">
        <f t="shared" si="10"/>
        <v>0</v>
      </c>
      <c r="AH27" s="72">
        <f t="shared" si="11"/>
        <v>0</v>
      </c>
      <c r="AI27" s="72">
        <f t="shared" si="12"/>
        <v>0</v>
      </c>
      <c r="AJ27" s="72">
        <f t="shared" si="13"/>
        <v>0</v>
      </c>
      <c r="AK27" s="72">
        <f t="shared" si="14"/>
        <v>0</v>
      </c>
      <c r="AR27" s="59">
        <f>E15/3</f>
        <v>136.35999999999999</v>
      </c>
      <c r="AV27" s="112" t="s">
        <v>78</v>
      </c>
      <c r="AW27" s="54">
        <v>0</v>
      </c>
      <c r="AY27" s="164" t="s">
        <v>45</v>
      </c>
      <c r="AZ27" s="166">
        <f>AZ24+AZ25-AZ26</f>
        <v>1721.4099999999999</v>
      </c>
    </row>
    <row r="28" spans="2:52">
      <c r="B28" s="60">
        <v>44956</v>
      </c>
      <c r="C28" s="62" t="s">
        <v>257</v>
      </c>
      <c r="D28" s="79" t="s">
        <v>120</v>
      </c>
      <c r="E28" s="56">
        <v>32.97</v>
      </c>
      <c r="F28" s="76" t="s">
        <v>65</v>
      </c>
      <c r="G28" s="77">
        <f t="shared" si="31"/>
        <v>0</v>
      </c>
      <c r="H28" s="78">
        <f t="shared" si="32"/>
        <v>32.97</v>
      </c>
      <c r="I28" s="91"/>
      <c r="J28" s="72">
        <f t="shared" si="15"/>
        <v>0</v>
      </c>
      <c r="K28" s="72">
        <f t="shared" si="16"/>
        <v>0</v>
      </c>
      <c r="L28" s="72">
        <f t="shared" si="17"/>
        <v>32.97</v>
      </c>
      <c r="M28" s="72">
        <f t="shared" si="18"/>
        <v>0</v>
      </c>
      <c r="N28" s="72">
        <f t="shared" si="19"/>
        <v>0</v>
      </c>
      <c r="O28" s="72">
        <f t="shared" si="20"/>
        <v>0</v>
      </c>
      <c r="P28" s="72">
        <f t="shared" si="21"/>
        <v>0</v>
      </c>
      <c r="Q28" s="72">
        <f t="shared" si="22"/>
        <v>0</v>
      </c>
      <c r="R28" s="72">
        <f t="shared" si="23"/>
        <v>0</v>
      </c>
      <c r="S28" s="72">
        <f t="shared" si="24"/>
        <v>0</v>
      </c>
      <c r="T28" s="72">
        <f t="shared" si="25"/>
        <v>0</v>
      </c>
      <c r="U28" s="72">
        <f t="shared" si="26"/>
        <v>0</v>
      </c>
      <c r="V28" s="72"/>
      <c r="W28" s="72"/>
      <c r="X28" s="72"/>
      <c r="Z28" s="72">
        <f t="shared" si="3"/>
        <v>0</v>
      </c>
      <c r="AA28" s="72">
        <f t="shared" si="4"/>
        <v>0</v>
      </c>
      <c r="AB28" s="72">
        <f t="shared" si="5"/>
        <v>0</v>
      </c>
      <c r="AC28" s="72">
        <f t="shared" si="6"/>
        <v>0</v>
      </c>
      <c r="AD28" s="72">
        <f t="shared" si="7"/>
        <v>0</v>
      </c>
      <c r="AE28" s="72">
        <f t="shared" si="8"/>
        <v>0</v>
      </c>
      <c r="AF28" s="72">
        <f t="shared" si="9"/>
        <v>0</v>
      </c>
      <c r="AG28" s="72">
        <f t="shared" si="10"/>
        <v>0</v>
      </c>
      <c r="AH28" s="72">
        <f t="shared" si="11"/>
        <v>0</v>
      </c>
      <c r="AI28" s="72">
        <f t="shared" si="12"/>
        <v>0</v>
      </c>
      <c r="AJ28" s="72">
        <f t="shared" si="13"/>
        <v>0</v>
      </c>
      <c r="AK28" s="72">
        <f t="shared" si="14"/>
        <v>0</v>
      </c>
      <c r="AV28" s="112" t="s">
        <v>45</v>
      </c>
      <c r="AW28" s="1">
        <f>+SUM(AW24:AW27)</f>
        <v>0</v>
      </c>
    </row>
    <row r="29" spans="2:52">
      <c r="B29" s="60">
        <v>44956</v>
      </c>
      <c r="C29" s="62" t="s">
        <v>259</v>
      </c>
      <c r="D29" s="79" t="s">
        <v>120</v>
      </c>
      <c r="E29" s="56">
        <v>35.24</v>
      </c>
      <c r="F29" s="76" t="s">
        <v>65</v>
      </c>
      <c r="G29" s="77">
        <f t="shared" si="31"/>
        <v>0</v>
      </c>
      <c r="H29" s="78">
        <f t="shared" si="32"/>
        <v>35.24</v>
      </c>
      <c r="I29" s="91" t="s">
        <v>258</v>
      </c>
      <c r="J29" s="72">
        <f t="shared" si="15"/>
        <v>0</v>
      </c>
      <c r="K29" s="72">
        <f t="shared" si="16"/>
        <v>0</v>
      </c>
      <c r="L29" s="72">
        <f t="shared" si="17"/>
        <v>35.24</v>
      </c>
      <c r="M29" s="72">
        <f t="shared" si="18"/>
        <v>0</v>
      </c>
      <c r="N29" s="72">
        <f t="shared" si="19"/>
        <v>0</v>
      </c>
      <c r="O29" s="72">
        <f t="shared" si="20"/>
        <v>0</v>
      </c>
      <c r="P29" s="72">
        <f t="shared" si="21"/>
        <v>0</v>
      </c>
      <c r="Q29" s="72">
        <f t="shared" si="22"/>
        <v>0</v>
      </c>
      <c r="R29" s="72">
        <f t="shared" si="23"/>
        <v>0</v>
      </c>
      <c r="S29" s="72">
        <f t="shared" si="24"/>
        <v>0</v>
      </c>
      <c r="T29" s="72">
        <f t="shared" si="25"/>
        <v>0</v>
      </c>
      <c r="U29" s="72">
        <f t="shared" si="26"/>
        <v>0</v>
      </c>
      <c r="V29" s="72"/>
      <c r="W29" s="72"/>
      <c r="X29" s="72"/>
      <c r="Z29" s="72">
        <f t="shared" si="3"/>
        <v>0</v>
      </c>
      <c r="AA29" s="72">
        <f t="shared" si="4"/>
        <v>0</v>
      </c>
      <c r="AB29" s="72">
        <f t="shared" si="5"/>
        <v>0</v>
      </c>
      <c r="AC29" s="72">
        <f t="shared" si="6"/>
        <v>0</v>
      </c>
      <c r="AD29" s="72">
        <f t="shared" si="7"/>
        <v>0</v>
      </c>
      <c r="AE29" s="72">
        <f t="shared" si="8"/>
        <v>0</v>
      </c>
      <c r="AF29" s="72">
        <f t="shared" si="9"/>
        <v>0</v>
      </c>
      <c r="AG29" s="72">
        <f t="shared" si="10"/>
        <v>0</v>
      </c>
      <c r="AH29" s="72">
        <f t="shared" si="11"/>
        <v>0</v>
      </c>
      <c r="AI29" s="72">
        <f t="shared" si="12"/>
        <v>0</v>
      </c>
      <c r="AJ29" s="72">
        <f t="shared" si="13"/>
        <v>0</v>
      </c>
      <c r="AK29" s="72">
        <f t="shared" si="14"/>
        <v>0</v>
      </c>
      <c r="AV29" s="112"/>
      <c r="AW29" s="1"/>
    </row>
    <row r="30" spans="2:52" ht="17.25" thickBot="1">
      <c r="B30" s="60">
        <v>44966</v>
      </c>
      <c r="C30" s="62" t="s">
        <v>261</v>
      </c>
      <c r="D30" s="79" t="s">
        <v>120</v>
      </c>
      <c r="E30" s="56">
        <v>84.76</v>
      </c>
      <c r="F30" s="76" t="s">
        <v>65</v>
      </c>
      <c r="G30" s="77">
        <f t="shared" si="31"/>
        <v>0</v>
      </c>
      <c r="H30" s="78">
        <f t="shared" si="32"/>
        <v>84.76</v>
      </c>
      <c r="I30" s="91" t="s">
        <v>264</v>
      </c>
      <c r="J30" s="72">
        <f t="shared" si="15"/>
        <v>0</v>
      </c>
      <c r="K30" s="72">
        <f t="shared" si="16"/>
        <v>0</v>
      </c>
      <c r="L30" s="72">
        <f t="shared" si="17"/>
        <v>84.76</v>
      </c>
      <c r="M30" s="72">
        <f t="shared" si="18"/>
        <v>0</v>
      </c>
      <c r="N30" s="72">
        <f t="shared" si="19"/>
        <v>0</v>
      </c>
      <c r="O30" s="72">
        <f t="shared" si="20"/>
        <v>0</v>
      </c>
      <c r="P30" s="72">
        <f t="shared" si="21"/>
        <v>0</v>
      </c>
      <c r="Q30" s="72">
        <f t="shared" si="22"/>
        <v>0</v>
      </c>
      <c r="R30" s="72">
        <f t="shared" si="23"/>
        <v>0</v>
      </c>
      <c r="S30" s="72">
        <f t="shared" si="24"/>
        <v>0</v>
      </c>
      <c r="T30" s="72">
        <f t="shared" si="25"/>
        <v>0</v>
      </c>
      <c r="U30" s="72">
        <f t="shared" si="26"/>
        <v>0</v>
      </c>
      <c r="V30" s="72"/>
      <c r="W30" s="72"/>
      <c r="X30" s="72"/>
      <c r="Z30" s="72">
        <f t="shared" si="3"/>
        <v>0</v>
      </c>
      <c r="AA30" s="72">
        <f t="shared" si="4"/>
        <v>0</v>
      </c>
      <c r="AB30" s="72">
        <f t="shared" si="5"/>
        <v>0</v>
      </c>
      <c r="AC30" s="72">
        <f t="shared" si="6"/>
        <v>0</v>
      </c>
      <c r="AD30" s="72">
        <f t="shared" si="7"/>
        <v>0</v>
      </c>
      <c r="AE30" s="72">
        <f t="shared" si="8"/>
        <v>0</v>
      </c>
      <c r="AF30" s="72">
        <f t="shared" si="9"/>
        <v>0</v>
      </c>
      <c r="AG30" s="72">
        <f t="shared" si="10"/>
        <v>0</v>
      </c>
      <c r="AH30" s="72">
        <f t="shared" si="11"/>
        <v>0</v>
      </c>
      <c r="AI30" s="72">
        <f t="shared" si="12"/>
        <v>0</v>
      </c>
      <c r="AJ30" s="72">
        <f t="shared" si="13"/>
        <v>0</v>
      </c>
      <c r="AK30" s="72">
        <f t="shared" si="14"/>
        <v>0</v>
      </c>
      <c r="AV30" s="1"/>
      <c r="AW30" s="1"/>
    </row>
    <row r="31" spans="2:52" ht="1.5" customHeight="1" thickBot="1">
      <c r="B31" s="60"/>
      <c r="C31" s="62"/>
      <c r="D31" s="79"/>
      <c r="E31" s="56"/>
      <c r="F31" s="76"/>
      <c r="G31" s="77">
        <f t="shared" si="31"/>
        <v>0</v>
      </c>
      <c r="H31" s="78">
        <f t="shared" si="32"/>
        <v>0</v>
      </c>
      <c r="I31" s="91"/>
      <c r="J31" s="72">
        <f t="shared" si="15"/>
        <v>0</v>
      </c>
      <c r="K31" s="72">
        <f t="shared" si="16"/>
        <v>0</v>
      </c>
      <c r="L31" s="72">
        <f t="shared" si="17"/>
        <v>0</v>
      </c>
      <c r="M31" s="72">
        <f t="shared" si="18"/>
        <v>0</v>
      </c>
      <c r="N31" s="72">
        <f t="shared" si="19"/>
        <v>0</v>
      </c>
      <c r="O31" s="72">
        <f t="shared" si="20"/>
        <v>0</v>
      </c>
      <c r="P31" s="72">
        <f t="shared" si="21"/>
        <v>0</v>
      </c>
      <c r="Q31" s="72">
        <f t="shared" si="22"/>
        <v>0</v>
      </c>
      <c r="R31" s="72">
        <f t="shared" si="23"/>
        <v>0</v>
      </c>
      <c r="S31" s="72">
        <f t="shared" si="24"/>
        <v>0</v>
      </c>
      <c r="T31" s="72">
        <f t="shared" si="25"/>
        <v>0</v>
      </c>
      <c r="U31" s="72">
        <f t="shared" si="26"/>
        <v>0</v>
      </c>
      <c r="V31" s="72"/>
      <c r="W31" s="72"/>
      <c r="X31" s="72"/>
      <c r="Z31" s="72">
        <f t="shared" si="3"/>
        <v>0</v>
      </c>
      <c r="AA31" s="72">
        <f t="shared" si="4"/>
        <v>0</v>
      </c>
      <c r="AB31" s="72">
        <f t="shared" si="5"/>
        <v>0</v>
      </c>
      <c r="AC31" s="72">
        <f t="shared" si="6"/>
        <v>0</v>
      </c>
      <c r="AD31" s="72">
        <f t="shared" si="7"/>
        <v>0</v>
      </c>
      <c r="AE31" s="72">
        <f t="shared" si="8"/>
        <v>0</v>
      </c>
      <c r="AF31" s="72">
        <f t="shared" si="9"/>
        <v>0</v>
      </c>
      <c r="AG31" s="72">
        <f t="shared" si="10"/>
        <v>0</v>
      </c>
      <c r="AH31" s="72">
        <f t="shared" si="11"/>
        <v>0</v>
      </c>
      <c r="AI31" s="72">
        <f t="shared" si="12"/>
        <v>0</v>
      </c>
      <c r="AJ31" s="72">
        <f t="shared" si="13"/>
        <v>0</v>
      </c>
      <c r="AK31" s="72">
        <f t="shared" si="14"/>
        <v>0</v>
      </c>
      <c r="AV31" s="112" t="s">
        <v>80</v>
      </c>
      <c r="AW31" s="113">
        <f>AW28/2</f>
        <v>0</v>
      </c>
    </row>
    <row r="32" spans="2:52" hidden="1">
      <c r="B32" s="60"/>
      <c r="C32" s="62"/>
      <c r="D32" s="79"/>
      <c r="E32" s="56"/>
      <c r="F32" s="76"/>
      <c r="G32" s="77">
        <f t="shared" si="31"/>
        <v>0</v>
      </c>
      <c r="H32" s="78">
        <f t="shared" si="32"/>
        <v>0</v>
      </c>
      <c r="I32" s="91"/>
      <c r="J32" s="72">
        <f t="shared" si="15"/>
        <v>0</v>
      </c>
      <c r="K32" s="72">
        <f t="shared" si="16"/>
        <v>0</v>
      </c>
      <c r="L32" s="72">
        <f t="shared" si="17"/>
        <v>0</v>
      </c>
      <c r="M32" s="72">
        <f t="shared" si="18"/>
        <v>0</v>
      </c>
      <c r="N32" s="72">
        <f t="shared" si="19"/>
        <v>0</v>
      </c>
      <c r="O32" s="72">
        <f t="shared" si="20"/>
        <v>0</v>
      </c>
      <c r="P32" s="72">
        <f t="shared" si="21"/>
        <v>0</v>
      </c>
      <c r="Q32" s="72">
        <f t="shared" si="22"/>
        <v>0</v>
      </c>
      <c r="R32" s="72">
        <f t="shared" si="23"/>
        <v>0</v>
      </c>
      <c r="S32" s="72">
        <f t="shared" si="24"/>
        <v>0</v>
      </c>
      <c r="T32" s="72">
        <f t="shared" si="25"/>
        <v>0</v>
      </c>
      <c r="U32" s="72">
        <f t="shared" si="26"/>
        <v>0</v>
      </c>
      <c r="V32" s="72"/>
      <c r="W32" s="72"/>
      <c r="X32" s="72"/>
      <c r="Z32" s="72">
        <f t="shared" si="3"/>
        <v>0</v>
      </c>
      <c r="AA32" s="72">
        <f t="shared" si="4"/>
        <v>0</v>
      </c>
      <c r="AB32" s="72">
        <f t="shared" si="5"/>
        <v>0</v>
      </c>
      <c r="AC32" s="72">
        <f t="shared" si="6"/>
        <v>0</v>
      </c>
      <c r="AD32" s="72">
        <f t="shared" si="7"/>
        <v>0</v>
      </c>
      <c r="AE32" s="72">
        <f t="shared" si="8"/>
        <v>0</v>
      </c>
      <c r="AF32" s="72">
        <f t="shared" si="9"/>
        <v>0</v>
      </c>
      <c r="AG32" s="72">
        <f t="shared" si="10"/>
        <v>0</v>
      </c>
      <c r="AH32" s="72">
        <f t="shared" si="11"/>
        <v>0</v>
      </c>
      <c r="AI32" s="72">
        <f t="shared" si="12"/>
        <v>0</v>
      </c>
      <c r="AJ32" s="72">
        <f t="shared" si="13"/>
        <v>0</v>
      </c>
      <c r="AK32" s="72">
        <f t="shared" si="14"/>
        <v>0</v>
      </c>
    </row>
    <row r="33" spans="2:45" hidden="1">
      <c r="B33" s="60"/>
      <c r="C33" s="62"/>
      <c r="D33" s="79"/>
      <c r="E33" s="56"/>
      <c r="F33" s="76"/>
      <c r="G33" s="77">
        <f t="shared" si="31"/>
        <v>0</v>
      </c>
      <c r="H33" s="78">
        <f t="shared" si="32"/>
        <v>0</v>
      </c>
      <c r="I33" s="91"/>
      <c r="J33" s="72">
        <f t="shared" si="15"/>
        <v>0</v>
      </c>
      <c r="K33" s="72">
        <f t="shared" si="16"/>
        <v>0</v>
      </c>
      <c r="L33" s="72">
        <f t="shared" si="17"/>
        <v>0</v>
      </c>
      <c r="M33" s="72">
        <f t="shared" si="18"/>
        <v>0</v>
      </c>
      <c r="N33" s="72">
        <f t="shared" si="19"/>
        <v>0</v>
      </c>
      <c r="O33" s="72">
        <f t="shared" si="20"/>
        <v>0</v>
      </c>
      <c r="P33" s="72">
        <f t="shared" si="21"/>
        <v>0</v>
      </c>
      <c r="Q33" s="72">
        <f t="shared" si="22"/>
        <v>0</v>
      </c>
      <c r="R33" s="72">
        <f t="shared" si="23"/>
        <v>0</v>
      </c>
      <c r="S33" s="72">
        <f t="shared" si="24"/>
        <v>0</v>
      </c>
      <c r="T33" s="72">
        <f t="shared" si="25"/>
        <v>0</v>
      </c>
      <c r="U33" s="72">
        <f t="shared" si="26"/>
        <v>0</v>
      </c>
      <c r="V33" s="72"/>
      <c r="W33" s="72"/>
      <c r="X33" s="72"/>
      <c r="Z33" s="72">
        <f t="shared" si="3"/>
        <v>0</v>
      </c>
      <c r="AA33" s="72">
        <f t="shared" si="4"/>
        <v>0</v>
      </c>
      <c r="AB33" s="72">
        <f t="shared" si="5"/>
        <v>0</v>
      </c>
      <c r="AC33" s="72">
        <f t="shared" si="6"/>
        <v>0</v>
      </c>
      <c r="AD33" s="72">
        <f t="shared" si="7"/>
        <v>0</v>
      </c>
      <c r="AE33" s="72">
        <f t="shared" si="8"/>
        <v>0</v>
      </c>
      <c r="AF33" s="72">
        <f t="shared" si="9"/>
        <v>0</v>
      </c>
      <c r="AG33" s="72">
        <f t="shared" si="10"/>
        <v>0</v>
      </c>
      <c r="AH33" s="72">
        <f t="shared" si="11"/>
        <v>0</v>
      </c>
      <c r="AI33" s="72">
        <f t="shared" si="12"/>
        <v>0</v>
      </c>
      <c r="AJ33" s="72">
        <f t="shared" si="13"/>
        <v>0</v>
      </c>
      <c r="AK33" s="72">
        <f t="shared" si="14"/>
        <v>0</v>
      </c>
    </row>
    <row r="34" spans="2:45" hidden="1">
      <c r="B34" s="60"/>
      <c r="C34" s="62"/>
      <c r="D34" s="79"/>
      <c r="E34" s="56"/>
      <c r="F34" s="76"/>
      <c r="G34" s="77">
        <f t="shared" si="31"/>
        <v>0</v>
      </c>
      <c r="H34" s="78">
        <f t="shared" si="32"/>
        <v>0</v>
      </c>
      <c r="I34" s="91"/>
      <c r="J34" s="72">
        <f t="shared" si="15"/>
        <v>0</v>
      </c>
      <c r="K34" s="72">
        <f t="shared" si="16"/>
        <v>0</v>
      </c>
      <c r="L34" s="72">
        <f t="shared" si="17"/>
        <v>0</v>
      </c>
      <c r="M34" s="72">
        <f t="shared" si="18"/>
        <v>0</v>
      </c>
      <c r="N34" s="72">
        <f t="shared" si="19"/>
        <v>0</v>
      </c>
      <c r="O34" s="72">
        <f t="shared" si="20"/>
        <v>0</v>
      </c>
      <c r="P34" s="72">
        <f t="shared" si="21"/>
        <v>0</v>
      </c>
      <c r="Q34" s="72">
        <f t="shared" si="22"/>
        <v>0</v>
      </c>
      <c r="R34" s="72">
        <f t="shared" si="23"/>
        <v>0</v>
      </c>
      <c r="S34" s="72">
        <f t="shared" si="24"/>
        <v>0</v>
      </c>
      <c r="T34" s="72">
        <f t="shared" si="25"/>
        <v>0</v>
      </c>
      <c r="U34" s="72">
        <f t="shared" si="26"/>
        <v>0</v>
      </c>
      <c r="V34" s="72"/>
      <c r="W34" s="72"/>
      <c r="X34" s="72"/>
      <c r="Z34" s="72">
        <f t="shared" si="3"/>
        <v>0</v>
      </c>
      <c r="AA34" s="72">
        <f t="shared" si="4"/>
        <v>0</v>
      </c>
      <c r="AB34" s="72">
        <f t="shared" si="5"/>
        <v>0</v>
      </c>
      <c r="AC34" s="72">
        <f t="shared" si="6"/>
        <v>0</v>
      </c>
      <c r="AD34" s="72">
        <f t="shared" si="7"/>
        <v>0</v>
      </c>
      <c r="AE34" s="72">
        <f t="shared" si="8"/>
        <v>0</v>
      </c>
      <c r="AF34" s="72">
        <f t="shared" si="9"/>
        <v>0</v>
      </c>
      <c r="AG34" s="72">
        <f t="shared" si="10"/>
        <v>0</v>
      </c>
      <c r="AH34" s="72">
        <f t="shared" si="11"/>
        <v>0</v>
      </c>
      <c r="AI34" s="72">
        <f t="shared" si="12"/>
        <v>0</v>
      </c>
      <c r="AJ34" s="72">
        <f t="shared" si="13"/>
        <v>0</v>
      </c>
      <c r="AK34" s="72">
        <f t="shared" si="14"/>
        <v>0</v>
      </c>
    </row>
    <row r="35" spans="2:45" hidden="1">
      <c r="B35" s="60"/>
      <c r="C35" s="62"/>
      <c r="D35" s="79"/>
      <c r="E35" s="56"/>
      <c r="F35" s="76"/>
      <c r="G35" s="77">
        <f t="shared" si="31"/>
        <v>0</v>
      </c>
      <c r="H35" s="78">
        <f t="shared" si="32"/>
        <v>0</v>
      </c>
      <c r="I35" s="91"/>
      <c r="J35" s="72">
        <f t="shared" si="15"/>
        <v>0</v>
      </c>
      <c r="K35" s="72">
        <f t="shared" si="16"/>
        <v>0</v>
      </c>
      <c r="L35" s="72">
        <f t="shared" si="17"/>
        <v>0</v>
      </c>
      <c r="M35" s="72">
        <f t="shared" si="18"/>
        <v>0</v>
      </c>
      <c r="N35" s="72">
        <f t="shared" si="19"/>
        <v>0</v>
      </c>
      <c r="O35" s="72">
        <f t="shared" si="20"/>
        <v>0</v>
      </c>
      <c r="P35" s="72">
        <f t="shared" si="21"/>
        <v>0</v>
      </c>
      <c r="Q35" s="72">
        <f t="shared" si="22"/>
        <v>0</v>
      </c>
      <c r="R35" s="72">
        <f t="shared" si="23"/>
        <v>0</v>
      </c>
      <c r="S35" s="72">
        <f t="shared" si="24"/>
        <v>0</v>
      </c>
      <c r="T35" s="72">
        <f t="shared" si="25"/>
        <v>0</v>
      </c>
      <c r="U35" s="72">
        <f t="shared" si="26"/>
        <v>0</v>
      </c>
      <c r="V35" s="72"/>
      <c r="W35" s="72"/>
      <c r="X35" s="72"/>
      <c r="Z35" s="72">
        <f t="shared" si="3"/>
        <v>0</v>
      </c>
      <c r="AA35" s="72">
        <f t="shared" si="4"/>
        <v>0</v>
      </c>
      <c r="AB35" s="72">
        <f t="shared" si="5"/>
        <v>0</v>
      </c>
      <c r="AC35" s="72">
        <f t="shared" si="6"/>
        <v>0</v>
      </c>
      <c r="AD35" s="72">
        <f t="shared" si="7"/>
        <v>0</v>
      </c>
      <c r="AE35" s="72">
        <f t="shared" si="8"/>
        <v>0</v>
      </c>
      <c r="AF35" s="72">
        <f t="shared" si="9"/>
        <v>0</v>
      </c>
      <c r="AG35" s="72">
        <f t="shared" si="10"/>
        <v>0</v>
      </c>
      <c r="AH35" s="72">
        <f t="shared" si="11"/>
        <v>0</v>
      </c>
      <c r="AI35" s="72">
        <f t="shared" si="12"/>
        <v>0</v>
      </c>
      <c r="AJ35" s="72">
        <f t="shared" si="13"/>
        <v>0</v>
      </c>
      <c r="AK35" s="72">
        <f t="shared" si="14"/>
        <v>0</v>
      </c>
    </row>
    <row r="36" spans="2:45" hidden="1">
      <c r="B36" s="60"/>
      <c r="C36" s="62"/>
      <c r="D36" s="79"/>
      <c r="E36" s="56"/>
      <c r="F36" s="76"/>
      <c r="G36" s="77">
        <f t="shared" si="31"/>
        <v>0</v>
      </c>
      <c r="H36" s="78">
        <f t="shared" si="32"/>
        <v>0</v>
      </c>
      <c r="I36" s="91"/>
      <c r="J36" s="72">
        <f t="shared" si="15"/>
        <v>0</v>
      </c>
      <c r="K36" s="72">
        <f t="shared" si="16"/>
        <v>0</v>
      </c>
      <c r="L36" s="72">
        <f t="shared" si="17"/>
        <v>0</v>
      </c>
      <c r="M36" s="72">
        <f t="shared" si="18"/>
        <v>0</v>
      </c>
      <c r="N36" s="72">
        <f t="shared" si="19"/>
        <v>0</v>
      </c>
      <c r="O36" s="72">
        <f t="shared" si="20"/>
        <v>0</v>
      </c>
      <c r="P36" s="72">
        <f t="shared" si="21"/>
        <v>0</v>
      </c>
      <c r="Q36" s="72">
        <f t="shared" si="22"/>
        <v>0</v>
      </c>
      <c r="R36" s="72">
        <f t="shared" si="23"/>
        <v>0</v>
      </c>
      <c r="S36" s="72">
        <f t="shared" si="24"/>
        <v>0</v>
      </c>
      <c r="T36" s="72">
        <f t="shared" si="25"/>
        <v>0</v>
      </c>
      <c r="U36" s="72">
        <f t="shared" si="26"/>
        <v>0</v>
      </c>
      <c r="V36" s="72"/>
      <c r="W36" s="72"/>
      <c r="X36" s="72"/>
      <c r="Z36" s="72">
        <f t="shared" si="3"/>
        <v>0</v>
      </c>
      <c r="AA36" s="72">
        <f t="shared" si="4"/>
        <v>0</v>
      </c>
      <c r="AB36" s="72">
        <f t="shared" si="5"/>
        <v>0</v>
      </c>
      <c r="AC36" s="72">
        <f t="shared" si="6"/>
        <v>0</v>
      </c>
      <c r="AD36" s="72">
        <f t="shared" si="7"/>
        <v>0</v>
      </c>
      <c r="AE36" s="72">
        <f t="shared" si="8"/>
        <v>0</v>
      </c>
      <c r="AF36" s="72">
        <f t="shared" si="9"/>
        <v>0</v>
      </c>
      <c r="AG36" s="72">
        <f t="shared" si="10"/>
        <v>0</v>
      </c>
      <c r="AH36" s="72">
        <f t="shared" si="11"/>
        <v>0</v>
      </c>
      <c r="AI36" s="72">
        <f t="shared" si="12"/>
        <v>0</v>
      </c>
      <c r="AJ36" s="72">
        <f t="shared" si="13"/>
        <v>0</v>
      </c>
      <c r="AK36" s="72">
        <f t="shared" si="14"/>
        <v>0</v>
      </c>
    </row>
    <row r="37" spans="2:45" hidden="1">
      <c r="B37" s="60"/>
      <c r="C37" s="62"/>
      <c r="D37" s="79"/>
      <c r="E37" s="56"/>
      <c r="F37" s="76"/>
      <c r="G37" s="77">
        <f t="shared" si="31"/>
        <v>0</v>
      </c>
      <c r="H37" s="78">
        <f t="shared" si="32"/>
        <v>0</v>
      </c>
      <c r="I37" s="91"/>
      <c r="J37" s="72">
        <f t="shared" si="15"/>
        <v>0</v>
      </c>
      <c r="K37" s="72">
        <f t="shared" si="16"/>
        <v>0</v>
      </c>
      <c r="L37" s="72">
        <f t="shared" si="17"/>
        <v>0</v>
      </c>
      <c r="M37" s="72">
        <f t="shared" si="18"/>
        <v>0</v>
      </c>
      <c r="N37" s="72">
        <f t="shared" si="19"/>
        <v>0</v>
      </c>
      <c r="O37" s="72">
        <f t="shared" si="20"/>
        <v>0</v>
      </c>
      <c r="P37" s="72">
        <f t="shared" si="21"/>
        <v>0</v>
      </c>
      <c r="Q37" s="72">
        <f t="shared" si="22"/>
        <v>0</v>
      </c>
      <c r="R37" s="72">
        <f t="shared" si="23"/>
        <v>0</v>
      </c>
      <c r="S37" s="72">
        <f t="shared" si="24"/>
        <v>0</v>
      </c>
      <c r="T37" s="72">
        <f t="shared" si="25"/>
        <v>0</v>
      </c>
      <c r="U37" s="72">
        <f t="shared" si="26"/>
        <v>0</v>
      </c>
      <c r="V37" s="72"/>
      <c r="W37" s="72"/>
      <c r="X37" s="72"/>
      <c r="Z37" s="72">
        <f t="shared" si="3"/>
        <v>0</v>
      </c>
      <c r="AA37" s="72">
        <f t="shared" si="4"/>
        <v>0</v>
      </c>
      <c r="AB37" s="72">
        <f t="shared" si="5"/>
        <v>0</v>
      </c>
      <c r="AC37" s="72">
        <f t="shared" si="6"/>
        <v>0</v>
      </c>
      <c r="AD37" s="72">
        <f t="shared" si="7"/>
        <v>0</v>
      </c>
      <c r="AE37" s="72">
        <f t="shared" si="8"/>
        <v>0</v>
      </c>
      <c r="AF37" s="72">
        <f t="shared" si="9"/>
        <v>0</v>
      </c>
      <c r="AG37" s="72">
        <f t="shared" si="10"/>
        <v>0</v>
      </c>
      <c r="AH37" s="72">
        <f t="shared" si="11"/>
        <v>0</v>
      </c>
      <c r="AI37" s="72">
        <f t="shared" si="12"/>
        <v>0</v>
      </c>
      <c r="AJ37" s="72">
        <f t="shared" si="13"/>
        <v>0</v>
      </c>
      <c r="AK37" s="72">
        <f t="shared" si="14"/>
        <v>0</v>
      </c>
      <c r="AS37" s="59">
        <f>495.95+SUM(H13:H16)</f>
        <v>756.42666666666673</v>
      </c>
    </row>
    <row r="38" spans="2:45" hidden="1">
      <c r="B38" s="60"/>
      <c r="C38" s="62"/>
      <c r="D38" s="79"/>
      <c r="E38" s="56"/>
      <c r="F38" s="76"/>
      <c r="G38" s="77">
        <f t="shared" si="31"/>
        <v>0</v>
      </c>
      <c r="H38" s="78">
        <f t="shared" si="32"/>
        <v>0</v>
      </c>
      <c r="I38" s="91"/>
      <c r="J38" s="72">
        <f t="shared" si="15"/>
        <v>0</v>
      </c>
      <c r="K38" s="72">
        <f t="shared" si="16"/>
        <v>0</v>
      </c>
      <c r="L38" s="72">
        <f t="shared" si="17"/>
        <v>0</v>
      </c>
      <c r="M38" s="72">
        <f t="shared" si="18"/>
        <v>0</v>
      </c>
      <c r="N38" s="72">
        <f t="shared" si="19"/>
        <v>0</v>
      </c>
      <c r="O38" s="72">
        <f t="shared" si="20"/>
        <v>0</v>
      </c>
      <c r="P38" s="72">
        <f t="shared" si="21"/>
        <v>0</v>
      </c>
      <c r="Q38" s="72">
        <f t="shared" si="22"/>
        <v>0</v>
      </c>
      <c r="R38" s="72">
        <f t="shared" si="23"/>
        <v>0</v>
      </c>
      <c r="S38" s="72">
        <f t="shared" si="24"/>
        <v>0</v>
      </c>
      <c r="T38" s="72">
        <f t="shared" si="25"/>
        <v>0</v>
      </c>
      <c r="U38" s="72">
        <f t="shared" si="26"/>
        <v>0</v>
      </c>
      <c r="V38" s="72"/>
      <c r="W38" s="72"/>
      <c r="X38" s="72"/>
      <c r="Z38" s="72">
        <f t="shared" si="3"/>
        <v>0</v>
      </c>
      <c r="AA38" s="72">
        <f t="shared" si="4"/>
        <v>0</v>
      </c>
      <c r="AB38" s="72">
        <f t="shared" si="5"/>
        <v>0</v>
      </c>
      <c r="AC38" s="72">
        <f t="shared" si="6"/>
        <v>0</v>
      </c>
      <c r="AD38" s="72">
        <f t="shared" si="7"/>
        <v>0</v>
      </c>
      <c r="AE38" s="72">
        <f t="shared" si="8"/>
        <v>0</v>
      </c>
      <c r="AF38" s="72">
        <f t="shared" si="9"/>
        <v>0</v>
      </c>
      <c r="AG38" s="72">
        <f t="shared" si="10"/>
        <v>0</v>
      </c>
      <c r="AH38" s="72">
        <f t="shared" si="11"/>
        <v>0</v>
      </c>
      <c r="AI38" s="72">
        <f t="shared" si="12"/>
        <v>0</v>
      </c>
      <c r="AJ38" s="72">
        <f t="shared" si="13"/>
        <v>0</v>
      </c>
      <c r="AK38" s="72">
        <f t="shared" si="14"/>
        <v>0</v>
      </c>
    </row>
    <row r="39" spans="2:45" hidden="1">
      <c r="B39" s="60"/>
      <c r="C39" s="62"/>
      <c r="D39" s="79"/>
      <c r="E39" s="56"/>
      <c r="F39" s="76"/>
      <c r="G39" s="77">
        <f t="shared" si="31"/>
        <v>0</v>
      </c>
      <c r="H39" s="78">
        <f t="shared" si="32"/>
        <v>0</v>
      </c>
      <c r="I39" s="91"/>
      <c r="J39" s="72">
        <f t="shared" si="15"/>
        <v>0</v>
      </c>
      <c r="K39" s="72">
        <f t="shared" si="16"/>
        <v>0</v>
      </c>
      <c r="L39" s="72">
        <f t="shared" si="17"/>
        <v>0</v>
      </c>
      <c r="M39" s="72">
        <f t="shared" si="18"/>
        <v>0</v>
      </c>
      <c r="N39" s="72">
        <f t="shared" si="19"/>
        <v>0</v>
      </c>
      <c r="O39" s="72">
        <f t="shared" si="20"/>
        <v>0</v>
      </c>
      <c r="P39" s="72">
        <f t="shared" si="21"/>
        <v>0</v>
      </c>
      <c r="Q39" s="72">
        <f t="shared" si="22"/>
        <v>0</v>
      </c>
      <c r="R39" s="72">
        <f t="shared" si="23"/>
        <v>0</v>
      </c>
      <c r="S39" s="72">
        <f t="shared" si="24"/>
        <v>0</v>
      </c>
      <c r="T39" s="72">
        <f t="shared" si="25"/>
        <v>0</v>
      </c>
      <c r="U39" s="72">
        <f t="shared" si="26"/>
        <v>0</v>
      </c>
      <c r="V39" s="72"/>
      <c r="W39" s="72"/>
      <c r="X39" s="72"/>
      <c r="Z39" s="72">
        <f t="shared" si="3"/>
        <v>0</v>
      </c>
      <c r="AA39" s="72">
        <f t="shared" si="4"/>
        <v>0</v>
      </c>
      <c r="AB39" s="72">
        <f t="shared" si="5"/>
        <v>0</v>
      </c>
      <c r="AC39" s="72">
        <f t="shared" si="6"/>
        <v>0</v>
      </c>
      <c r="AD39" s="72">
        <f t="shared" si="7"/>
        <v>0</v>
      </c>
      <c r="AE39" s="72">
        <f t="shared" si="8"/>
        <v>0</v>
      </c>
      <c r="AF39" s="72">
        <f t="shared" si="9"/>
        <v>0</v>
      </c>
      <c r="AG39" s="72">
        <f t="shared" si="10"/>
        <v>0</v>
      </c>
      <c r="AH39" s="72">
        <f t="shared" si="11"/>
        <v>0</v>
      </c>
      <c r="AI39" s="72">
        <f t="shared" si="12"/>
        <v>0</v>
      </c>
      <c r="AJ39" s="72">
        <f t="shared" si="13"/>
        <v>0</v>
      </c>
      <c r="AK39" s="72">
        <f t="shared" si="14"/>
        <v>0</v>
      </c>
    </row>
    <row r="40" spans="2:45" hidden="1">
      <c r="B40" s="60"/>
      <c r="C40" s="62"/>
      <c r="D40" s="79"/>
      <c r="E40" s="56"/>
      <c r="F40" s="76"/>
      <c r="G40" s="77">
        <f t="shared" si="31"/>
        <v>0</v>
      </c>
      <c r="H40" s="78">
        <f t="shared" si="32"/>
        <v>0</v>
      </c>
      <c r="I40" s="91"/>
      <c r="J40" s="72">
        <f t="shared" si="15"/>
        <v>0</v>
      </c>
      <c r="K40" s="72">
        <f t="shared" si="16"/>
        <v>0</v>
      </c>
      <c r="L40" s="72">
        <f t="shared" si="17"/>
        <v>0</v>
      </c>
      <c r="M40" s="72">
        <f t="shared" si="18"/>
        <v>0</v>
      </c>
      <c r="N40" s="72">
        <f t="shared" si="19"/>
        <v>0</v>
      </c>
      <c r="O40" s="72">
        <f t="shared" si="20"/>
        <v>0</v>
      </c>
      <c r="P40" s="72">
        <f t="shared" si="21"/>
        <v>0</v>
      </c>
      <c r="Q40" s="72">
        <f t="shared" si="22"/>
        <v>0</v>
      </c>
      <c r="R40" s="72">
        <f t="shared" si="23"/>
        <v>0</v>
      </c>
      <c r="S40" s="72">
        <f t="shared" si="24"/>
        <v>0</v>
      </c>
      <c r="T40" s="72">
        <f t="shared" si="25"/>
        <v>0</v>
      </c>
      <c r="U40" s="72">
        <f t="shared" si="26"/>
        <v>0</v>
      </c>
      <c r="V40" s="72"/>
      <c r="W40" s="72"/>
      <c r="X40" s="72"/>
      <c r="Z40" s="72">
        <f t="shared" si="3"/>
        <v>0</v>
      </c>
      <c r="AA40" s="72">
        <f t="shared" si="4"/>
        <v>0</v>
      </c>
      <c r="AB40" s="72">
        <f t="shared" si="5"/>
        <v>0</v>
      </c>
      <c r="AC40" s="72">
        <f t="shared" si="6"/>
        <v>0</v>
      </c>
      <c r="AD40" s="72">
        <f t="shared" si="7"/>
        <v>0</v>
      </c>
      <c r="AE40" s="72">
        <f t="shared" si="8"/>
        <v>0</v>
      </c>
      <c r="AF40" s="72">
        <f t="shared" si="9"/>
        <v>0</v>
      </c>
      <c r="AG40" s="72">
        <f t="shared" si="10"/>
        <v>0</v>
      </c>
      <c r="AH40" s="72">
        <f t="shared" si="11"/>
        <v>0</v>
      </c>
      <c r="AI40" s="72">
        <f t="shared" si="12"/>
        <v>0</v>
      </c>
      <c r="AJ40" s="72">
        <f t="shared" si="13"/>
        <v>0</v>
      </c>
      <c r="AK40" s="72">
        <f t="shared" si="14"/>
        <v>0</v>
      </c>
    </row>
    <row r="41" spans="2:45" hidden="1">
      <c r="B41" s="60"/>
      <c r="C41" s="62"/>
      <c r="D41" s="79"/>
      <c r="E41" s="56"/>
      <c r="F41" s="76"/>
      <c r="G41" s="77">
        <f t="shared" si="31"/>
        <v>0</v>
      </c>
      <c r="H41" s="78">
        <f t="shared" si="32"/>
        <v>0</v>
      </c>
      <c r="I41" s="91"/>
      <c r="J41" s="72">
        <f t="shared" si="15"/>
        <v>0</v>
      </c>
      <c r="K41" s="72">
        <f t="shared" si="16"/>
        <v>0</v>
      </c>
      <c r="L41" s="72">
        <f t="shared" si="17"/>
        <v>0</v>
      </c>
      <c r="M41" s="72">
        <f t="shared" si="18"/>
        <v>0</v>
      </c>
      <c r="N41" s="72">
        <f t="shared" si="19"/>
        <v>0</v>
      </c>
      <c r="O41" s="72">
        <f t="shared" si="20"/>
        <v>0</v>
      </c>
      <c r="P41" s="72">
        <f t="shared" si="21"/>
        <v>0</v>
      </c>
      <c r="Q41" s="72">
        <f t="shared" si="22"/>
        <v>0</v>
      </c>
      <c r="R41" s="72">
        <f t="shared" si="23"/>
        <v>0</v>
      </c>
      <c r="S41" s="72">
        <f t="shared" si="24"/>
        <v>0</v>
      </c>
      <c r="T41" s="72">
        <f t="shared" si="25"/>
        <v>0</v>
      </c>
      <c r="U41" s="72">
        <f t="shared" si="26"/>
        <v>0</v>
      </c>
      <c r="V41" s="72"/>
      <c r="W41" s="72"/>
      <c r="X41" s="72"/>
      <c r="Z41" s="72">
        <f t="shared" si="3"/>
        <v>0</v>
      </c>
      <c r="AA41" s="72">
        <f t="shared" si="4"/>
        <v>0</v>
      </c>
      <c r="AB41" s="72">
        <f t="shared" si="5"/>
        <v>0</v>
      </c>
      <c r="AC41" s="72">
        <f t="shared" si="6"/>
        <v>0</v>
      </c>
      <c r="AD41" s="72">
        <f t="shared" si="7"/>
        <v>0</v>
      </c>
      <c r="AE41" s="72">
        <f t="shared" si="8"/>
        <v>0</v>
      </c>
      <c r="AF41" s="72">
        <f t="shared" si="9"/>
        <v>0</v>
      </c>
      <c r="AG41" s="72">
        <f t="shared" si="10"/>
        <v>0</v>
      </c>
      <c r="AH41" s="72">
        <f t="shared" si="11"/>
        <v>0</v>
      </c>
      <c r="AI41" s="72">
        <f t="shared" si="12"/>
        <v>0</v>
      </c>
      <c r="AJ41" s="72">
        <f t="shared" si="13"/>
        <v>0</v>
      </c>
      <c r="AK41" s="72">
        <f t="shared" si="14"/>
        <v>0</v>
      </c>
    </row>
    <row r="42" spans="2:45" hidden="1">
      <c r="B42" s="60"/>
      <c r="C42" s="62"/>
      <c r="D42" s="79"/>
      <c r="E42" s="56"/>
      <c r="F42" s="76"/>
      <c r="G42" s="77">
        <f t="shared" si="31"/>
        <v>0</v>
      </c>
      <c r="H42" s="78">
        <f t="shared" si="32"/>
        <v>0</v>
      </c>
      <c r="I42" s="91"/>
      <c r="J42" s="72">
        <f t="shared" si="15"/>
        <v>0</v>
      </c>
      <c r="K42" s="72">
        <f t="shared" si="16"/>
        <v>0</v>
      </c>
      <c r="L42" s="72">
        <f t="shared" si="17"/>
        <v>0</v>
      </c>
      <c r="M42" s="72">
        <f t="shared" si="18"/>
        <v>0</v>
      </c>
      <c r="N42" s="72">
        <f t="shared" si="19"/>
        <v>0</v>
      </c>
      <c r="O42" s="72">
        <f t="shared" si="20"/>
        <v>0</v>
      </c>
      <c r="P42" s="72">
        <f t="shared" si="21"/>
        <v>0</v>
      </c>
      <c r="Q42" s="72">
        <f t="shared" si="22"/>
        <v>0</v>
      </c>
      <c r="R42" s="72">
        <f t="shared" si="23"/>
        <v>0</v>
      </c>
      <c r="S42" s="72">
        <f t="shared" si="24"/>
        <v>0</v>
      </c>
      <c r="T42" s="72">
        <f t="shared" si="25"/>
        <v>0</v>
      </c>
      <c r="U42" s="72">
        <f t="shared" si="26"/>
        <v>0</v>
      </c>
      <c r="V42" s="72"/>
      <c r="W42" s="72"/>
      <c r="X42" s="72"/>
      <c r="Z42" s="72">
        <f t="shared" si="3"/>
        <v>0</v>
      </c>
      <c r="AA42" s="72">
        <f t="shared" si="4"/>
        <v>0</v>
      </c>
      <c r="AB42" s="72">
        <f t="shared" si="5"/>
        <v>0</v>
      </c>
      <c r="AC42" s="72">
        <f t="shared" si="6"/>
        <v>0</v>
      </c>
      <c r="AD42" s="72">
        <f t="shared" si="7"/>
        <v>0</v>
      </c>
      <c r="AE42" s="72">
        <f t="shared" si="8"/>
        <v>0</v>
      </c>
      <c r="AF42" s="72">
        <f t="shared" si="9"/>
        <v>0</v>
      </c>
      <c r="AG42" s="72">
        <f t="shared" si="10"/>
        <v>0</v>
      </c>
      <c r="AH42" s="72">
        <f t="shared" si="11"/>
        <v>0</v>
      </c>
      <c r="AI42" s="72">
        <f t="shared" si="12"/>
        <v>0</v>
      </c>
      <c r="AJ42" s="72">
        <f t="shared" si="13"/>
        <v>0</v>
      </c>
      <c r="AK42" s="72">
        <f t="shared" si="14"/>
        <v>0</v>
      </c>
    </row>
    <row r="43" spans="2:45" hidden="1">
      <c r="B43" s="60"/>
      <c r="C43" s="62"/>
      <c r="D43" s="79"/>
      <c r="E43" s="56"/>
      <c r="F43" s="76"/>
      <c r="G43" s="77">
        <f t="shared" si="31"/>
        <v>0</v>
      </c>
      <c r="H43" s="78">
        <f t="shared" si="32"/>
        <v>0</v>
      </c>
      <c r="I43" s="91"/>
      <c r="J43" s="72">
        <f t="shared" si="15"/>
        <v>0</v>
      </c>
      <c r="K43" s="72">
        <f t="shared" si="16"/>
        <v>0</v>
      </c>
      <c r="L43" s="72">
        <f t="shared" si="17"/>
        <v>0</v>
      </c>
      <c r="M43" s="72">
        <f t="shared" si="18"/>
        <v>0</v>
      </c>
      <c r="N43" s="72">
        <f t="shared" si="19"/>
        <v>0</v>
      </c>
      <c r="O43" s="72">
        <f t="shared" si="20"/>
        <v>0</v>
      </c>
      <c r="P43" s="72">
        <f t="shared" si="21"/>
        <v>0</v>
      </c>
      <c r="Q43" s="72">
        <f t="shared" si="22"/>
        <v>0</v>
      </c>
      <c r="R43" s="72">
        <f t="shared" si="23"/>
        <v>0</v>
      </c>
      <c r="S43" s="72">
        <f t="shared" si="24"/>
        <v>0</v>
      </c>
      <c r="T43" s="72">
        <f t="shared" si="25"/>
        <v>0</v>
      </c>
      <c r="U43" s="72">
        <f t="shared" si="26"/>
        <v>0</v>
      </c>
      <c r="V43" s="72"/>
      <c r="W43" s="72"/>
      <c r="X43" s="72"/>
      <c r="Z43" s="72">
        <f t="shared" si="3"/>
        <v>0</v>
      </c>
      <c r="AA43" s="72">
        <f t="shared" si="4"/>
        <v>0</v>
      </c>
      <c r="AB43" s="72">
        <f t="shared" si="5"/>
        <v>0</v>
      </c>
      <c r="AC43" s="72">
        <f t="shared" si="6"/>
        <v>0</v>
      </c>
      <c r="AD43" s="72">
        <f t="shared" si="7"/>
        <v>0</v>
      </c>
      <c r="AE43" s="72">
        <f t="shared" si="8"/>
        <v>0</v>
      </c>
      <c r="AF43" s="72">
        <f t="shared" si="9"/>
        <v>0</v>
      </c>
      <c r="AG43" s="72">
        <f t="shared" si="10"/>
        <v>0</v>
      </c>
      <c r="AH43" s="72">
        <f t="shared" si="11"/>
        <v>0</v>
      </c>
      <c r="AI43" s="72">
        <f t="shared" si="12"/>
        <v>0</v>
      </c>
      <c r="AJ43" s="72">
        <f t="shared" si="13"/>
        <v>0</v>
      </c>
      <c r="AK43" s="72">
        <f t="shared" si="14"/>
        <v>0</v>
      </c>
    </row>
    <row r="44" spans="2:45" hidden="1">
      <c r="B44" s="60"/>
      <c r="C44" s="62"/>
      <c r="D44" s="79"/>
      <c r="E44" s="56"/>
      <c r="F44" s="76"/>
      <c r="G44" s="77">
        <f t="shared" si="31"/>
        <v>0</v>
      </c>
      <c r="H44" s="78">
        <f t="shared" si="32"/>
        <v>0</v>
      </c>
      <c r="I44" s="91"/>
      <c r="J44" s="72">
        <f t="shared" si="15"/>
        <v>0</v>
      </c>
      <c r="K44" s="72">
        <f t="shared" si="16"/>
        <v>0</v>
      </c>
      <c r="L44" s="72">
        <f t="shared" si="17"/>
        <v>0</v>
      </c>
      <c r="M44" s="72">
        <f t="shared" si="18"/>
        <v>0</v>
      </c>
      <c r="N44" s="72">
        <f t="shared" si="19"/>
        <v>0</v>
      </c>
      <c r="O44" s="72">
        <f t="shared" si="20"/>
        <v>0</v>
      </c>
      <c r="P44" s="72">
        <f t="shared" si="21"/>
        <v>0</v>
      </c>
      <c r="Q44" s="72">
        <f t="shared" si="22"/>
        <v>0</v>
      </c>
      <c r="R44" s="72">
        <f t="shared" si="23"/>
        <v>0</v>
      </c>
      <c r="S44" s="72">
        <f t="shared" si="24"/>
        <v>0</v>
      </c>
      <c r="T44" s="72">
        <f t="shared" si="25"/>
        <v>0</v>
      </c>
      <c r="U44" s="72">
        <f t="shared" si="26"/>
        <v>0</v>
      </c>
      <c r="V44" s="72"/>
      <c r="W44" s="72"/>
      <c r="X44" s="72"/>
      <c r="Z44" s="72">
        <f t="shared" si="3"/>
        <v>0</v>
      </c>
      <c r="AA44" s="72">
        <f t="shared" si="4"/>
        <v>0</v>
      </c>
      <c r="AB44" s="72">
        <f t="shared" si="5"/>
        <v>0</v>
      </c>
      <c r="AC44" s="72">
        <f t="shared" si="6"/>
        <v>0</v>
      </c>
      <c r="AD44" s="72">
        <f t="shared" si="7"/>
        <v>0</v>
      </c>
      <c r="AE44" s="72">
        <f t="shared" si="8"/>
        <v>0</v>
      </c>
      <c r="AF44" s="72">
        <f t="shared" si="9"/>
        <v>0</v>
      </c>
      <c r="AG44" s="72">
        <f t="shared" si="10"/>
        <v>0</v>
      </c>
      <c r="AH44" s="72">
        <f t="shared" si="11"/>
        <v>0</v>
      </c>
      <c r="AI44" s="72">
        <f t="shared" si="12"/>
        <v>0</v>
      </c>
      <c r="AJ44" s="72">
        <f t="shared" si="13"/>
        <v>0</v>
      </c>
      <c r="AK44" s="72">
        <f t="shared" si="14"/>
        <v>0</v>
      </c>
    </row>
    <row r="45" spans="2:45" hidden="1">
      <c r="B45" s="60"/>
      <c r="C45" s="62"/>
      <c r="D45" s="79"/>
      <c r="E45" s="56"/>
      <c r="F45" s="76"/>
      <c r="G45" s="77">
        <f t="shared" si="31"/>
        <v>0</v>
      </c>
      <c r="H45" s="78">
        <f t="shared" si="32"/>
        <v>0</v>
      </c>
      <c r="I45" s="91"/>
      <c r="J45" s="72">
        <f t="shared" si="15"/>
        <v>0</v>
      </c>
      <c r="K45" s="72">
        <f t="shared" si="16"/>
        <v>0</v>
      </c>
      <c r="L45" s="72">
        <f t="shared" si="17"/>
        <v>0</v>
      </c>
      <c r="M45" s="72">
        <f t="shared" si="18"/>
        <v>0</v>
      </c>
      <c r="N45" s="72">
        <f t="shared" si="19"/>
        <v>0</v>
      </c>
      <c r="O45" s="72">
        <f t="shared" si="20"/>
        <v>0</v>
      </c>
      <c r="P45" s="72">
        <f t="shared" si="21"/>
        <v>0</v>
      </c>
      <c r="Q45" s="72">
        <f t="shared" si="22"/>
        <v>0</v>
      </c>
      <c r="R45" s="72">
        <f t="shared" si="23"/>
        <v>0</v>
      </c>
      <c r="S45" s="72">
        <f t="shared" si="24"/>
        <v>0</v>
      </c>
      <c r="T45" s="72">
        <f t="shared" si="25"/>
        <v>0</v>
      </c>
      <c r="U45" s="72">
        <f t="shared" si="26"/>
        <v>0</v>
      </c>
      <c r="V45" s="72"/>
      <c r="W45" s="72"/>
      <c r="X45" s="72"/>
      <c r="Z45" s="72">
        <f t="shared" si="3"/>
        <v>0</v>
      </c>
      <c r="AA45" s="72">
        <f t="shared" si="4"/>
        <v>0</v>
      </c>
      <c r="AB45" s="72">
        <f t="shared" si="5"/>
        <v>0</v>
      </c>
      <c r="AC45" s="72">
        <f t="shared" si="6"/>
        <v>0</v>
      </c>
      <c r="AD45" s="72">
        <f t="shared" si="7"/>
        <v>0</v>
      </c>
      <c r="AE45" s="72">
        <f t="shared" si="8"/>
        <v>0</v>
      </c>
      <c r="AF45" s="72">
        <f t="shared" si="9"/>
        <v>0</v>
      </c>
      <c r="AG45" s="72">
        <f t="shared" si="10"/>
        <v>0</v>
      </c>
      <c r="AH45" s="72">
        <f t="shared" si="11"/>
        <v>0</v>
      </c>
      <c r="AI45" s="72">
        <f t="shared" si="12"/>
        <v>0</v>
      </c>
      <c r="AJ45" s="72">
        <f t="shared" si="13"/>
        <v>0</v>
      </c>
      <c r="AK45" s="72">
        <f t="shared" si="14"/>
        <v>0</v>
      </c>
    </row>
    <row r="46" spans="2:45" hidden="1">
      <c r="B46" s="60"/>
      <c r="C46" s="62"/>
      <c r="D46" s="79"/>
      <c r="E46" s="56"/>
      <c r="F46" s="76"/>
      <c r="G46" s="77">
        <f t="shared" si="31"/>
        <v>0</v>
      </c>
      <c r="H46" s="78">
        <f t="shared" si="32"/>
        <v>0</v>
      </c>
      <c r="I46" s="91"/>
      <c r="J46" s="72">
        <f t="shared" si="15"/>
        <v>0</v>
      </c>
      <c r="K46" s="72">
        <f t="shared" si="16"/>
        <v>0</v>
      </c>
      <c r="L46" s="72">
        <f t="shared" si="17"/>
        <v>0</v>
      </c>
      <c r="M46" s="72">
        <f t="shared" si="18"/>
        <v>0</v>
      </c>
      <c r="N46" s="72">
        <f t="shared" si="19"/>
        <v>0</v>
      </c>
      <c r="O46" s="72">
        <f t="shared" si="20"/>
        <v>0</v>
      </c>
      <c r="P46" s="72">
        <f t="shared" si="21"/>
        <v>0</v>
      </c>
      <c r="Q46" s="72">
        <f t="shared" si="22"/>
        <v>0</v>
      </c>
      <c r="R46" s="72">
        <f t="shared" si="23"/>
        <v>0</v>
      </c>
      <c r="S46" s="72">
        <f t="shared" si="24"/>
        <v>0</v>
      </c>
      <c r="T46" s="72">
        <f t="shared" si="25"/>
        <v>0</v>
      </c>
      <c r="U46" s="72">
        <f t="shared" si="26"/>
        <v>0</v>
      </c>
      <c r="V46" s="72"/>
      <c r="W46" s="72"/>
      <c r="X46" s="72"/>
      <c r="Z46" s="72">
        <f t="shared" si="3"/>
        <v>0</v>
      </c>
      <c r="AA46" s="72">
        <f t="shared" si="4"/>
        <v>0</v>
      </c>
      <c r="AB46" s="72">
        <f t="shared" si="5"/>
        <v>0</v>
      </c>
      <c r="AC46" s="72">
        <f t="shared" si="6"/>
        <v>0</v>
      </c>
      <c r="AD46" s="72">
        <f t="shared" si="7"/>
        <v>0</v>
      </c>
      <c r="AE46" s="72">
        <f t="shared" si="8"/>
        <v>0</v>
      </c>
      <c r="AF46" s="72">
        <f t="shared" si="9"/>
        <v>0</v>
      </c>
      <c r="AG46" s="72">
        <f t="shared" si="10"/>
        <v>0</v>
      </c>
      <c r="AH46" s="72">
        <f t="shared" si="11"/>
        <v>0</v>
      </c>
      <c r="AI46" s="72">
        <f t="shared" si="12"/>
        <v>0</v>
      </c>
      <c r="AJ46" s="72">
        <f t="shared" si="13"/>
        <v>0</v>
      </c>
      <c r="AK46" s="72">
        <f t="shared" si="14"/>
        <v>0</v>
      </c>
    </row>
    <row r="47" spans="2:45" hidden="1">
      <c r="B47" s="60"/>
      <c r="C47" s="62"/>
      <c r="D47" s="79"/>
      <c r="E47" s="56"/>
      <c r="F47" s="76"/>
      <c r="G47" s="77">
        <f t="shared" si="31"/>
        <v>0</v>
      </c>
      <c r="H47" s="78">
        <f t="shared" si="32"/>
        <v>0</v>
      </c>
      <c r="I47" s="91"/>
      <c r="J47" s="72">
        <f t="shared" si="15"/>
        <v>0</v>
      </c>
      <c r="K47" s="72">
        <f t="shared" si="16"/>
        <v>0</v>
      </c>
      <c r="L47" s="72">
        <f t="shared" si="17"/>
        <v>0</v>
      </c>
      <c r="M47" s="72">
        <f t="shared" si="18"/>
        <v>0</v>
      </c>
      <c r="N47" s="72">
        <f t="shared" si="19"/>
        <v>0</v>
      </c>
      <c r="O47" s="72">
        <f t="shared" si="20"/>
        <v>0</v>
      </c>
      <c r="P47" s="72">
        <f t="shared" si="21"/>
        <v>0</v>
      </c>
      <c r="Q47" s="72">
        <f t="shared" si="22"/>
        <v>0</v>
      </c>
      <c r="R47" s="72">
        <f t="shared" si="23"/>
        <v>0</v>
      </c>
      <c r="S47" s="72">
        <f t="shared" si="24"/>
        <v>0</v>
      </c>
      <c r="T47" s="72">
        <f t="shared" si="25"/>
        <v>0</v>
      </c>
      <c r="U47" s="72">
        <f t="shared" si="26"/>
        <v>0</v>
      </c>
      <c r="V47" s="72"/>
      <c r="W47" s="72"/>
      <c r="X47" s="72"/>
      <c r="Z47" s="72">
        <f t="shared" si="3"/>
        <v>0</v>
      </c>
      <c r="AA47" s="72">
        <f t="shared" si="4"/>
        <v>0</v>
      </c>
      <c r="AB47" s="72">
        <f t="shared" si="5"/>
        <v>0</v>
      </c>
      <c r="AC47" s="72">
        <f t="shared" si="6"/>
        <v>0</v>
      </c>
      <c r="AD47" s="72">
        <f t="shared" si="7"/>
        <v>0</v>
      </c>
      <c r="AE47" s="72">
        <f t="shared" si="8"/>
        <v>0</v>
      </c>
      <c r="AF47" s="72">
        <f t="shared" si="9"/>
        <v>0</v>
      </c>
      <c r="AG47" s="72">
        <f t="shared" si="10"/>
        <v>0</v>
      </c>
      <c r="AH47" s="72">
        <f t="shared" si="11"/>
        <v>0</v>
      </c>
      <c r="AI47" s="72">
        <f t="shared" si="12"/>
        <v>0</v>
      </c>
      <c r="AJ47" s="72">
        <f t="shared" si="13"/>
        <v>0</v>
      </c>
      <c r="AK47" s="72">
        <f t="shared" si="14"/>
        <v>0</v>
      </c>
    </row>
    <row r="48" spans="2:45" hidden="1">
      <c r="B48" s="60"/>
      <c r="C48" s="62"/>
      <c r="D48" s="79"/>
      <c r="E48" s="56"/>
      <c r="F48" s="76"/>
      <c r="G48" s="77">
        <f t="shared" si="31"/>
        <v>0</v>
      </c>
      <c r="H48" s="78">
        <f t="shared" si="32"/>
        <v>0</v>
      </c>
      <c r="I48" s="91"/>
      <c r="J48" s="72">
        <f t="shared" si="15"/>
        <v>0</v>
      </c>
      <c r="K48" s="72">
        <f t="shared" si="16"/>
        <v>0</v>
      </c>
      <c r="L48" s="72">
        <f t="shared" si="17"/>
        <v>0</v>
      </c>
      <c r="M48" s="72">
        <f t="shared" si="18"/>
        <v>0</v>
      </c>
      <c r="N48" s="72">
        <f t="shared" si="19"/>
        <v>0</v>
      </c>
      <c r="O48" s="72">
        <f t="shared" si="20"/>
        <v>0</v>
      </c>
      <c r="P48" s="72">
        <f t="shared" si="21"/>
        <v>0</v>
      </c>
      <c r="Q48" s="72">
        <f t="shared" si="22"/>
        <v>0</v>
      </c>
      <c r="R48" s="72">
        <f t="shared" si="23"/>
        <v>0</v>
      </c>
      <c r="S48" s="72">
        <f t="shared" si="24"/>
        <v>0</v>
      </c>
      <c r="T48" s="72">
        <f t="shared" si="25"/>
        <v>0</v>
      </c>
      <c r="U48" s="72">
        <f t="shared" si="26"/>
        <v>0</v>
      </c>
      <c r="V48" s="72"/>
      <c r="W48" s="72"/>
      <c r="X48" s="72"/>
      <c r="Z48" s="72">
        <f t="shared" si="3"/>
        <v>0</v>
      </c>
      <c r="AA48" s="72">
        <f t="shared" si="4"/>
        <v>0</v>
      </c>
      <c r="AB48" s="72">
        <f t="shared" si="5"/>
        <v>0</v>
      </c>
      <c r="AC48" s="72">
        <f t="shared" si="6"/>
        <v>0</v>
      </c>
      <c r="AD48" s="72">
        <f t="shared" si="7"/>
        <v>0</v>
      </c>
      <c r="AE48" s="72">
        <f t="shared" si="8"/>
        <v>0</v>
      </c>
      <c r="AF48" s="72">
        <f t="shared" si="9"/>
        <v>0</v>
      </c>
      <c r="AG48" s="72">
        <f t="shared" si="10"/>
        <v>0</v>
      </c>
      <c r="AH48" s="72">
        <f t="shared" si="11"/>
        <v>0</v>
      </c>
      <c r="AI48" s="72">
        <f t="shared" si="12"/>
        <v>0</v>
      </c>
      <c r="AJ48" s="72">
        <f t="shared" si="13"/>
        <v>0</v>
      </c>
      <c r="AK48" s="72">
        <f t="shared" si="14"/>
        <v>0</v>
      </c>
    </row>
    <row r="49" spans="2:42" hidden="1">
      <c r="B49" s="60"/>
      <c r="C49" s="62"/>
      <c r="D49" s="79"/>
      <c r="E49" s="56"/>
      <c r="F49" s="76"/>
      <c r="G49" s="77">
        <f t="shared" si="31"/>
        <v>0</v>
      </c>
      <c r="H49" s="78">
        <f t="shared" si="32"/>
        <v>0</v>
      </c>
      <c r="I49" s="91"/>
      <c r="J49" s="72">
        <f t="shared" si="15"/>
        <v>0</v>
      </c>
      <c r="K49" s="72">
        <f t="shared" si="16"/>
        <v>0</v>
      </c>
      <c r="L49" s="72">
        <f t="shared" si="17"/>
        <v>0</v>
      </c>
      <c r="M49" s="72">
        <f t="shared" si="18"/>
        <v>0</v>
      </c>
      <c r="N49" s="72">
        <f t="shared" si="19"/>
        <v>0</v>
      </c>
      <c r="O49" s="72">
        <f t="shared" si="20"/>
        <v>0</v>
      </c>
      <c r="P49" s="72">
        <f t="shared" si="21"/>
        <v>0</v>
      </c>
      <c r="Q49" s="72">
        <f t="shared" si="22"/>
        <v>0</v>
      </c>
      <c r="R49" s="72">
        <f t="shared" si="23"/>
        <v>0</v>
      </c>
      <c r="S49" s="72">
        <f t="shared" si="24"/>
        <v>0</v>
      </c>
      <c r="T49" s="72">
        <f t="shared" si="25"/>
        <v>0</v>
      </c>
      <c r="U49" s="72">
        <f t="shared" si="26"/>
        <v>0</v>
      </c>
      <c r="V49" s="72"/>
      <c r="W49" s="72"/>
      <c r="X49" s="72"/>
      <c r="Z49" s="72">
        <f t="shared" si="3"/>
        <v>0</v>
      </c>
      <c r="AA49" s="72">
        <f t="shared" si="4"/>
        <v>0</v>
      </c>
      <c r="AB49" s="72">
        <f t="shared" si="5"/>
        <v>0</v>
      </c>
      <c r="AC49" s="72">
        <f t="shared" si="6"/>
        <v>0</v>
      </c>
      <c r="AD49" s="72">
        <f t="shared" si="7"/>
        <v>0</v>
      </c>
      <c r="AE49" s="72">
        <f t="shared" si="8"/>
        <v>0</v>
      </c>
      <c r="AF49" s="72">
        <f t="shared" si="9"/>
        <v>0</v>
      </c>
      <c r="AG49" s="72">
        <f t="shared" si="10"/>
        <v>0</v>
      </c>
      <c r="AH49" s="72">
        <f t="shared" si="11"/>
        <v>0</v>
      </c>
      <c r="AI49" s="72">
        <f t="shared" si="12"/>
        <v>0</v>
      </c>
      <c r="AJ49" s="72">
        <f t="shared" si="13"/>
        <v>0</v>
      </c>
      <c r="AK49" s="72">
        <f t="shared" si="14"/>
        <v>0</v>
      </c>
    </row>
    <row r="50" spans="2:42" hidden="1">
      <c r="B50" s="60"/>
      <c r="C50" s="62"/>
      <c r="D50" s="79"/>
      <c r="E50" s="56"/>
      <c r="F50" s="76"/>
      <c r="G50" s="77">
        <f t="shared" si="31"/>
        <v>0</v>
      </c>
      <c r="H50" s="78">
        <f t="shared" si="32"/>
        <v>0</v>
      </c>
      <c r="I50" s="91"/>
      <c r="J50" s="72">
        <f t="shared" si="15"/>
        <v>0</v>
      </c>
      <c r="K50" s="72">
        <f t="shared" si="16"/>
        <v>0</v>
      </c>
      <c r="L50" s="72">
        <f t="shared" si="17"/>
        <v>0</v>
      </c>
      <c r="M50" s="72">
        <f t="shared" si="18"/>
        <v>0</v>
      </c>
      <c r="N50" s="72">
        <f t="shared" si="19"/>
        <v>0</v>
      </c>
      <c r="O50" s="72">
        <f t="shared" si="20"/>
        <v>0</v>
      </c>
      <c r="P50" s="72">
        <f t="shared" si="21"/>
        <v>0</v>
      </c>
      <c r="Q50" s="72">
        <f t="shared" si="22"/>
        <v>0</v>
      </c>
      <c r="R50" s="72">
        <f t="shared" si="23"/>
        <v>0</v>
      </c>
      <c r="S50" s="72">
        <f t="shared" si="24"/>
        <v>0</v>
      </c>
      <c r="T50" s="72">
        <f t="shared" si="25"/>
        <v>0</v>
      </c>
      <c r="U50" s="72">
        <f t="shared" si="26"/>
        <v>0</v>
      </c>
      <c r="V50" s="72"/>
      <c r="W50" s="72"/>
      <c r="X50" s="72"/>
      <c r="Z50" s="72">
        <f t="shared" si="3"/>
        <v>0</v>
      </c>
      <c r="AA50" s="72">
        <f t="shared" si="4"/>
        <v>0</v>
      </c>
      <c r="AB50" s="72">
        <f t="shared" si="5"/>
        <v>0</v>
      </c>
      <c r="AC50" s="72">
        <f t="shared" si="6"/>
        <v>0</v>
      </c>
      <c r="AD50" s="72">
        <f t="shared" si="7"/>
        <v>0</v>
      </c>
      <c r="AE50" s="72">
        <f t="shared" si="8"/>
        <v>0</v>
      </c>
      <c r="AF50" s="72">
        <f t="shared" si="9"/>
        <v>0</v>
      </c>
      <c r="AG50" s="72">
        <f t="shared" si="10"/>
        <v>0</v>
      </c>
      <c r="AH50" s="72">
        <f t="shared" si="11"/>
        <v>0</v>
      </c>
      <c r="AI50" s="72">
        <f t="shared" si="12"/>
        <v>0</v>
      </c>
      <c r="AJ50" s="72">
        <f t="shared" si="13"/>
        <v>0</v>
      </c>
      <c r="AK50" s="72">
        <f t="shared" si="14"/>
        <v>0</v>
      </c>
    </row>
    <row r="51" spans="2:42" hidden="1">
      <c r="B51" s="60"/>
      <c r="C51" s="62"/>
      <c r="D51" s="79"/>
      <c r="E51" s="56"/>
      <c r="F51" s="76"/>
      <c r="G51" s="77">
        <f t="shared" si="31"/>
        <v>0</v>
      </c>
      <c r="H51" s="78">
        <f t="shared" si="32"/>
        <v>0</v>
      </c>
      <c r="I51" s="91"/>
      <c r="J51" s="72">
        <f t="shared" si="15"/>
        <v>0</v>
      </c>
      <c r="K51" s="72">
        <f t="shared" si="16"/>
        <v>0</v>
      </c>
      <c r="L51" s="72">
        <f t="shared" si="17"/>
        <v>0</v>
      </c>
      <c r="M51" s="72">
        <f t="shared" si="18"/>
        <v>0</v>
      </c>
      <c r="N51" s="72">
        <f t="shared" si="19"/>
        <v>0</v>
      </c>
      <c r="O51" s="72">
        <f t="shared" si="20"/>
        <v>0</v>
      </c>
      <c r="P51" s="72">
        <f t="shared" si="21"/>
        <v>0</v>
      </c>
      <c r="Q51" s="72">
        <f t="shared" si="22"/>
        <v>0</v>
      </c>
      <c r="R51" s="72">
        <f t="shared" si="23"/>
        <v>0</v>
      </c>
      <c r="S51" s="72">
        <f t="shared" si="24"/>
        <v>0</v>
      </c>
      <c r="T51" s="72">
        <f t="shared" si="25"/>
        <v>0</v>
      </c>
      <c r="U51" s="72">
        <f t="shared" si="26"/>
        <v>0</v>
      </c>
      <c r="V51" s="72"/>
      <c r="W51" s="72"/>
      <c r="X51" s="72"/>
      <c r="Z51" s="72">
        <f t="shared" si="3"/>
        <v>0</v>
      </c>
      <c r="AA51" s="72">
        <f t="shared" si="4"/>
        <v>0</v>
      </c>
      <c r="AB51" s="72">
        <f t="shared" si="5"/>
        <v>0</v>
      </c>
      <c r="AC51" s="72">
        <f t="shared" si="6"/>
        <v>0</v>
      </c>
      <c r="AD51" s="72">
        <f t="shared" si="7"/>
        <v>0</v>
      </c>
      <c r="AE51" s="72">
        <f t="shared" si="8"/>
        <v>0</v>
      </c>
      <c r="AF51" s="72">
        <f t="shared" si="9"/>
        <v>0</v>
      </c>
      <c r="AG51" s="72">
        <f t="shared" si="10"/>
        <v>0</v>
      </c>
      <c r="AH51" s="72">
        <f t="shared" si="11"/>
        <v>0</v>
      </c>
      <c r="AI51" s="72">
        <f t="shared" si="12"/>
        <v>0</v>
      </c>
      <c r="AJ51" s="72">
        <f t="shared" si="13"/>
        <v>0</v>
      </c>
      <c r="AK51" s="72">
        <f t="shared" si="14"/>
        <v>0</v>
      </c>
    </row>
    <row r="52" spans="2:42" hidden="1">
      <c r="B52" s="60"/>
      <c r="C52" s="62"/>
      <c r="D52" s="79"/>
      <c r="E52" s="56"/>
      <c r="F52" s="76"/>
      <c r="G52" s="77">
        <f t="shared" si="31"/>
        <v>0</v>
      </c>
      <c r="H52" s="78">
        <f t="shared" si="32"/>
        <v>0</v>
      </c>
      <c r="I52" s="91"/>
      <c r="J52" s="72">
        <f t="shared" si="15"/>
        <v>0</v>
      </c>
      <c r="K52" s="72">
        <f t="shared" si="16"/>
        <v>0</v>
      </c>
      <c r="L52" s="72">
        <f t="shared" si="17"/>
        <v>0</v>
      </c>
      <c r="M52" s="72">
        <f t="shared" si="18"/>
        <v>0</v>
      </c>
      <c r="N52" s="72">
        <f t="shared" si="19"/>
        <v>0</v>
      </c>
      <c r="O52" s="72">
        <f t="shared" si="20"/>
        <v>0</v>
      </c>
      <c r="P52" s="72">
        <f t="shared" si="21"/>
        <v>0</v>
      </c>
      <c r="Q52" s="72">
        <f t="shared" si="22"/>
        <v>0</v>
      </c>
      <c r="R52" s="72">
        <f t="shared" si="23"/>
        <v>0</v>
      </c>
      <c r="S52" s="72">
        <f t="shared" si="24"/>
        <v>0</v>
      </c>
      <c r="T52" s="72">
        <f t="shared" si="25"/>
        <v>0</v>
      </c>
      <c r="U52" s="72">
        <f t="shared" si="26"/>
        <v>0</v>
      </c>
      <c r="V52" s="72"/>
      <c r="W52" s="72"/>
      <c r="X52" s="72"/>
      <c r="Z52" s="72">
        <f t="shared" si="3"/>
        <v>0</v>
      </c>
      <c r="AA52" s="72">
        <f t="shared" si="4"/>
        <v>0</v>
      </c>
      <c r="AB52" s="72">
        <f t="shared" si="5"/>
        <v>0</v>
      </c>
      <c r="AC52" s="72">
        <f t="shared" si="6"/>
        <v>0</v>
      </c>
      <c r="AD52" s="72">
        <f t="shared" si="7"/>
        <v>0</v>
      </c>
      <c r="AE52" s="72">
        <f t="shared" si="8"/>
        <v>0</v>
      </c>
      <c r="AF52" s="72">
        <f t="shared" si="9"/>
        <v>0</v>
      </c>
      <c r="AG52" s="72">
        <f t="shared" si="10"/>
        <v>0</v>
      </c>
      <c r="AH52" s="72">
        <f t="shared" si="11"/>
        <v>0</v>
      </c>
      <c r="AI52" s="72">
        <f t="shared" si="12"/>
        <v>0</v>
      </c>
      <c r="AJ52" s="72">
        <f t="shared" si="13"/>
        <v>0</v>
      </c>
      <c r="AK52" s="72">
        <f t="shared" si="14"/>
        <v>0</v>
      </c>
    </row>
    <row r="53" spans="2:42" hidden="1">
      <c r="B53" s="60"/>
      <c r="C53" s="62"/>
      <c r="D53" s="79"/>
      <c r="E53" s="56"/>
      <c r="F53" s="76"/>
      <c r="G53" s="77">
        <f t="shared" si="31"/>
        <v>0</v>
      </c>
      <c r="H53" s="78">
        <f t="shared" si="32"/>
        <v>0</v>
      </c>
      <c r="I53" s="91"/>
      <c r="J53" s="72">
        <f t="shared" si="15"/>
        <v>0</v>
      </c>
      <c r="K53" s="72">
        <f t="shared" si="16"/>
        <v>0</v>
      </c>
      <c r="L53" s="72">
        <f t="shared" si="17"/>
        <v>0</v>
      </c>
      <c r="M53" s="72">
        <f t="shared" si="18"/>
        <v>0</v>
      </c>
      <c r="N53" s="72">
        <f t="shared" si="19"/>
        <v>0</v>
      </c>
      <c r="O53" s="72">
        <f t="shared" si="20"/>
        <v>0</v>
      </c>
      <c r="P53" s="72">
        <f t="shared" si="21"/>
        <v>0</v>
      </c>
      <c r="Q53" s="72">
        <f t="shared" si="22"/>
        <v>0</v>
      </c>
      <c r="R53" s="72">
        <f t="shared" si="23"/>
        <v>0</v>
      </c>
      <c r="S53" s="72">
        <f t="shared" si="24"/>
        <v>0</v>
      </c>
      <c r="T53" s="72">
        <f t="shared" si="25"/>
        <v>0</v>
      </c>
      <c r="U53" s="72">
        <f t="shared" si="26"/>
        <v>0</v>
      </c>
      <c r="V53" s="72"/>
      <c r="W53" s="72"/>
      <c r="X53" s="72"/>
      <c r="Z53" s="72">
        <f t="shared" si="3"/>
        <v>0</v>
      </c>
      <c r="AA53" s="72">
        <f t="shared" si="4"/>
        <v>0</v>
      </c>
      <c r="AB53" s="72">
        <f t="shared" si="5"/>
        <v>0</v>
      </c>
      <c r="AC53" s="72">
        <f t="shared" si="6"/>
        <v>0</v>
      </c>
      <c r="AD53" s="72">
        <f t="shared" si="7"/>
        <v>0</v>
      </c>
      <c r="AE53" s="72">
        <f t="shared" si="8"/>
        <v>0</v>
      </c>
      <c r="AF53" s="72">
        <f t="shared" si="9"/>
        <v>0</v>
      </c>
      <c r="AG53" s="72">
        <f t="shared" si="10"/>
        <v>0</v>
      </c>
      <c r="AH53" s="72">
        <f t="shared" si="11"/>
        <v>0</v>
      </c>
      <c r="AI53" s="72">
        <f t="shared" si="12"/>
        <v>0</v>
      </c>
      <c r="AJ53" s="72">
        <f t="shared" si="13"/>
        <v>0</v>
      </c>
      <c r="AK53" s="72">
        <f t="shared" si="14"/>
        <v>0</v>
      </c>
    </row>
    <row r="54" spans="2:42" hidden="1">
      <c r="B54" s="60"/>
      <c r="C54" s="62"/>
      <c r="D54" s="79"/>
      <c r="E54" s="56"/>
      <c r="F54" s="76"/>
      <c r="G54" s="77">
        <f t="shared" si="31"/>
        <v>0</v>
      </c>
      <c r="H54" s="78">
        <f t="shared" si="32"/>
        <v>0</v>
      </c>
      <c r="I54" s="91"/>
      <c r="J54" s="72">
        <f t="shared" si="15"/>
        <v>0</v>
      </c>
      <c r="K54" s="72">
        <f t="shared" si="16"/>
        <v>0</v>
      </c>
      <c r="L54" s="72">
        <f t="shared" si="17"/>
        <v>0</v>
      </c>
      <c r="M54" s="72">
        <f t="shared" si="18"/>
        <v>0</v>
      </c>
      <c r="N54" s="72">
        <f t="shared" si="19"/>
        <v>0</v>
      </c>
      <c r="O54" s="72">
        <f t="shared" si="20"/>
        <v>0</v>
      </c>
      <c r="P54" s="72">
        <f t="shared" si="21"/>
        <v>0</v>
      </c>
      <c r="Q54" s="72">
        <f t="shared" si="22"/>
        <v>0</v>
      </c>
      <c r="R54" s="72">
        <f t="shared" si="23"/>
        <v>0</v>
      </c>
      <c r="S54" s="72">
        <f t="shared" si="24"/>
        <v>0</v>
      </c>
      <c r="T54" s="72">
        <f t="shared" si="25"/>
        <v>0</v>
      </c>
      <c r="U54" s="72">
        <f t="shared" si="26"/>
        <v>0</v>
      </c>
      <c r="V54" s="72"/>
      <c r="W54" s="72"/>
      <c r="X54" s="72"/>
      <c r="Z54" s="72">
        <f t="shared" si="3"/>
        <v>0</v>
      </c>
      <c r="AA54" s="72">
        <f t="shared" si="4"/>
        <v>0</v>
      </c>
      <c r="AB54" s="72">
        <f t="shared" si="5"/>
        <v>0</v>
      </c>
      <c r="AC54" s="72">
        <f t="shared" si="6"/>
        <v>0</v>
      </c>
      <c r="AD54" s="72">
        <f t="shared" si="7"/>
        <v>0</v>
      </c>
      <c r="AE54" s="72">
        <f t="shared" si="8"/>
        <v>0</v>
      </c>
      <c r="AF54" s="72">
        <f t="shared" si="9"/>
        <v>0</v>
      </c>
      <c r="AG54" s="72">
        <f t="shared" si="10"/>
        <v>0</v>
      </c>
      <c r="AH54" s="72">
        <f t="shared" si="11"/>
        <v>0</v>
      </c>
      <c r="AI54" s="72">
        <f t="shared" si="12"/>
        <v>0</v>
      </c>
      <c r="AJ54" s="72">
        <f t="shared" si="13"/>
        <v>0</v>
      </c>
      <c r="AK54" s="72">
        <f t="shared" si="14"/>
        <v>0</v>
      </c>
    </row>
    <row r="55" spans="2:42" hidden="1">
      <c r="B55" s="60"/>
      <c r="C55" s="62"/>
      <c r="D55" s="79"/>
      <c r="E55" s="56"/>
      <c r="F55" s="76"/>
      <c r="G55" s="77">
        <f t="shared" si="31"/>
        <v>0</v>
      </c>
      <c r="H55" s="78">
        <f t="shared" si="32"/>
        <v>0</v>
      </c>
      <c r="I55" s="91"/>
      <c r="J55" s="72">
        <f t="shared" si="15"/>
        <v>0</v>
      </c>
      <c r="K55" s="72">
        <f t="shared" si="16"/>
        <v>0</v>
      </c>
      <c r="L55" s="72">
        <f t="shared" si="17"/>
        <v>0</v>
      </c>
      <c r="M55" s="72">
        <f t="shared" si="18"/>
        <v>0</v>
      </c>
      <c r="N55" s="72">
        <f t="shared" si="19"/>
        <v>0</v>
      </c>
      <c r="O55" s="72">
        <f t="shared" si="20"/>
        <v>0</v>
      </c>
      <c r="P55" s="72">
        <f t="shared" si="21"/>
        <v>0</v>
      </c>
      <c r="Q55" s="72">
        <f t="shared" si="22"/>
        <v>0</v>
      </c>
      <c r="R55" s="72">
        <f t="shared" si="23"/>
        <v>0</v>
      </c>
      <c r="S55" s="72">
        <f t="shared" si="24"/>
        <v>0</v>
      </c>
      <c r="T55" s="72">
        <f t="shared" si="25"/>
        <v>0</v>
      </c>
      <c r="U55" s="72">
        <f t="shared" si="26"/>
        <v>0</v>
      </c>
      <c r="V55" s="72"/>
      <c r="W55" s="72"/>
      <c r="X55" s="72"/>
      <c r="Z55" s="72">
        <f t="shared" si="3"/>
        <v>0</v>
      </c>
      <c r="AA55" s="72">
        <f t="shared" si="4"/>
        <v>0</v>
      </c>
      <c r="AB55" s="72">
        <f t="shared" si="5"/>
        <v>0</v>
      </c>
      <c r="AC55" s="72">
        <f t="shared" si="6"/>
        <v>0</v>
      </c>
      <c r="AD55" s="72">
        <f t="shared" si="7"/>
        <v>0</v>
      </c>
      <c r="AE55" s="72">
        <f t="shared" si="8"/>
        <v>0</v>
      </c>
      <c r="AF55" s="72">
        <f t="shared" si="9"/>
        <v>0</v>
      </c>
      <c r="AG55" s="72">
        <f t="shared" si="10"/>
        <v>0</v>
      </c>
      <c r="AH55" s="72">
        <f t="shared" si="11"/>
        <v>0</v>
      </c>
      <c r="AI55" s="72">
        <f t="shared" si="12"/>
        <v>0</v>
      </c>
      <c r="AJ55" s="72">
        <f t="shared" si="13"/>
        <v>0</v>
      </c>
      <c r="AK55" s="72">
        <f t="shared" si="14"/>
        <v>0</v>
      </c>
    </row>
    <row r="56" spans="2:42" hidden="1">
      <c r="B56" s="60"/>
      <c r="C56" s="62"/>
      <c r="D56" s="79"/>
      <c r="E56" s="56"/>
      <c r="F56" s="76"/>
      <c r="G56" s="77">
        <f t="shared" si="31"/>
        <v>0</v>
      </c>
      <c r="H56" s="78">
        <f t="shared" si="32"/>
        <v>0</v>
      </c>
      <c r="I56" s="91"/>
      <c r="J56" s="72">
        <f t="shared" si="15"/>
        <v>0</v>
      </c>
      <c r="K56" s="72">
        <f t="shared" si="16"/>
        <v>0</v>
      </c>
      <c r="L56" s="72">
        <f t="shared" si="17"/>
        <v>0</v>
      </c>
      <c r="M56" s="72">
        <f t="shared" si="18"/>
        <v>0</v>
      </c>
      <c r="N56" s="72">
        <f t="shared" si="19"/>
        <v>0</v>
      </c>
      <c r="O56" s="72">
        <f t="shared" si="20"/>
        <v>0</v>
      </c>
      <c r="P56" s="72">
        <f t="shared" si="21"/>
        <v>0</v>
      </c>
      <c r="Q56" s="72">
        <f t="shared" si="22"/>
        <v>0</v>
      </c>
      <c r="R56" s="72">
        <f t="shared" si="23"/>
        <v>0</v>
      </c>
      <c r="S56" s="72">
        <f t="shared" si="24"/>
        <v>0</v>
      </c>
      <c r="T56" s="72">
        <f t="shared" si="25"/>
        <v>0</v>
      </c>
      <c r="U56" s="72">
        <f t="shared" si="26"/>
        <v>0</v>
      </c>
      <c r="V56" s="72"/>
      <c r="W56" s="72"/>
      <c r="X56" s="72"/>
      <c r="Z56" s="72">
        <f t="shared" si="3"/>
        <v>0</v>
      </c>
      <c r="AA56" s="72">
        <f t="shared" si="4"/>
        <v>0</v>
      </c>
      <c r="AB56" s="72">
        <f t="shared" si="5"/>
        <v>0</v>
      </c>
      <c r="AC56" s="72">
        <f t="shared" si="6"/>
        <v>0</v>
      </c>
      <c r="AD56" s="72">
        <f t="shared" si="7"/>
        <v>0</v>
      </c>
      <c r="AE56" s="72">
        <f t="shared" si="8"/>
        <v>0</v>
      </c>
      <c r="AF56" s="72">
        <f t="shared" si="9"/>
        <v>0</v>
      </c>
      <c r="AG56" s="72">
        <f t="shared" si="10"/>
        <v>0</v>
      </c>
      <c r="AH56" s="72">
        <f t="shared" si="11"/>
        <v>0</v>
      </c>
      <c r="AI56" s="72">
        <f t="shared" si="12"/>
        <v>0</v>
      </c>
      <c r="AJ56" s="72">
        <f t="shared" si="13"/>
        <v>0</v>
      </c>
      <c r="AK56" s="72">
        <f t="shared" si="14"/>
        <v>0</v>
      </c>
    </row>
    <row r="57" spans="2:42" hidden="1">
      <c r="B57" s="60"/>
      <c r="C57" s="62"/>
      <c r="D57" s="79"/>
      <c r="E57" s="56"/>
      <c r="F57" s="76"/>
      <c r="G57" s="77">
        <f t="shared" si="31"/>
        <v>0</v>
      </c>
      <c r="H57" s="78">
        <f t="shared" si="32"/>
        <v>0</v>
      </c>
      <c r="I57" s="91"/>
      <c r="J57" s="72">
        <f t="shared" si="15"/>
        <v>0</v>
      </c>
      <c r="K57" s="72">
        <f t="shared" si="16"/>
        <v>0</v>
      </c>
      <c r="L57" s="72">
        <f t="shared" si="17"/>
        <v>0</v>
      </c>
      <c r="M57" s="72">
        <f t="shared" si="18"/>
        <v>0</v>
      </c>
      <c r="N57" s="72">
        <f t="shared" si="19"/>
        <v>0</v>
      </c>
      <c r="O57" s="72">
        <f t="shared" si="20"/>
        <v>0</v>
      </c>
      <c r="P57" s="72">
        <f t="shared" si="21"/>
        <v>0</v>
      </c>
      <c r="Q57" s="72">
        <f t="shared" si="22"/>
        <v>0</v>
      </c>
      <c r="R57" s="72">
        <f t="shared" si="23"/>
        <v>0</v>
      </c>
      <c r="S57" s="72">
        <f t="shared" si="24"/>
        <v>0</v>
      </c>
      <c r="T57" s="72">
        <f t="shared" si="25"/>
        <v>0</v>
      </c>
      <c r="U57" s="72">
        <f t="shared" si="26"/>
        <v>0</v>
      </c>
      <c r="V57" s="72"/>
      <c r="W57" s="72"/>
      <c r="X57" s="72"/>
      <c r="Z57" s="72">
        <f t="shared" si="3"/>
        <v>0</v>
      </c>
      <c r="AA57" s="72">
        <f t="shared" si="4"/>
        <v>0</v>
      </c>
      <c r="AB57" s="72">
        <f t="shared" si="5"/>
        <v>0</v>
      </c>
      <c r="AC57" s="72">
        <f t="shared" si="6"/>
        <v>0</v>
      </c>
      <c r="AD57" s="72">
        <f t="shared" si="7"/>
        <v>0</v>
      </c>
      <c r="AE57" s="72">
        <f t="shared" si="8"/>
        <v>0</v>
      </c>
      <c r="AF57" s="72">
        <f t="shared" si="9"/>
        <v>0</v>
      </c>
      <c r="AG57" s="72">
        <f t="shared" si="10"/>
        <v>0</v>
      </c>
      <c r="AH57" s="72">
        <f t="shared" si="11"/>
        <v>0</v>
      </c>
      <c r="AI57" s="72">
        <f t="shared" si="12"/>
        <v>0</v>
      </c>
      <c r="AJ57" s="72">
        <f t="shared" si="13"/>
        <v>0</v>
      </c>
      <c r="AK57" s="72">
        <f t="shared" si="14"/>
        <v>0</v>
      </c>
    </row>
    <row r="58" spans="2:42" hidden="1">
      <c r="B58" s="60"/>
      <c r="C58" s="62"/>
      <c r="D58" s="79"/>
      <c r="E58" s="56"/>
      <c r="F58" s="76"/>
      <c r="G58" s="77">
        <f t="shared" si="31"/>
        <v>0</v>
      </c>
      <c r="H58" s="78">
        <f t="shared" si="32"/>
        <v>0</v>
      </c>
      <c r="I58" s="91"/>
      <c r="J58" s="72">
        <f t="shared" si="15"/>
        <v>0</v>
      </c>
      <c r="K58" s="72">
        <f t="shared" si="16"/>
        <v>0</v>
      </c>
      <c r="L58" s="72">
        <f t="shared" si="17"/>
        <v>0</v>
      </c>
      <c r="M58" s="72">
        <f t="shared" si="18"/>
        <v>0</v>
      </c>
      <c r="N58" s="72">
        <f t="shared" si="19"/>
        <v>0</v>
      </c>
      <c r="O58" s="72">
        <f t="shared" si="20"/>
        <v>0</v>
      </c>
      <c r="P58" s="72">
        <f t="shared" si="21"/>
        <v>0</v>
      </c>
      <c r="Q58" s="72">
        <f t="shared" si="22"/>
        <v>0</v>
      </c>
      <c r="R58" s="72">
        <f t="shared" si="23"/>
        <v>0</v>
      </c>
      <c r="S58" s="72">
        <f t="shared" si="24"/>
        <v>0</v>
      </c>
      <c r="T58" s="72">
        <f t="shared" si="25"/>
        <v>0</v>
      </c>
      <c r="U58" s="72">
        <f t="shared" si="26"/>
        <v>0</v>
      </c>
      <c r="V58" s="72"/>
      <c r="W58" s="72"/>
      <c r="X58" s="72"/>
      <c r="Z58" s="72">
        <f t="shared" si="3"/>
        <v>0</v>
      </c>
      <c r="AA58" s="72">
        <f t="shared" si="4"/>
        <v>0</v>
      </c>
      <c r="AB58" s="72">
        <f t="shared" si="5"/>
        <v>0</v>
      </c>
      <c r="AC58" s="72">
        <f t="shared" si="6"/>
        <v>0</v>
      </c>
      <c r="AD58" s="72">
        <f t="shared" si="7"/>
        <v>0</v>
      </c>
      <c r="AE58" s="72">
        <f t="shared" si="8"/>
        <v>0</v>
      </c>
      <c r="AF58" s="72">
        <f t="shared" si="9"/>
        <v>0</v>
      </c>
      <c r="AG58" s="72">
        <f t="shared" si="10"/>
        <v>0</v>
      </c>
      <c r="AH58" s="72">
        <f t="shared" si="11"/>
        <v>0</v>
      </c>
      <c r="AI58" s="72">
        <f t="shared" si="12"/>
        <v>0</v>
      </c>
      <c r="AJ58" s="72">
        <f t="shared" si="13"/>
        <v>0</v>
      </c>
      <c r="AK58" s="72">
        <f t="shared" si="14"/>
        <v>0</v>
      </c>
    </row>
    <row r="59" spans="2:42" hidden="1">
      <c r="B59" s="60"/>
      <c r="C59" s="62"/>
      <c r="D59" s="79"/>
      <c r="E59" s="56"/>
      <c r="F59" s="76"/>
      <c r="G59" s="77">
        <f t="shared" si="31"/>
        <v>0</v>
      </c>
      <c r="H59" s="78">
        <f t="shared" si="32"/>
        <v>0</v>
      </c>
      <c r="I59" s="91"/>
      <c r="J59" s="72">
        <f t="shared" si="15"/>
        <v>0</v>
      </c>
      <c r="K59" s="72">
        <f t="shared" si="16"/>
        <v>0</v>
      </c>
      <c r="L59" s="72">
        <f t="shared" si="17"/>
        <v>0</v>
      </c>
      <c r="M59" s="72">
        <f t="shared" si="18"/>
        <v>0</v>
      </c>
      <c r="N59" s="72">
        <f t="shared" si="19"/>
        <v>0</v>
      </c>
      <c r="O59" s="72">
        <f t="shared" si="20"/>
        <v>0</v>
      </c>
      <c r="P59" s="72">
        <f t="shared" si="21"/>
        <v>0</v>
      </c>
      <c r="Q59" s="72">
        <f t="shared" si="22"/>
        <v>0</v>
      </c>
      <c r="R59" s="72">
        <f t="shared" si="23"/>
        <v>0</v>
      </c>
      <c r="S59" s="72">
        <f t="shared" si="24"/>
        <v>0</v>
      </c>
      <c r="T59" s="72">
        <f t="shared" si="25"/>
        <v>0</v>
      </c>
      <c r="U59" s="72">
        <f t="shared" si="26"/>
        <v>0</v>
      </c>
      <c r="V59" s="72"/>
      <c r="W59" s="72"/>
      <c r="X59" s="72"/>
      <c r="Z59" s="72">
        <f t="shared" si="3"/>
        <v>0</v>
      </c>
      <c r="AA59" s="72">
        <f t="shared" si="4"/>
        <v>0</v>
      </c>
      <c r="AB59" s="72">
        <f t="shared" si="5"/>
        <v>0</v>
      </c>
      <c r="AC59" s="72">
        <f t="shared" si="6"/>
        <v>0</v>
      </c>
      <c r="AD59" s="72">
        <f t="shared" si="7"/>
        <v>0</v>
      </c>
      <c r="AE59" s="72">
        <f t="shared" si="8"/>
        <v>0</v>
      </c>
      <c r="AF59" s="72">
        <f t="shared" si="9"/>
        <v>0</v>
      </c>
      <c r="AG59" s="72">
        <f t="shared" si="10"/>
        <v>0</v>
      </c>
      <c r="AH59" s="72">
        <f t="shared" si="11"/>
        <v>0</v>
      </c>
      <c r="AI59" s="72">
        <f t="shared" si="12"/>
        <v>0</v>
      </c>
      <c r="AJ59" s="72">
        <f t="shared" si="13"/>
        <v>0</v>
      </c>
      <c r="AK59" s="72">
        <f t="shared" si="14"/>
        <v>0</v>
      </c>
    </row>
    <row r="60" spans="2:42" hidden="1">
      <c r="B60" s="60"/>
      <c r="C60" s="62"/>
      <c r="D60" s="79"/>
      <c r="E60" s="56"/>
      <c r="F60" s="76"/>
      <c r="G60" s="77">
        <f t="shared" si="31"/>
        <v>0</v>
      </c>
      <c r="H60" s="78">
        <f t="shared" si="32"/>
        <v>0</v>
      </c>
      <c r="I60" s="91"/>
      <c r="J60" s="72">
        <f t="shared" si="15"/>
        <v>0</v>
      </c>
      <c r="K60" s="72">
        <f t="shared" si="16"/>
        <v>0</v>
      </c>
      <c r="L60" s="72">
        <f t="shared" si="17"/>
        <v>0</v>
      </c>
      <c r="M60" s="72">
        <f t="shared" si="18"/>
        <v>0</v>
      </c>
      <c r="N60" s="72">
        <f t="shared" si="19"/>
        <v>0</v>
      </c>
      <c r="O60" s="72">
        <f t="shared" si="20"/>
        <v>0</v>
      </c>
      <c r="P60" s="72">
        <f t="shared" si="21"/>
        <v>0</v>
      </c>
      <c r="Q60" s="72">
        <f t="shared" si="22"/>
        <v>0</v>
      </c>
      <c r="R60" s="72">
        <f t="shared" si="23"/>
        <v>0</v>
      </c>
      <c r="S60" s="72">
        <f t="shared" si="24"/>
        <v>0</v>
      </c>
      <c r="T60" s="72">
        <f t="shared" si="25"/>
        <v>0</v>
      </c>
      <c r="U60" s="72">
        <f t="shared" si="26"/>
        <v>0</v>
      </c>
      <c r="V60" s="72"/>
      <c r="W60" s="72"/>
      <c r="X60" s="72"/>
      <c r="Z60" s="72">
        <f t="shared" si="3"/>
        <v>0</v>
      </c>
      <c r="AA60" s="72">
        <f t="shared" si="4"/>
        <v>0</v>
      </c>
      <c r="AB60" s="72">
        <f t="shared" si="5"/>
        <v>0</v>
      </c>
      <c r="AC60" s="72">
        <f t="shared" si="6"/>
        <v>0</v>
      </c>
      <c r="AD60" s="72">
        <f t="shared" si="7"/>
        <v>0</v>
      </c>
      <c r="AE60" s="72">
        <f t="shared" si="8"/>
        <v>0</v>
      </c>
      <c r="AF60" s="72">
        <f t="shared" si="9"/>
        <v>0</v>
      </c>
      <c r="AG60" s="72">
        <f t="shared" si="10"/>
        <v>0</v>
      </c>
      <c r="AH60" s="72">
        <f t="shared" si="11"/>
        <v>0</v>
      </c>
      <c r="AI60" s="72">
        <f t="shared" si="12"/>
        <v>0</v>
      </c>
      <c r="AJ60" s="72">
        <f t="shared" si="13"/>
        <v>0</v>
      </c>
      <c r="AK60" s="72">
        <f t="shared" si="14"/>
        <v>0</v>
      </c>
    </row>
    <row r="61" spans="2:42" hidden="1">
      <c r="B61" s="60"/>
      <c r="C61" s="62"/>
      <c r="D61" s="79"/>
      <c r="E61" s="56"/>
      <c r="F61" s="76"/>
      <c r="G61" s="77">
        <f t="shared" si="31"/>
        <v>0</v>
      </c>
      <c r="H61" s="78">
        <f t="shared" si="32"/>
        <v>0</v>
      </c>
      <c r="I61" s="91"/>
      <c r="J61" s="72">
        <f t="shared" si="15"/>
        <v>0</v>
      </c>
      <c r="K61" s="72">
        <f t="shared" si="16"/>
        <v>0</v>
      </c>
      <c r="L61" s="72">
        <f t="shared" si="17"/>
        <v>0</v>
      </c>
      <c r="M61" s="72">
        <f t="shared" si="18"/>
        <v>0</v>
      </c>
      <c r="N61" s="72">
        <f t="shared" si="19"/>
        <v>0</v>
      </c>
      <c r="O61" s="72">
        <f t="shared" si="20"/>
        <v>0</v>
      </c>
      <c r="P61" s="72">
        <f t="shared" si="21"/>
        <v>0</v>
      </c>
      <c r="Q61" s="72">
        <f t="shared" si="22"/>
        <v>0</v>
      </c>
      <c r="R61" s="72">
        <f t="shared" si="23"/>
        <v>0</v>
      </c>
      <c r="S61" s="72">
        <f t="shared" si="24"/>
        <v>0</v>
      </c>
      <c r="T61" s="72">
        <f t="shared" si="25"/>
        <v>0</v>
      </c>
      <c r="U61" s="72">
        <f t="shared" si="26"/>
        <v>0</v>
      </c>
      <c r="V61" s="72"/>
      <c r="W61" s="72"/>
      <c r="X61" s="72"/>
      <c r="Z61" s="72">
        <f t="shared" si="3"/>
        <v>0</v>
      </c>
      <c r="AA61" s="72">
        <f t="shared" si="4"/>
        <v>0</v>
      </c>
      <c r="AB61" s="72">
        <f t="shared" si="5"/>
        <v>0</v>
      </c>
      <c r="AC61" s="72">
        <f t="shared" si="6"/>
        <v>0</v>
      </c>
      <c r="AD61" s="72">
        <f t="shared" si="7"/>
        <v>0</v>
      </c>
      <c r="AE61" s="72">
        <f t="shared" si="8"/>
        <v>0</v>
      </c>
      <c r="AF61" s="72">
        <f t="shared" si="9"/>
        <v>0</v>
      </c>
      <c r="AG61" s="72">
        <f t="shared" si="10"/>
        <v>0</v>
      </c>
      <c r="AH61" s="72">
        <f t="shared" si="11"/>
        <v>0</v>
      </c>
      <c r="AI61" s="72">
        <f t="shared" si="12"/>
        <v>0</v>
      </c>
      <c r="AJ61" s="72">
        <f t="shared" si="13"/>
        <v>0</v>
      </c>
      <c r="AK61" s="72">
        <f t="shared" si="14"/>
        <v>0</v>
      </c>
    </row>
    <row r="62" spans="2:42" ht="17.25" hidden="1" thickBot="1">
      <c r="B62" s="100"/>
      <c r="C62" s="84"/>
      <c r="D62" s="171"/>
      <c r="E62" s="86"/>
      <c r="F62" s="163"/>
      <c r="G62" s="161">
        <f t="shared" si="31"/>
        <v>0</v>
      </c>
      <c r="H62" s="162">
        <f t="shared" si="32"/>
        <v>0</v>
      </c>
      <c r="I62" s="91"/>
      <c r="J62" s="72">
        <f t="shared" si="15"/>
        <v>0</v>
      </c>
      <c r="K62" s="72">
        <f t="shared" si="16"/>
        <v>0</v>
      </c>
      <c r="L62" s="72">
        <f t="shared" si="17"/>
        <v>0</v>
      </c>
      <c r="M62" s="72">
        <f t="shared" si="18"/>
        <v>0</v>
      </c>
      <c r="N62" s="72">
        <f t="shared" si="19"/>
        <v>0</v>
      </c>
      <c r="O62" s="72">
        <f t="shared" si="20"/>
        <v>0</v>
      </c>
      <c r="P62" s="72">
        <f t="shared" si="21"/>
        <v>0</v>
      </c>
      <c r="Q62" s="72">
        <f t="shared" si="22"/>
        <v>0</v>
      </c>
      <c r="R62" s="72">
        <f t="shared" si="23"/>
        <v>0</v>
      </c>
      <c r="S62" s="72">
        <f t="shared" si="24"/>
        <v>0</v>
      </c>
      <c r="T62" s="72">
        <f t="shared" si="25"/>
        <v>0</v>
      </c>
      <c r="U62" s="72">
        <f t="shared" si="26"/>
        <v>0</v>
      </c>
      <c r="V62" s="72"/>
      <c r="W62" s="72"/>
      <c r="X62" s="72"/>
      <c r="Z62" s="72">
        <f t="shared" si="3"/>
        <v>0</v>
      </c>
      <c r="AA62" s="72">
        <f t="shared" si="4"/>
        <v>0</v>
      </c>
      <c r="AB62" s="72">
        <f t="shared" si="5"/>
        <v>0</v>
      </c>
      <c r="AC62" s="72">
        <f t="shared" si="6"/>
        <v>0</v>
      </c>
      <c r="AD62" s="72">
        <f t="shared" si="7"/>
        <v>0</v>
      </c>
      <c r="AE62" s="72">
        <f t="shared" si="8"/>
        <v>0</v>
      </c>
      <c r="AF62" s="72">
        <f t="shared" si="9"/>
        <v>0</v>
      </c>
      <c r="AG62" s="72">
        <f t="shared" si="10"/>
        <v>0</v>
      </c>
      <c r="AH62" s="72">
        <f t="shared" si="11"/>
        <v>0</v>
      </c>
      <c r="AI62" s="72">
        <f t="shared" si="12"/>
        <v>0</v>
      </c>
      <c r="AJ62" s="72">
        <f t="shared" si="13"/>
        <v>0</v>
      </c>
      <c r="AK62" s="72">
        <f t="shared" si="14"/>
        <v>0</v>
      </c>
    </row>
    <row r="63" spans="2:42" ht="17.25" thickBot="1">
      <c r="C63" s="853" t="s">
        <v>45</v>
      </c>
      <c r="D63" s="854"/>
      <c r="E63" s="63">
        <f>SUM(E3:E62)</f>
        <v>3059.5499999999993</v>
      </c>
      <c r="F63" s="69"/>
      <c r="G63" s="64">
        <f>SUM(G3:G62)</f>
        <v>858.54333333333341</v>
      </c>
      <c r="H63" s="65">
        <f>SUM(H3:H62)</f>
        <v>2201.0066666666662</v>
      </c>
      <c r="I63" s="93"/>
      <c r="J63" s="73">
        <f>SUM(J3:J62)</f>
        <v>51.225000000000001</v>
      </c>
      <c r="K63" s="73">
        <f t="shared" ref="K63:U63" si="33">SUM(K3:K62)</f>
        <v>0</v>
      </c>
      <c r="L63" s="73">
        <f t="shared" si="33"/>
        <v>417.86</v>
      </c>
      <c r="M63" s="73">
        <f t="shared" si="33"/>
        <v>150</v>
      </c>
      <c r="N63" s="73">
        <f t="shared" si="33"/>
        <v>465.97666666666669</v>
      </c>
      <c r="O63" s="73">
        <f t="shared" si="33"/>
        <v>0</v>
      </c>
      <c r="P63" s="73">
        <f t="shared" si="33"/>
        <v>333.8</v>
      </c>
      <c r="Q63" s="73">
        <f t="shared" si="33"/>
        <v>115.5</v>
      </c>
      <c r="R63" s="73">
        <f t="shared" si="33"/>
        <v>484.64499999999998</v>
      </c>
      <c r="S63" s="73">
        <f t="shared" si="33"/>
        <v>0</v>
      </c>
      <c r="T63" s="73">
        <f t="shared" si="33"/>
        <v>182</v>
      </c>
      <c r="U63" s="73">
        <f t="shared" si="33"/>
        <v>0</v>
      </c>
      <c r="V63" s="73"/>
      <c r="W63" s="73"/>
      <c r="X63" s="73"/>
      <c r="Y63" s="73"/>
      <c r="Z63" s="73">
        <f>SUM(Z3:Z62)</f>
        <v>51.225000000000001</v>
      </c>
      <c r="AA63" s="73">
        <f t="shared" ref="AA63:AK63" si="34">SUM(AA3:AA62)</f>
        <v>0</v>
      </c>
      <c r="AB63" s="73">
        <f t="shared" si="34"/>
        <v>0</v>
      </c>
      <c r="AC63" s="73">
        <f t="shared" si="34"/>
        <v>100</v>
      </c>
      <c r="AD63" s="73">
        <f t="shared" si="34"/>
        <v>583.95333333333338</v>
      </c>
      <c r="AE63" s="73">
        <f t="shared" si="34"/>
        <v>0</v>
      </c>
      <c r="AF63" s="73">
        <f t="shared" si="34"/>
        <v>0</v>
      </c>
      <c r="AG63" s="73">
        <f t="shared" si="34"/>
        <v>115.5</v>
      </c>
      <c r="AH63" s="73">
        <f t="shared" si="34"/>
        <v>7.8650000000000002</v>
      </c>
      <c r="AI63" s="73">
        <f t="shared" si="34"/>
        <v>0</v>
      </c>
      <c r="AJ63" s="73">
        <f t="shared" si="34"/>
        <v>0</v>
      </c>
      <c r="AK63" s="73">
        <f t="shared" si="34"/>
        <v>0</v>
      </c>
      <c r="AL63" s="73"/>
      <c r="AM63" s="73"/>
      <c r="AN63" s="73"/>
      <c r="AO63" s="73"/>
      <c r="AP63" s="73"/>
    </row>
    <row r="64" spans="2:42">
      <c r="H64" s="59"/>
      <c r="I64" s="94"/>
      <c r="J64" s="59"/>
      <c r="K64" s="59"/>
      <c r="L64" s="59"/>
      <c r="M64" s="59"/>
      <c r="N64" s="59"/>
      <c r="O64" s="59"/>
      <c r="P64" s="59"/>
      <c r="Q64" s="59"/>
      <c r="R64" s="59"/>
      <c r="S64" s="59"/>
      <c r="Z64" s="59"/>
      <c r="AA64" s="59"/>
      <c r="AB64" s="59"/>
      <c r="AC64" s="59"/>
      <c r="AD64" s="59"/>
      <c r="AE64" s="59"/>
      <c r="AF64" s="59"/>
      <c r="AG64" s="59"/>
      <c r="AH64" s="59"/>
      <c r="AI64" s="59"/>
    </row>
    <row r="66" spans="4:8" ht="17.25" thickBot="1"/>
    <row r="67" spans="4:8">
      <c r="D67" s="855" t="s">
        <v>267</v>
      </c>
      <c r="E67" s="856"/>
      <c r="F67" s="856"/>
      <c r="G67" s="856"/>
      <c r="H67" s="857"/>
    </row>
    <row r="68" spans="4:8">
      <c r="D68" s="858"/>
      <c r="E68" s="859"/>
      <c r="F68" s="859"/>
      <c r="G68" s="859"/>
      <c r="H68" s="860"/>
    </row>
    <row r="69" spans="4:8">
      <c r="D69" s="858"/>
      <c r="E69" s="859"/>
      <c r="F69" s="859"/>
      <c r="G69" s="859"/>
      <c r="H69" s="860"/>
    </row>
    <row r="70" spans="4:8" ht="17.25" thickBot="1">
      <c r="D70" s="861"/>
      <c r="E70" s="862"/>
      <c r="F70" s="862"/>
      <c r="G70" s="862"/>
      <c r="H70" s="863"/>
    </row>
  </sheetData>
  <mergeCells count="5">
    <mergeCell ref="AR18:AT18"/>
    <mergeCell ref="C63:D63"/>
    <mergeCell ref="AV23:AW23"/>
    <mergeCell ref="AY23:AZ23"/>
    <mergeCell ref="D67:H70"/>
  </mergeCells>
  <dataValidations count="3">
    <dataValidation type="list" allowBlank="1" showInputMessage="1" showErrorMessage="1" sqref="D3:D11">
      <formula1>$AH$2:$AH$12</formula1>
    </dataValidation>
    <dataValidation type="list" allowBlank="1" showInputMessage="1" showErrorMessage="1" sqref="D12:D62">
      <formula1>$AQ$2:$AQ$12</formula1>
    </dataValidation>
    <dataValidation type="list" allowBlank="1" showInputMessage="1" showErrorMessage="1" sqref="F3:F62">
      <formula1>$AQ$17:$AQ$19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ignoredErrors>
    <ignoredError sqref="G13" formula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1:AZ70"/>
  <sheetViews>
    <sheetView workbookViewId="0">
      <selection activeCell="D67" sqref="D67:H70"/>
    </sheetView>
  </sheetViews>
  <sheetFormatPr defaultRowHeight="16.5"/>
  <cols>
    <col min="1" max="1" width="1" style="55" customWidth="1"/>
    <col min="2" max="2" width="6.5703125" style="134" bestFit="1" customWidth="1"/>
    <col min="3" max="3" width="16.7109375" style="55" customWidth="1"/>
    <col min="4" max="4" width="17.5703125" style="55" customWidth="1"/>
    <col min="5" max="5" width="13.7109375" style="55" customWidth="1"/>
    <col min="6" max="6" width="13.7109375" style="134" customWidth="1"/>
    <col min="7" max="8" width="13.7109375" style="55" customWidth="1"/>
    <col min="9" max="9" width="10" style="89" customWidth="1"/>
    <col min="10" max="24" width="10.140625" style="55" hidden="1" customWidth="1"/>
    <col min="25" max="25" width="9.7109375" style="55" hidden="1" customWidth="1"/>
    <col min="26" max="41" width="10.140625" style="55" hidden="1" customWidth="1"/>
    <col min="42" max="42" width="2.5703125" style="55" customWidth="1"/>
    <col min="43" max="43" width="16.85546875" style="55" bestFit="1" customWidth="1"/>
    <col min="44" max="47" width="12.7109375" style="55" customWidth="1"/>
    <col min="48" max="48" width="8.28515625" style="55" bestFit="1" customWidth="1"/>
    <col min="49" max="49" width="10.5703125" style="55" bestFit="1" customWidth="1"/>
    <col min="50" max="50" width="3.28515625" style="55" customWidth="1"/>
    <col min="51" max="51" width="18.42578125" style="55" bestFit="1" customWidth="1"/>
    <col min="52" max="52" width="11.7109375" style="55" bestFit="1" customWidth="1"/>
    <col min="53" max="16384" width="9.140625" style="55"/>
  </cols>
  <sheetData>
    <row r="1" spans="2:48" ht="17.25" thickBot="1">
      <c r="AR1" s="134" t="s">
        <v>66</v>
      </c>
      <c r="AS1" s="134" t="s">
        <v>67</v>
      </c>
      <c r="AT1" s="81" t="s">
        <v>65</v>
      </c>
      <c r="AV1" s="134"/>
    </row>
    <row r="2" spans="2:48" ht="17.25" thickBot="1">
      <c r="B2" s="68" t="s">
        <v>1</v>
      </c>
      <c r="C2" s="66" t="s">
        <v>0</v>
      </c>
      <c r="D2" s="66" t="s">
        <v>63</v>
      </c>
      <c r="E2" s="66" t="s">
        <v>2</v>
      </c>
      <c r="F2" s="66" t="s">
        <v>64</v>
      </c>
      <c r="G2" s="66" t="s">
        <v>3</v>
      </c>
      <c r="H2" s="67" t="s">
        <v>4</v>
      </c>
      <c r="I2" s="90"/>
      <c r="J2" s="75" t="s">
        <v>57</v>
      </c>
      <c r="K2" s="74" t="s">
        <v>51</v>
      </c>
      <c r="L2" s="74" t="s">
        <v>120</v>
      </c>
      <c r="M2" s="74" t="s">
        <v>36</v>
      </c>
      <c r="N2" s="74" t="s">
        <v>56</v>
      </c>
      <c r="O2" s="74" t="s">
        <v>125</v>
      </c>
      <c r="P2" s="74" t="s">
        <v>54</v>
      </c>
      <c r="Q2" s="74" t="s">
        <v>59</v>
      </c>
      <c r="R2" s="74" t="s">
        <v>40</v>
      </c>
      <c r="S2" s="74" t="s">
        <v>55</v>
      </c>
      <c r="T2" s="74" t="s">
        <v>58</v>
      </c>
      <c r="U2" s="74" t="s">
        <v>52</v>
      </c>
      <c r="V2" s="74"/>
      <c r="W2" s="74"/>
      <c r="X2" s="74"/>
      <c r="Z2" s="75" t="s">
        <v>57</v>
      </c>
      <c r="AA2" s="74" t="s">
        <v>51</v>
      </c>
      <c r="AB2" s="74" t="s">
        <v>120</v>
      </c>
      <c r="AC2" s="74" t="s">
        <v>36</v>
      </c>
      <c r="AD2" s="74" t="s">
        <v>56</v>
      </c>
      <c r="AE2" s="74" t="s">
        <v>125</v>
      </c>
      <c r="AF2" s="74" t="s">
        <v>54</v>
      </c>
      <c r="AG2" s="74" t="s">
        <v>59</v>
      </c>
      <c r="AH2" s="74" t="s">
        <v>40</v>
      </c>
      <c r="AI2" s="74" t="s">
        <v>55</v>
      </c>
      <c r="AJ2" s="74" t="s">
        <v>58</v>
      </c>
      <c r="AK2" s="74" t="s">
        <v>52</v>
      </c>
      <c r="AL2" s="74"/>
      <c r="AM2" s="74"/>
      <c r="AN2" s="74"/>
      <c r="AO2" s="74"/>
      <c r="AP2" s="74"/>
      <c r="AQ2" s="71" t="s">
        <v>57</v>
      </c>
      <c r="AR2" s="97">
        <f t="shared" ref="AR2:AR16" si="0">AT2+AS2</f>
        <v>0</v>
      </c>
      <c r="AS2" s="58">
        <f>Z63</f>
        <v>0</v>
      </c>
      <c r="AT2" s="58">
        <f>J63</f>
        <v>0</v>
      </c>
    </row>
    <row r="3" spans="2:48">
      <c r="B3" s="60">
        <v>44717</v>
      </c>
      <c r="C3" s="62" t="s">
        <v>71</v>
      </c>
      <c r="D3" s="79" t="s">
        <v>40</v>
      </c>
      <c r="E3" s="56">
        <v>139.9</v>
      </c>
      <c r="F3" s="76" t="s">
        <v>65</v>
      </c>
      <c r="G3" s="157">
        <f>IF(F3="MARCIA",E3,IF(F3="AMBOS",E3/2,0))</f>
        <v>0</v>
      </c>
      <c r="H3" s="158">
        <f>IF(F3="LUCIANO",E3,IF(F3="AMBOS",E3/2,0))</f>
        <v>139.9</v>
      </c>
      <c r="I3" s="91" t="s">
        <v>149</v>
      </c>
      <c r="J3" s="72">
        <f>IF($D3="ALIMENTAÇÃO",$H3,0)</f>
        <v>0</v>
      </c>
      <c r="K3" s="72">
        <f>IF($D3="ANIMAIS",$H3,0)</f>
        <v>0</v>
      </c>
      <c r="L3" s="72">
        <f>IF($D3="FILHO",$H3,0)</f>
        <v>0</v>
      </c>
      <c r="M3" s="72">
        <f>IF($D3="GASOLINA",$H3,0)</f>
        <v>0</v>
      </c>
      <c r="N3" s="72">
        <f>IF($D3="LAZER",$H3,0)</f>
        <v>0</v>
      </c>
      <c r="O3" s="72">
        <f>IF($D3="MANUT. IMÓVEL",$H3,0)</f>
        <v>0</v>
      </c>
      <c r="P3" s="72">
        <f>IF($D3="MANUT. VEICULAR",$H3,0)</f>
        <v>0</v>
      </c>
      <c r="Q3" s="72">
        <f>IF($D3="MÓVEIS",$H3,0)</f>
        <v>0</v>
      </c>
      <c r="R3" s="72">
        <f>IF($D3="OUTROS",$H3,0)</f>
        <v>139.9</v>
      </c>
      <c r="S3" s="72">
        <f>IF($D3="PLANOS",$H3,0)</f>
        <v>0</v>
      </c>
      <c r="T3" s="72">
        <f>IF($D3="SAÚDE",$H3,0)</f>
        <v>0</v>
      </c>
      <c r="U3" s="72">
        <f>IF($D3="TRANSPORTE",$H3,0)</f>
        <v>0</v>
      </c>
      <c r="V3" s="72"/>
      <c r="W3" s="72"/>
      <c r="X3" s="72"/>
      <c r="Z3" s="72">
        <f>IF($D3="ALIMENTAÇÃO",$G3,0)</f>
        <v>0</v>
      </c>
      <c r="AA3" s="72">
        <f>IF($D3="ANIMAIS",$G3,0)</f>
        <v>0</v>
      </c>
      <c r="AB3" s="72">
        <f>IF($D3="FILHO",$G3,0)</f>
        <v>0</v>
      </c>
      <c r="AC3" s="72">
        <f>IF($D3="GASOLINA",$G3,0)</f>
        <v>0</v>
      </c>
      <c r="AD3" s="72">
        <f>IF($D3="LAZER",$G3,0)</f>
        <v>0</v>
      </c>
      <c r="AE3" s="72">
        <f>IF($D3="MANUT. IMÓVEL",$G3,0)</f>
        <v>0</v>
      </c>
      <c r="AF3" s="72">
        <f>IF($D3="MANUT. VEICULAR",$G3,0)</f>
        <v>0</v>
      </c>
      <c r="AG3" s="72">
        <f>IF($D3="MÓVEIS",$G3,0)</f>
        <v>0</v>
      </c>
      <c r="AH3" s="72">
        <f>IF($D3="OUTROS",$G3,0)</f>
        <v>0</v>
      </c>
      <c r="AI3" s="72">
        <f>IF($D3="PLANOS",$G3,0)</f>
        <v>0</v>
      </c>
      <c r="AJ3" s="72">
        <f>IF($D3="SAÚDE",$G3,0)</f>
        <v>0</v>
      </c>
      <c r="AK3" s="72">
        <f>IF($D3="TRANSPORTE",$G3,0)</f>
        <v>0</v>
      </c>
      <c r="AQ3" s="71" t="s">
        <v>51</v>
      </c>
      <c r="AR3" s="97">
        <f t="shared" si="0"/>
        <v>0</v>
      </c>
      <c r="AS3" s="58">
        <f>AA63</f>
        <v>0</v>
      </c>
      <c r="AT3" s="58">
        <f>K63</f>
        <v>0</v>
      </c>
    </row>
    <row r="4" spans="2:48">
      <c r="B4" s="60">
        <v>44731</v>
      </c>
      <c r="C4" s="62" t="s">
        <v>74</v>
      </c>
      <c r="D4" s="79" t="s">
        <v>59</v>
      </c>
      <c r="E4" s="56">
        <v>231</v>
      </c>
      <c r="F4" s="76" t="s">
        <v>66</v>
      </c>
      <c r="G4" s="77">
        <f t="shared" ref="G4:G10" si="1">IF(F4="MARCIA",E4,IF(F4="AMBOS",E4/2,0))</f>
        <v>115.5</v>
      </c>
      <c r="H4" s="78">
        <f t="shared" ref="H4:H10" si="2">IF(F4="LUCIANO",E4,IF(F4="AMBOS",E4/2,0))</f>
        <v>115.5</v>
      </c>
      <c r="I4" s="91" t="s">
        <v>136</v>
      </c>
      <c r="J4" s="72">
        <f>IF($D4="ALIMENTAÇÃO",$H4,0)</f>
        <v>0</v>
      </c>
      <c r="K4" s="72">
        <f>IF($D4="ANIMAIS",$H4,0)</f>
        <v>0</v>
      </c>
      <c r="L4" s="72">
        <f>IF($D4="FILHO",$H4,0)</f>
        <v>0</v>
      </c>
      <c r="M4" s="72">
        <f>IF($D4="GASOLINA",$H4,0)</f>
        <v>0</v>
      </c>
      <c r="N4" s="72">
        <f>IF($D4="LAZER",$H4,0)</f>
        <v>0</v>
      </c>
      <c r="O4" s="72">
        <f>IF($D4="MANUT. IMÓVEL",$H4,0)</f>
        <v>0</v>
      </c>
      <c r="P4" s="72">
        <f>IF($D4="MANUT. VEICULAR",$H4,0)</f>
        <v>0</v>
      </c>
      <c r="Q4" s="72">
        <f>IF($D4="MÓVEIS",$H4,0)</f>
        <v>115.5</v>
      </c>
      <c r="R4" s="72">
        <f>IF($D4="OUTROS",$H4,0)</f>
        <v>0</v>
      </c>
      <c r="S4" s="72">
        <f>IF($D4="PLANOS",$H4,0)</f>
        <v>0</v>
      </c>
      <c r="T4" s="72">
        <f>IF($D4="SAÚDE",$H4,0)</f>
        <v>0</v>
      </c>
      <c r="U4" s="72">
        <f>IF($D4="TRANSPORTE",$H4,0)</f>
        <v>0</v>
      </c>
      <c r="V4" s="72"/>
      <c r="W4" s="72"/>
      <c r="X4" s="72"/>
      <c r="Z4" s="72">
        <f t="shared" ref="Z4:Z62" si="3">IF($D4="ALIMENTAÇÃO",$G4,0)</f>
        <v>0</v>
      </c>
      <c r="AA4" s="72">
        <f t="shared" ref="AA4:AA62" si="4">IF($D4="ANIMAIS",$G4,0)</f>
        <v>0</v>
      </c>
      <c r="AB4" s="72">
        <f t="shared" ref="AB4:AB62" si="5">IF($D4="FILHO",$G4,0)</f>
        <v>0</v>
      </c>
      <c r="AC4" s="72">
        <f t="shared" ref="AC4:AC62" si="6">IF($D4="GASOLINA",$G4,0)</f>
        <v>0</v>
      </c>
      <c r="AD4" s="72">
        <f t="shared" ref="AD4:AD62" si="7">IF($D4="LAZER",$G4,0)</f>
        <v>0</v>
      </c>
      <c r="AE4" s="72">
        <f t="shared" ref="AE4:AE62" si="8">IF($D4="MANUT. IMÓVEL",$G4,0)</f>
        <v>0</v>
      </c>
      <c r="AF4" s="72">
        <f t="shared" ref="AF4:AF62" si="9">IF($D4="MANUT. VEICULAR",$G4,0)</f>
        <v>0</v>
      </c>
      <c r="AG4" s="72">
        <f t="shared" ref="AG4:AG62" si="10">IF($D4="MÓVEIS",$G4,0)</f>
        <v>115.5</v>
      </c>
      <c r="AH4" s="72">
        <f t="shared" ref="AH4:AH62" si="11">IF($D4="OUTROS",$G4,0)</f>
        <v>0</v>
      </c>
      <c r="AI4" s="72">
        <f t="shared" ref="AI4:AI62" si="12">IF($D4="PLANOS",$G4,0)</f>
        <v>0</v>
      </c>
      <c r="AJ4" s="72">
        <f t="shared" ref="AJ4:AJ62" si="13">IF($D4="SAÚDE",$G4,0)</f>
        <v>0</v>
      </c>
      <c r="AK4" s="72">
        <f t="shared" ref="AK4:AK62" si="14">IF($D4="TRANSPORTE",$G4,0)</f>
        <v>0</v>
      </c>
      <c r="AM4" s="72"/>
      <c r="AQ4" s="71" t="s">
        <v>120</v>
      </c>
      <c r="AR4" s="97">
        <f t="shared" si="0"/>
        <v>368.53999999999996</v>
      </c>
      <c r="AS4" s="58">
        <f>AB63</f>
        <v>0</v>
      </c>
      <c r="AT4" s="58">
        <f>L63</f>
        <v>368.53999999999996</v>
      </c>
    </row>
    <row r="5" spans="2:48">
      <c r="B5" s="60">
        <v>44816</v>
      </c>
      <c r="C5" s="62" t="s">
        <v>82</v>
      </c>
      <c r="D5" s="79" t="s">
        <v>58</v>
      </c>
      <c r="E5" s="56">
        <v>158</v>
      </c>
      <c r="F5" s="76" t="s">
        <v>65</v>
      </c>
      <c r="G5" s="77">
        <f t="shared" si="1"/>
        <v>0</v>
      </c>
      <c r="H5" s="78">
        <f t="shared" si="2"/>
        <v>158</v>
      </c>
      <c r="I5" s="91" t="s">
        <v>150</v>
      </c>
      <c r="J5" s="72">
        <f t="shared" ref="J5:J62" si="15">IF($D5="ALIMENTAÇÃO",$H5,0)</f>
        <v>0</v>
      </c>
      <c r="K5" s="72">
        <f t="shared" ref="K5:K62" si="16">IF($D5="ANIMAIS",$H5,0)</f>
        <v>0</v>
      </c>
      <c r="L5" s="72">
        <f t="shared" ref="L5:L62" si="17">IF($D5="FILHO",$H5,0)</f>
        <v>0</v>
      </c>
      <c r="M5" s="72">
        <f t="shared" ref="M5:M62" si="18">IF($D5="GASOLINA",$H5,0)</f>
        <v>0</v>
      </c>
      <c r="N5" s="72">
        <f t="shared" ref="N5:N62" si="19">IF($D5="LAZER",$H5,0)</f>
        <v>0</v>
      </c>
      <c r="O5" s="72">
        <f t="shared" ref="O5:O62" si="20">IF($D5="MANUT. IMÓVEL",$H5,0)</f>
        <v>0</v>
      </c>
      <c r="P5" s="72">
        <f t="shared" ref="P5:P62" si="21">IF($D5="MANUT. VEICULAR",$H5,0)</f>
        <v>0</v>
      </c>
      <c r="Q5" s="72">
        <f t="shared" ref="Q5:Q62" si="22">IF($D5="MÓVEIS",$H5,0)</f>
        <v>0</v>
      </c>
      <c r="R5" s="72">
        <f t="shared" ref="R5:R62" si="23">IF($D5="OUTROS",$H5,0)</f>
        <v>0</v>
      </c>
      <c r="S5" s="72">
        <f t="shared" ref="S5:S62" si="24">IF($D5="PLANOS",$H5,0)</f>
        <v>0</v>
      </c>
      <c r="T5" s="72">
        <f t="shared" ref="T5:T62" si="25">IF($D5="SAÚDE",$H5,0)</f>
        <v>158</v>
      </c>
      <c r="U5" s="72">
        <f t="shared" ref="U5:U62" si="26">IF($D5="TRANSPORTE",$H5,0)</f>
        <v>0</v>
      </c>
      <c r="V5" s="72"/>
      <c r="W5" s="72"/>
      <c r="X5" s="72"/>
      <c r="Z5" s="72">
        <f t="shared" si="3"/>
        <v>0</v>
      </c>
      <c r="AA5" s="72">
        <f t="shared" si="4"/>
        <v>0</v>
      </c>
      <c r="AB5" s="72">
        <f t="shared" si="5"/>
        <v>0</v>
      </c>
      <c r="AC5" s="72">
        <f t="shared" si="6"/>
        <v>0</v>
      </c>
      <c r="AD5" s="72">
        <f t="shared" si="7"/>
        <v>0</v>
      </c>
      <c r="AE5" s="72">
        <f t="shared" si="8"/>
        <v>0</v>
      </c>
      <c r="AF5" s="72">
        <f t="shared" si="9"/>
        <v>0</v>
      </c>
      <c r="AG5" s="72">
        <f t="shared" si="10"/>
        <v>0</v>
      </c>
      <c r="AH5" s="72">
        <f t="shared" si="11"/>
        <v>0</v>
      </c>
      <c r="AI5" s="72">
        <f t="shared" si="12"/>
        <v>0</v>
      </c>
      <c r="AJ5" s="72">
        <f t="shared" si="13"/>
        <v>0</v>
      </c>
      <c r="AK5" s="72">
        <f t="shared" si="14"/>
        <v>0</v>
      </c>
      <c r="AQ5" s="71" t="s">
        <v>36</v>
      </c>
      <c r="AR5" s="97">
        <f t="shared" si="0"/>
        <v>0</v>
      </c>
      <c r="AS5" s="58">
        <f>AC63</f>
        <v>0</v>
      </c>
      <c r="AT5" s="58">
        <f>M63</f>
        <v>0</v>
      </c>
    </row>
    <row r="6" spans="2:48">
      <c r="B6" s="60">
        <v>44834</v>
      </c>
      <c r="C6" s="62" t="s">
        <v>83</v>
      </c>
      <c r="D6" s="79" t="s">
        <v>40</v>
      </c>
      <c r="E6" s="56">
        <v>37.979999999999997</v>
      </c>
      <c r="F6" s="76" t="s">
        <v>65</v>
      </c>
      <c r="G6" s="77">
        <f t="shared" si="1"/>
        <v>0</v>
      </c>
      <c r="H6" s="78">
        <f t="shared" si="2"/>
        <v>37.979999999999997</v>
      </c>
      <c r="I6" s="91" t="s">
        <v>152</v>
      </c>
      <c r="J6" s="72">
        <f t="shared" si="15"/>
        <v>0</v>
      </c>
      <c r="K6" s="72">
        <f t="shared" si="16"/>
        <v>0</v>
      </c>
      <c r="L6" s="72">
        <f t="shared" si="17"/>
        <v>0</v>
      </c>
      <c r="M6" s="72">
        <f t="shared" si="18"/>
        <v>0</v>
      </c>
      <c r="N6" s="72">
        <f t="shared" si="19"/>
        <v>0</v>
      </c>
      <c r="O6" s="72">
        <f t="shared" si="20"/>
        <v>0</v>
      </c>
      <c r="P6" s="72">
        <f t="shared" si="21"/>
        <v>0</v>
      </c>
      <c r="Q6" s="72">
        <f t="shared" si="22"/>
        <v>0</v>
      </c>
      <c r="R6" s="72">
        <f t="shared" si="23"/>
        <v>37.979999999999997</v>
      </c>
      <c r="S6" s="72">
        <f t="shared" si="24"/>
        <v>0</v>
      </c>
      <c r="T6" s="72">
        <f t="shared" si="25"/>
        <v>0</v>
      </c>
      <c r="U6" s="72">
        <f t="shared" si="26"/>
        <v>0</v>
      </c>
      <c r="V6" s="72"/>
      <c r="W6" s="72"/>
      <c r="X6" s="72"/>
      <c r="Z6" s="72">
        <f t="shared" si="3"/>
        <v>0</v>
      </c>
      <c r="AA6" s="72">
        <f t="shared" si="4"/>
        <v>0</v>
      </c>
      <c r="AB6" s="72">
        <f t="shared" si="5"/>
        <v>0</v>
      </c>
      <c r="AC6" s="72">
        <f t="shared" si="6"/>
        <v>0</v>
      </c>
      <c r="AD6" s="72">
        <f t="shared" si="7"/>
        <v>0</v>
      </c>
      <c r="AE6" s="72">
        <f t="shared" si="8"/>
        <v>0</v>
      </c>
      <c r="AF6" s="72">
        <f t="shared" si="9"/>
        <v>0</v>
      </c>
      <c r="AG6" s="72">
        <f t="shared" si="10"/>
        <v>0</v>
      </c>
      <c r="AH6" s="72">
        <f t="shared" si="11"/>
        <v>0</v>
      </c>
      <c r="AI6" s="72">
        <f t="shared" si="12"/>
        <v>0</v>
      </c>
      <c r="AJ6" s="72">
        <f t="shared" si="13"/>
        <v>0</v>
      </c>
      <c r="AK6" s="72">
        <f t="shared" si="14"/>
        <v>0</v>
      </c>
      <c r="AQ6" s="71" t="s">
        <v>56</v>
      </c>
      <c r="AR6" s="97">
        <f t="shared" si="0"/>
        <v>585.04999999999995</v>
      </c>
      <c r="AS6" s="58">
        <f>AD63</f>
        <v>390.0333333333333</v>
      </c>
      <c r="AT6" s="58">
        <f>N63</f>
        <v>195.01666666666665</v>
      </c>
    </row>
    <row r="7" spans="2:48">
      <c r="B7" s="60">
        <v>44834</v>
      </c>
      <c r="C7" s="62" t="s">
        <v>84</v>
      </c>
      <c r="D7" s="79" t="s">
        <v>40</v>
      </c>
      <c r="E7" s="56">
        <v>128.96</v>
      </c>
      <c r="F7" s="76" t="s">
        <v>65</v>
      </c>
      <c r="G7" s="77">
        <f t="shared" si="1"/>
        <v>0</v>
      </c>
      <c r="H7" s="78">
        <f t="shared" si="2"/>
        <v>128.96</v>
      </c>
      <c r="I7" s="91" t="s">
        <v>150</v>
      </c>
      <c r="J7" s="72">
        <f t="shared" si="15"/>
        <v>0</v>
      </c>
      <c r="K7" s="72">
        <f t="shared" si="16"/>
        <v>0</v>
      </c>
      <c r="L7" s="72">
        <f t="shared" si="17"/>
        <v>0</v>
      </c>
      <c r="M7" s="72">
        <f t="shared" si="18"/>
        <v>0</v>
      </c>
      <c r="N7" s="72">
        <f t="shared" si="19"/>
        <v>0</v>
      </c>
      <c r="O7" s="72">
        <f t="shared" si="20"/>
        <v>0</v>
      </c>
      <c r="P7" s="72">
        <f t="shared" si="21"/>
        <v>0</v>
      </c>
      <c r="Q7" s="72">
        <f t="shared" si="22"/>
        <v>0</v>
      </c>
      <c r="R7" s="72">
        <f t="shared" si="23"/>
        <v>128.96</v>
      </c>
      <c r="S7" s="72">
        <f t="shared" si="24"/>
        <v>0</v>
      </c>
      <c r="T7" s="72">
        <f t="shared" si="25"/>
        <v>0</v>
      </c>
      <c r="U7" s="72">
        <f t="shared" si="26"/>
        <v>0</v>
      </c>
      <c r="V7" s="72"/>
      <c r="W7" s="72"/>
      <c r="X7" s="72"/>
      <c r="Z7" s="72">
        <f t="shared" si="3"/>
        <v>0</v>
      </c>
      <c r="AA7" s="72">
        <f t="shared" si="4"/>
        <v>0</v>
      </c>
      <c r="AB7" s="72">
        <f t="shared" si="5"/>
        <v>0</v>
      </c>
      <c r="AC7" s="72">
        <f t="shared" si="6"/>
        <v>0</v>
      </c>
      <c r="AD7" s="72">
        <f t="shared" si="7"/>
        <v>0</v>
      </c>
      <c r="AE7" s="72">
        <f t="shared" si="8"/>
        <v>0</v>
      </c>
      <c r="AF7" s="72">
        <f t="shared" si="9"/>
        <v>0</v>
      </c>
      <c r="AG7" s="72">
        <f t="shared" si="10"/>
        <v>0</v>
      </c>
      <c r="AH7" s="72">
        <f t="shared" si="11"/>
        <v>0</v>
      </c>
      <c r="AI7" s="72">
        <f t="shared" si="12"/>
        <v>0</v>
      </c>
      <c r="AJ7" s="72">
        <f t="shared" si="13"/>
        <v>0</v>
      </c>
      <c r="AK7" s="72">
        <f t="shared" si="14"/>
        <v>0</v>
      </c>
      <c r="AQ7" s="71" t="s">
        <v>53</v>
      </c>
      <c r="AR7" s="97">
        <f t="shared" si="0"/>
        <v>0</v>
      </c>
      <c r="AS7" s="58">
        <f>AE63</f>
        <v>0</v>
      </c>
      <c r="AT7" s="58">
        <f>O63</f>
        <v>0</v>
      </c>
    </row>
    <row r="8" spans="2:48">
      <c r="B8" s="60">
        <v>44863</v>
      </c>
      <c r="C8" s="62" t="s">
        <v>107</v>
      </c>
      <c r="D8" s="79" t="s">
        <v>40</v>
      </c>
      <c r="E8" s="56">
        <v>50</v>
      </c>
      <c r="F8" s="76" t="s">
        <v>65</v>
      </c>
      <c r="G8" s="77">
        <f t="shared" si="1"/>
        <v>0</v>
      </c>
      <c r="H8" s="78">
        <f t="shared" si="2"/>
        <v>50</v>
      </c>
      <c r="I8" s="91" t="s">
        <v>137</v>
      </c>
      <c r="J8" s="72">
        <f t="shared" si="15"/>
        <v>0</v>
      </c>
      <c r="K8" s="72">
        <f t="shared" si="16"/>
        <v>0</v>
      </c>
      <c r="L8" s="72">
        <f t="shared" si="17"/>
        <v>0</v>
      </c>
      <c r="M8" s="72">
        <f t="shared" si="18"/>
        <v>0</v>
      </c>
      <c r="N8" s="72">
        <f t="shared" si="19"/>
        <v>0</v>
      </c>
      <c r="O8" s="72">
        <f t="shared" si="20"/>
        <v>0</v>
      </c>
      <c r="P8" s="72">
        <f t="shared" si="21"/>
        <v>0</v>
      </c>
      <c r="Q8" s="72">
        <f t="shared" si="22"/>
        <v>0</v>
      </c>
      <c r="R8" s="72">
        <f t="shared" si="23"/>
        <v>50</v>
      </c>
      <c r="S8" s="72">
        <f t="shared" si="24"/>
        <v>0</v>
      </c>
      <c r="T8" s="72">
        <f t="shared" si="25"/>
        <v>0</v>
      </c>
      <c r="U8" s="72">
        <f t="shared" si="26"/>
        <v>0</v>
      </c>
      <c r="V8" s="72"/>
      <c r="W8" s="72"/>
      <c r="X8" s="72"/>
      <c r="Z8" s="72">
        <f t="shared" si="3"/>
        <v>0</v>
      </c>
      <c r="AA8" s="72">
        <f t="shared" si="4"/>
        <v>0</v>
      </c>
      <c r="AB8" s="72">
        <f t="shared" si="5"/>
        <v>0</v>
      </c>
      <c r="AC8" s="72">
        <f t="shared" si="6"/>
        <v>0</v>
      </c>
      <c r="AD8" s="72">
        <f t="shared" si="7"/>
        <v>0</v>
      </c>
      <c r="AE8" s="72">
        <f t="shared" si="8"/>
        <v>0</v>
      </c>
      <c r="AF8" s="72">
        <f t="shared" si="9"/>
        <v>0</v>
      </c>
      <c r="AG8" s="72">
        <f t="shared" si="10"/>
        <v>0</v>
      </c>
      <c r="AH8" s="72">
        <f t="shared" si="11"/>
        <v>0</v>
      </c>
      <c r="AI8" s="72">
        <f t="shared" si="12"/>
        <v>0</v>
      </c>
      <c r="AJ8" s="72">
        <f t="shared" si="13"/>
        <v>0</v>
      </c>
      <c r="AK8" s="72">
        <f t="shared" si="14"/>
        <v>0</v>
      </c>
      <c r="AQ8" s="71" t="s">
        <v>54</v>
      </c>
      <c r="AR8" s="97">
        <f t="shared" si="0"/>
        <v>211.3</v>
      </c>
      <c r="AS8" s="58">
        <f>AF63</f>
        <v>0</v>
      </c>
      <c r="AT8" s="58">
        <f>P63</f>
        <v>211.3</v>
      </c>
    </row>
    <row r="9" spans="2:48">
      <c r="B9" s="60">
        <v>44861</v>
      </c>
      <c r="C9" s="62" t="s">
        <v>108</v>
      </c>
      <c r="D9" s="79" t="s">
        <v>40</v>
      </c>
      <c r="E9" s="56">
        <v>15.73</v>
      </c>
      <c r="F9" s="76" t="s">
        <v>66</v>
      </c>
      <c r="G9" s="77">
        <f t="shared" si="1"/>
        <v>7.8650000000000002</v>
      </c>
      <c r="H9" s="78">
        <f t="shared" si="2"/>
        <v>7.8650000000000002</v>
      </c>
      <c r="I9" s="91" t="s">
        <v>151</v>
      </c>
      <c r="J9" s="72">
        <f t="shared" si="15"/>
        <v>0</v>
      </c>
      <c r="K9" s="72">
        <f t="shared" si="16"/>
        <v>0</v>
      </c>
      <c r="L9" s="72">
        <f t="shared" si="17"/>
        <v>0</v>
      </c>
      <c r="M9" s="72">
        <f t="shared" si="18"/>
        <v>0</v>
      </c>
      <c r="N9" s="72">
        <f t="shared" si="19"/>
        <v>0</v>
      </c>
      <c r="O9" s="72">
        <f t="shared" si="20"/>
        <v>0</v>
      </c>
      <c r="P9" s="72">
        <f t="shared" si="21"/>
        <v>0</v>
      </c>
      <c r="Q9" s="72">
        <f t="shared" si="22"/>
        <v>0</v>
      </c>
      <c r="R9" s="72">
        <f t="shared" si="23"/>
        <v>7.8650000000000002</v>
      </c>
      <c r="S9" s="72">
        <f t="shared" si="24"/>
        <v>0</v>
      </c>
      <c r="T9" s="72">
        <f t="shared" si="25"/>
        <v>0</v>
      </c>
      <c r="U9" s="72">
        <f t="shared" si="26"/>
        <v>0</v>
      </c>
      <c r="V9" s="72"/>
      <c r="W9" s="72"/>
      <c r="X9" s="72"/>
      <c r="Z9" s="72">
        <f t="shared" si="3"/>
        <v>0</v>
      </c>
      <c r="AA9" s="72">
        <f t="shared" si="4"/>
        <v>0</v>
      </c>
      <c r="AB9" s="72">
        <f t="shared" si="5"/>
        <v>0</v>
      </c>
      <c r="AC9" s="72">
        <f t="shared" si="6"/>
        <v>0</v>
      </c>
      <c r="AD9" s="72">
        <f t="shared" si="7"/>
        <v>0</v>
      </c>
      <c r="AE9" s="72">
        <f t="shared" si="8"/>
        <v>0</v>
      </c>
      <c r="AF9" s="72">
        <f t="shared" si="9"/>
        <v>0</v>
      </c>
      <c r="AG9" s="72">
        <f t="shared" si="10"/>
        <v>0</v>
      </c>
      <c r="AH9" s="72">
        <f t="shared" si="11"/>
        <v>7.8650000000000002</v>
      </c>
      <c r="AI9" s="72">
        <f t="shared" si="12"/>
        <v>0</v>
      </c>
      <c r="AJ9" s="72">
        <f t="shared" si="13"/>
        <v>0</v>
      </c>
      <c r="AK9" s="72">
        <f t="shared" si="14"/>
        <v>0</v>
      </c>
      <c r="AQ9" s="71" t="s">
        <v>59</v>
      </c>
      <c r="AR9" s="97">
        <f t="shared" si="0"/>
        <v>231</v>
      </c>
      <c r="AS9" s="58">
        <f>AG63</f>
        <v>115.5</v>
      </c>
      <c r="AT9" s="58">
        <f>Q63</f>
        <v>115.5</v>
      </c>
    </row>
    <row r="10" spans="2:48">
      <c r="B10" s="60">
        <v>44857</v>
      </c>
      <c r="C10" s="62" t="s">
        <v>109</v>
      </c>
      <c r="D10" s="79" t="s">
        <v>40</v>
      </c>
      <c r="E10" s="56">
        <v>119.9</v>
      </c>
      <c r="F10" s="76" t="s">
        <v>65</v>
      </c>
      <c r="G10" s="77">
        <f t="shared" si="1"/>
        <v>0</v>
      </c>
      <c r="H10" s="78">
        <f t="shared" si="2"/>
        <v>119.9</v>
      </c>
      <c r="I10" s="91" t="s">
        <v>138</v>
      </c>
      <c r="J10" s="72">
        <f t="shared" si="15"/>
        <v>0</v>
      </c>
      <c r="K10" s="72">
        <f t="shared" si="16"/>
        <v>0</v>
      </c>
      <c r="L10" s="72">
        <f t="shared" si="17"/>
        <v>0</v>
      </c>
      <c r="M10" s="72">
        <f t="shared" si="18"/>
        <v>0</v>
      </c>
      <c r="N10" s="72">
        <f t="shared" si="19"/>
        <v>0</v>
      </c>
      <c r="O10" s="72">
        <f t="shared" si="20"/>
        <v>0</v>
      </c>
      <c r="P10" s="72">
        <f t="shared" si="21"/>
        <v>0</v>
      </c>
      <c r="Q10" s="72">
        <f t="shared" si="22"/>
        <v>0</v>
      </c>
      <c r="R10" s="72">
        <f t="shared" si="23"/>
        <v>119.9</v>
      </c>
      <c r="S10" s="72">
        <f t="shared" si="24"/>
        <v>0</v>
      </c>
      <c r="T10" s="72">
        <f t="shared" si="25"/>
        <v>0</v>
      </c>
      <c r="U10" s="72">
        <f t="shared" si="26"/>
        <v>0</v>
      </c>
      <c r="V10" s="72"/>
      <c r="W10" s="72"/>
      <c r="X10" s="72"/>
      <c r="Z10" s="72">
        <f t="shared" si="3"/>
        <v>0</v>
      </c>
      <c r="AA10" s="72">
        <f t="shared" si="4"/>
        <v>0</v>
      </c>
      <c r="AB10" s="72">
        <f t="shared" si="5"/>
        <v>0</v>
      </c>
      <c r="AC10" s="72">
        <f t="shared" si="6"/>
        <v>0</v>
      </c>
      <c r="AD10" s="72">
        <f t="shared" si="7"/>
        <v>0</v>
      </c>
      <c r="AE10" s="72">
        <f t="shared" si="8"/>
        <v>0</v>
      </c>
      <c r="AF10" s="72">
        <f t="shared" si="9"/>
        <v>0</v>
      </c>
      <c r="AG10" s="72">
        <f t="shared" si="10"/>
        <v>0</v>
      </c>
      <c r="AH10" s="72">
        <f t="shared" si="11"/>
        <v>0</v>
      </c>
      <c r="AI10" s="72">
        <f t="shared" si="12"/>
        <v>0</v>
      </c>
      <c r="AJ10" s="72">
        <f t="shared" si="13"/>
        <v>0</v>
      </c>
      <c r="AK10" s="72">
        <f t="shared" si="14"/>
        <v>0</v>
      </c>
      <c r="AQ10" s="71" t="s">
        <v>40</v>
      </c>
      <c r="AR10" s="97">
        <f t="shared" si="0"/>
        <v>492.47</v>
      </c>
      <c r="AS10" s="58">
        <f>AH63</f>
        <v>7.8650000000000002</v>
      </c>
      <c r="AT10" s="58">
        <f>R63</f>
        <v>484.60500000000002</v>
      </c>
    </row>
    <row r="11" spans="2:48">
      <c r="B11" s="60">
        <v>45289</v>
      </c>
      <c r="C11" s="62" t="s">
        <v>126</v>
      </c>
      <c r="D11" s="79" t="s">
        <v>54</v>
      </c>
      <c r="E11" s="56">
        <v>211.3</v>
      </c>
      <c r="F11" s="76" t="s">
        <v>65</v>
      </c>
      <c r="G11" s="77">
        <f t="shared" ref="G11:G13" si="27">IF(F11="MARCIA",E11,IF(F11="AMBOS",E11/2,0))</f>
        <v>0</v>
      </c>
      <c r="H11" s="78">
        <f t="shared" ref="H11:H13" si="28">IF(F11="LUCIANO",E11,IF(F11="AMBOS",E11/2,0))</f>
        <v>211.3</v>
      </c>
      <c r="I11" s="91" t="s">
        <v>60</v>
      </c>
      <c r="J11" s="72">
        <f t="shared" si="15"/>
        <v>0</v>
      </c>
      <c r="K11" s="72">
        <f t="shared" si="16"/>
        <v>0</v>
      </c>
      <c r="L11" s="72">
        <f t="shared" si="17"/>
        <v>0</v>
      </c>
      <c r="M11" s="72">
        <f t="shared" si="18"/>
        <v>0</v>
      </c>
      <c r="N11" s="72">
        <f t="shared" si="19"/>
        <v>0</v>
      </c>
      <c r="O11" s="72">
        <f t="shared" si="20"/>
        <v>0</v>
      </c>
      <c r="P11" s="72">
        <f t="shared" si="21"/>
        <v>211.3</v>
      </c>
      <c r="Q11" s="72">
        <f t="shared" si="22"/>
        <v>0</v>
      </c>
      <c r="R11" s="72">
        <f t="shared" si="23"/>
        <v>0</v>
      </c>
      <c r="S11" s="72">
        <f t="shared" si="24"/>
        <v>0</v>
      </c>
      <c r="T11" s="72">
        <f t="shared" si="25"/>
        <v>0</v>
      </c>
      <c r="U11" s="72">
        <f t="shared" si="26"/>
        <v>0</v>
      </c>
      <c r="V11" s="72"/>
      <c r="W11" s="72"/>
      <c r="X11" s="72"/>
      <c r="Z11" s="72">
        <f t="shared" si="3"/>
        <v>0</v>
      </c>
      <c r="AA11" s="72">
        <f t="shared" si="4"/>
        <v>0</v>
      </c>
      <c r="AB11" s="72">
        <f t="shared" si="5"/>
        <v>0</v>
      </c>
      <c r="AC11" s="72">
        <f t="shared" si="6"/>
        <v>0</v>
      </c>
      <c r="AD11" s="72">
        <f t="shared" si="7"/>
        <v>0</v>
      </c>
      <c r="AE11" s="72">
        <f t="shared" si="8"/>
        <v>0</v>
      </c>
      <c r="AF11" s="72">
        <f t="shared" si="9"/>
        <v>0</v>
      </c>
      <c r="AG11" s="72">
        <f t="shared" si="10"/>
        <v>0</v>
      </c>
      <c r="AH11" s="72">
        <f t="shared" si="11"/>
        <v>0</v>
      </c>
      <c r="AI11" s="72">
        <f t="shared" si="12"/>
        <v>0</v>
      </c>
      <c r="AJ11" s="72">
        <f t="shared" si="13"/>
        <v>0</v>
      </c>
      <c r="AK11" s="72">
        <f t="shared" si="14"/>
        <v>0</v>
      </c>
      <c r="AQ11" s="71" t="s">
        <v>55</v>
      </c>
      <c r="AR11" s="97">
        <f t="shared" si="0"/>
        <v>0</v>
      </c>
      <c r="AS11" s="58">
        <f>AI63</f>
        <v>0</v>
      </c>
      <c r="AT11" s="58">
        <f>S63</f>
        <v>0</v>
      </c>
    </row>
    <row r="12" spans="2:48">
      <c r="B12" s="60">
        <v>44939</v>
      </c>
      <c r="C12" s="62" t="s">
        <v>153</v>
      </c>
      <c r="D12" s="79" t="s">
        <v>120</v>
      </c>
      <c r="E12" s="56">
        <v>58.4</v>
      </c>
      <c r="F12" s="76" t="s">
        <v>65</v>
      </c>
      <c r="G12" s="77">
        <f t="shared" si="27"/>
        <v>0</v>
      </c>
      <c r="H12" s="78">
        <f t="shared" si="28"/>
        <v>58.4</v>
      </c>
      <c r="I12" s="91" t="s">
        <v>156</v>
      </c>
      <c r="J12" s="72">
        <f t="shared" si="15"/>
        <v>0</v>
      </c>
      <c r="K12" s="72">
        <f t="shared" si="16"/>
        <v>0</v>
      </c>
      <c r="L12" s="72">
        <f t="shared" si="17"/>
        <v>58.4</v>
      </c>
      <c r="M12" s="72">
        <f t="shared" si="18"/>
        <v>0</v>
      </c>
      <c r="N12" s="72">
        <f t="shared" si="19"/>
        <v>0</v>
      </c>
      <c r="O12" s="72">
        <f t="shared" si="20"/>
        <v>0</v>
      </c>
      <c r="P12" s="72">
        <f t="shared" si="21"/>
        <v>0</v>
      </c>
      <c r="Q12" s="72">
        <f t="shared" si="22"/>
        <v>0</v>
      </c>
      <c r="R12" s="72">
        <f t="shared" si="23"/>
        <v>0</v>
      </c>
      <c r="S12" s="72">
        <f t="shared" si="24"/>
        <v>0</v>
      </c>
      <c r="T12" s="72">
        <f t="shared" si="25"/>
        <v>0</v>
      </c>
      <c r="U12" s="72">
        <f t="shared" si="26"/>
        <v>0</v>
      </c>
      <c r="V12" s="72"/>
      <c r="W12" s="72"/>
      <c r="X12" s="72"/>
      <c r="Z12" s="72">
        <f t="shared" si="3"/>
        <v>0</v>
      </c>
      <c r="AA12" s="72">
        <f t="shared" si="4"/>
        <v>0</v>
      </c>
      <c r="AB12" s="72">
        <f t="shared" si="5"/>
        <v>0</v>
      </c>
      <c r="AC12" s="72">
        <f t="shared" si="6"/>
        <v>0</v>
      </c>
      <c r="AD12" s="72">
        <f t="shared" si="7"/>
        <v>0</v>
      </c>
      <c r="AE12" s="72">
        <f t="shared" si="8"/>
        <v>0</v>
      </c>
      <c r="AF12" s="72">
        <f t="shared" si="9"/>
        <v>0</v>
      </c>
      <c r="AG12" s="72">
        <f t="shared" si="10"/>
        <v>0</v>
      </c>
      <c r="AH12" s="72">
        <f t="shared" si="11"/>
        <v>0</v>
      </c>
      <c r="AI12" s="72">
        <f t="shared" si="12"/>
        <v>0</v>
      </c>
      <c r="AJ12" s="72">
        <f t="shared" si="13"/>
        <v>0</v>
      </c>
      <c r="AK12" s="72">
        <f t="shared" si="14"/>
        <v>0</v>
      </c>
      <c r="AQ12" s="71" t="s">
        <v>58</v>
      </c>
      <c r="AR12" s="97">
        <f t="shared" si="0"/>
        <v>158</v>
      </c>
      <c r="AS12" s="58">
        <f>AJ63</f>
        <v>0</v>
      </c>
      <c r="AT12" s="58">
        <f>T63</f>
        <v>158</v>
      </c>
    </row>
    <row r="13" spans="2:48">
      <c r="B13" s="60">
        <v>44939</v>
      </c>
      <c r="C13" s="62" t="s">
        <v>153</v>
      </c>
      <c r="D13" s="79" t="s">
        <v>120</v>
      </c>
      <c r="E13" s="56">
        <v>36.58</v>
      </c>
      <c r="F13" s="76" t="s">
        <v>65</v>
      </c>
      <c r="G13" s="77">
        <f t="shared" si="27"/>
        <v>0</v>
      </c>
      <c r="H13" s="78">
        <f t="shared" si="28"/>
        <v>36.58</v>
      </c>
      <c r="I13" s="91" t="s">
        <v>23</v>
      </c>
      <c r="J13" s="72">
        <f t="shared" si="15"/>
        <v>0</v>
      </c>
      <c r="K13" s="72">
        <f t="shared" si="16"/>
        <v>0</v>
      </c>
      <c r="L13" s="72">
        <f t="shared" si="17"/>
        <v>36.58</v>
      </c>
      <c r="M13" s="72">
        <f t="shared" si="18"/>
        <v>0</v>
      </c>
      <c r="N13" s="72">
        <f t="shared" si="19"/>
        <v>0</v>
      </c>
      <c r="O13" s="72">
        <f t="shared" si="20"/>
        <v>0</v>
      </c>
      <c r="P13" s="72">
        <f t="shared" si="21"/>
        <v>0</v>
      </c>
      <c r="Q13" s="72">
        <f t="shared" si="22"/>
        <v>0</v>
      </c>
      <c r="R13" s="72">
        <f t="shared" si="23"/>
        <v>0</v>
      </c>
      <c r="S13" s="72">
        <f t="shared" si="24"/>
        <v>0</v>
      </c>
      <c r="T13" s="72">
        <f t="shared" si="25"/>
        <v>0</v>
      </c>
      <c r="U13" s="72">
        <f t="shared" si="26"/>
        <v>0</v>
      </c>
      <c r="V13" s="72"/>
      <c r="W13" s="72"/>
      <c r="X13" s="72"/>
      <c r="Z13" s="72">
        <f t="shared" si="3"/>
        <v>0</v>
      </c>
      <c r="AA13" s="72">
        <f t="shared" si="4"/>
        <v>0</v>
      </c>
      <c r="AB13" s="72">
        <f t="shared" si="5"/>
        <v>0</v>
      </c>
      <c r="AC13" s="72">
        <f t="shared" si="6"/>
        <v>0</v>
      </c>
      <c r="AD13" s="72">
        <f t="shared" si="7"/>
        <v>0</v>
      </c>
      <c r="AE13" s="72">
        <f t="shared" si="8"/>
        <v>0</v>
      </c>
      <c r="AF13" s="72">
        <f t="shared" si="9"/>
        <v>0</v>
      </c>
      <c r="AG13" s="72">
        <f t="shared" si="10"/>
        <v>0</v>
      </c>
      <c r="AH13" s="72">
        <f t="shared" si="11"/>
        <v>0</v>
      </c>
      <c r="AI13" s="72">
        <f t="shared" si="12"/>
        <v>0</v>
      </c>
      <c r="AJ13" s="72">
        <f t="shared" si="13"/>
        <v>0</v>
      </c>
      <c r="AK13" s="72">
        <f t="shared" si="14"/>
        <v>0</v>
      </c>
      <c r="AQ13" s="71" t="s">
        <v>52</v>
      </c>
      <c r="AR13" s="97">
        <f t="shared" si="0"/>
        <v>0</v>
      </c>
      <c r="AS13" s="58">
        <f>AK63</f>
        <v>0</v>
      </c>
      <c r="AT13" s="58">
        <f>U63</f>
        <v>0</v>
      </c>
    </row>
    <row r="14" spans="2:48">
      <c r="B14" s="172">
        <v>44929</v>
      </c>
      <c r="C14" s="173" t="s">
        <v>145</v>
      </c>
      <c r="D14" s="79" t="s">
        <v>56</v>
      </c>
      <c r="E14" s="56">
        <v>175.97</v>
      </c>
      <c r="F14" s="76" t="s">
        <v>66</v>
      </c>
      <c r="G14" s="77">
        <f t="shared" ref="G14:G15" si="29">(E14/3)*2</f>
        <v>117.31333333333333</v>
      </c>
      <c r="H14" s="78">
        <f t="shared" ref="H14:H15" si="30">E14/3</f>
        <v>58.656666666666666</v>
      </c>
      <c r="I14" s="91" t="s">
        <v>73</v>
      </c>
      <c r="J14" s="72">
        <f t="shared" si="15"/>
        <v>0</v>
      </c>
      <c r="K14" s="72">
        <f t="shared" si="16"/>
        <v>0</v>
      </c>
      <c r="L14" s="72">
        <f t="shared" si="17"/>
        <v>0</v>
      </c>
      <c r="M14" s="72">
        <f t="shared" si="18"/>
        <v>0</v>
      </c>
      <c r="N14" s="72">
        <f t="shared" si="19"/>
        <v>58.656666666666666</v>
      </c>
      <c r="O14" s="72">
        <f t="shared" si="20"/>
        <v>0</v>
      </c>
      <c r="P14" s="72">
        <f t="shared" si="21"/>
        <v>0</v>
      </c>
      <c r="Q14" s="72">
        <f t="shared" si="22"/>
        <v>0</v>
      </c>
      <c r="R14" s="72">
        <f t="shared" si="23"/>
        <v>0</v>
      </c>
      <c r="S14" s="72">
        <f t="shared" si="24"/>
        <v>0</v>
      </c>
      <c r="T14" s="72">
        <f t="shared" si="25"/>
        <v>0</v>
      </c>
      <c r="U14" s="72">
        <f t="shared" si="26"/>
        <v>0</v>
      </c>
      <c r="V14" s="72"/>
      <c r="W14" s="72"/>
      <c r="X14" s="72"/>
      <c r="Z14" s="72">
        <f t="shared" si="3"/>
        <v>0</v>
      </c>
      <c r="AA14" s="72">
        <f t="shared" si="4"/>
        <v>0</v>
      </c>
      <c r="AB14" s="72">
        <f t="shared" si="5"/>
        <v>0</v>
      </c>
      <c r="AC14" s="72">
        <f t="shared" si="6"/>
        <v>0</v>
      </c>
      <c r="AD14" s="72">
        <f t="shared" si="7"/>
        <v>117.31333333333333</v>
      </c>
      <c r="AE14" s="72">
        <f t="shared" si="8"/>
        <v>0</v>
      </c>
      <c r="AF14" s="72">
        <f t="shared" si="9"/>
        <v>0</v>
      </c>
      <c r="AG14" s="72">
        <f t="shared" si="10"/>
        <v>0</v>
      </c>
      <c r="AH14" s="72">
        <f t="shared" si="11"/>
        <v>0</v>
      </c>
      <c r="AI14" s="72">
        <f t="shared" si="12"/>
        <v>0</v>
      </c>
      <c r="AJ14" s="72">
        <f t="shared" si="13"/>
        <v>0</v>
      </c>
      <c r="AK14" s="72">
        <f t="shared" si="14"/>
        <v>0</v>
      </c>
      <c r="AQ14" s="71"/>
      <c r="AR14" s="97">
        <f t="shared" si="0"/>
        <v>0</v>
      </c>
      <c r="AS14" s="58">
        <f>AL63</f>
        <v>0</v>
      </c>
      <c r="AT14" s="58">
        <f>V63</f>
        <v>0</v>
      </c>
    </row>
    <row r="15" spans="2:48">
      <c r="B15" s="172">
        <v>44929</v>
      </c>
      <c r="C15" s="173" t="s">
        <v>146</v>
      </c>
      <c r="D15" s="79" t="s">
        <v>56</v>
      </c>
      <c r="E15" s="56">
        <v>409.08</v>
      </c>
      <c r="F15" s="76" t="s">
        <v>66</v>
      </c>
      <c r="G15" s="77">
        <f t="shared" si="29"/>
        <v>272.71999999999997</v>
      </c>
      <c r="H15" s="78">
        <f t="shared" si="30"/>
        <v>136.35999999999999</v>
      </c>
      <c r="I15" s="91" t="s">
        <v>60</v>
      </c>
      <c r="J15" s="72">
        <f t="shared" si="15"/>
        <v>0</v>
      </c>
      <c r="K15" s="72">
        <f t="shared" si="16"/>
        <v>0</v>
      </c>
      <c r="L15" s="72">
        <f t="shared" si="17"/>
        <v>0</v>
      </c>
      <c r="M15" s="72">
        <f t="shared" si="18"/>
        <v>0</v>
      </c>
      <c r="N15" s="72">
        <f t="shared" si="19"/>
        <v>136.35999999999999</v>
      </c>
      <c r="O15" s="72">
        <f t="shared" si="20"/>
        <v>0</v>
      </c>
      <c r="P15" s="72">
        <f t="shared" si="21"/>
        <v>0</v>
      </c>
      <c r="Q15" s="72">
        <f t="shared" si="22"/>
        <v>0</v>
      </c>
      <c r="R15" s="72">
        <f t="shared" si="23"/>
        <v>0</v>
      </c>
      <c r="S15" s="72">
        <f t="shared" si="24"/>
        <v>0</v>
      </c>
      <c r="T15" s="72">
        <f t="shared" si="25"/>
        <v>0</v>
      </c>
      <c r="U15" s="72">
        <f t="shared" si="26"/>
        <v>0</v>
      </c>
      <c r="V15" s="72"/>
      <c r="W15" s="72"/>
      <c r="X15" s="72"/>
      <c r="Z15" s="72">
        <f t="shared" si="3"/>
        <v>0</v>
      </c>
      <c r="AA15" s="72">
        <f t="shared" si="4"/>
        <v>0</v>
      </c>
      <c r="AB15" s="72">
        <f t="shared" si="5"/>
        <v>0</v>
      </c>
      <c r="AC15" s="72">
        <f t="shared" si="6"/>
        <v>0</v>
      </c>
      <c r="AD15" s="72">
        <f t="shared" si="7"/>
        <v>272.71999999999997</v>
      </c>
      <c r="AE15" s="72">
        <f t="shared" si="8"/>
        <v>0</v>
      </c>
      <c r="AF15" s="72">
        <f t="shared" si="9"/>
        <v>0</v>
      </c>
      <c r="AG15" s="72">
        <f t="shared" si="10"/>
        <v>0</v>
      </c>
      <c r="AH15" s="72">
        <f t="shared" si="11"/>
        <v>0</v>
      </c>
      <c r="AI15" s="72">
        <f t="shared" si="12"/>
        <v>0</v>
      </c>
      <c r="AJ15" s="72">
        <f t="shared" si="13"/>
        <v>0</v>
      </c>
      <c r="AK15" s="72">
        <f t="shared" si="14"/>
        <v>0</v>
      </c>
      <c r="AQ15" s="71"/>
      <c r="AR15" s="97">
        <f t="shared" si="0"/>
        <v>0</v>
      </c>
      <c r="AS15" s="58">
        <f>AM63</f>
        <v>0</v>
      </c>
      <c r="AT15" s="58">
        <f>W63</f>
        <v>0</v>
      </c>
    </row>
    <row r="16" spans="2:48">
      <c r="B16" s="60">
        <v>44952</v>
      </c>
      <c r="C16" s="62" t="s">
        <v>159</v>
      </c>
      <c r="D16" s="79" t="s">
        <v>120</v>
      </c>
      <c r="E16" s="56">
        <v>77</v>
      </c>
      <c r="F16" s="76" t="s">
        <v>65</v>
      </c>
      <c r="G16" s="77">
        <f t="shared" ref="G16:G19" si="31">IF(F16="MARCIA",E16,IF(F16="AMBOS",E16/2,0))</f>
        <v>0</v>
      </c>
      <c r="H16" s="78">
        <f t="shared" ref="H16:H19" si="32">IF(F16="LUCIANO",E16,IF(F16="AMBOS",E16/2,0))</f>
        <v>77</v>
      </c>
      <c r="I16" s="91" t="s">
        <v>157</v>
      </c>
      <c r="J16" s="72">
        <f t="shared" si="15"/>
        <v>0</v>
      </c>
      <c r="K16" s="72">
        <f t="shared" si="16"/>
        <v>0</v>
      </c>
      <c r="L16" s="72">
        <f t="shared" si="17"/>
        <v>77</v>
      </c>
      <c r="M16" s="72">
        <f t="shared" si="18"/>
        <v>0</v>
      </c>
      <c r="N16" s="72">
        <f t="shared" si="19"/>
        <v>0</v>
      </c>
      <c r="O16" s="72">
        <f t="shared" si="20"/>
        <v>0</v>
      </c>
      <c r="P16" s="72">
        <f t="shared" si="21"/>
        <v>0</v>
      </c>
      <c r="Q16" s="72">
        <f t="shared" si="22"/>
        <v>0</v>
      </c>
      <c r="R16" s="72">
        <f t="shared" si="23"/>
        <v>0</v>
      </c>
      <c r="S16" s="72">
        <f t="shared" si="24"/>
        <v>0</v>
      </c>
      <c r="T16" s="72">
        <f t="shared" si="25"/>
        <v>0</v>
      </c>
      <c r="U16" s="72">
        <f t="shared" si="26"/>
        <v>0</v>
      </c>
      <c r="V16" s="72"/>
      <c r="W16" s="72"/>
      <c r="X16" s="72"/>
      <c r="Z16" s="72">
        <f t="shared" si="3"/>
        <v>0</v>
      </c>
      <c r="AA16" s="72">
        <f t="shared" si="4"/>
        <v>0</v>
      </c>
      <c r="AB16" s="72">
        <f t="shared" si="5"/>
        <v>0</v>
      </c>
      <c r="AC16" s="72">
        <f t="shared" si="6"/>
        <v>0</v>
      </c>
      <c r="AD16" s="72">
        <f t="shared" si="7"/>
        <v>0</v>
      </c>
      <c r="AE16" s="72">
        <f t="shared" si="8"/>
        <v>0</v>
      </c>
      <c r="AF16" s="72">
        <f t="shared" si="9"/>
        <v>0</v>
      </c>
      <c r="AG16" s="72">
        <f t="shared" si="10"/>
        <v>0</v>
      </c>
      <c r="AH16" s="72">
        <f t="shared" si="11"/>
        <v>0</v>
      </c>
      <c r="AI16" s="72">
        <f t="shared" si="12"/>
        <v>0</v>
      </c>
      <c r="AJ16" s="72">
        <f t="shared" si="13"/>
        <v>0</v>
      </c>
      <c r="AK16" s="72">
        <f t="shared" si="14"/>
        <v>0</v>
      </c>
      <c r="AQ16" s="71"/>
      <c r="AR16" s="97">
        <f t="shared" si="0"/>
        <v>0</v>
      </c>
      <c r="AS16" s="95">
        <f>AN63</f>
        <v>0</v>
      </c>
      <c r="AT16" s="95">
        <f>X63</f>
        <v>0</v>
      </c>
      <c r="AU16" s="59"/>
    </row>
    <row r="17" spans="2:52">
      <c r="B17" s="60">
        <v>44956</v>
      </c>
      <c r="C17" s="62" t="s">
        <v>257</v>
      </c>
      <c r="D17" s="79" t="s">
        <v>120</v>
      </c>
      <c r="E17" s="56">
        <v>47.72</v>
      </c>
      <c r="F17" s="76" t="s">
        <v>65</v>
      </c>
      <c r="G17" s="77">
        <f t="shared" si="31"/>
        <v>0</v>
      </c>
      <c r="H17" s="78">
        <f t="shared" si="32"/>
        <v>47.72</v>
      </c>
      <c r="I17" s="91" t="s">
        <v>262</v>
      </c>
      <c r="J17" s="72">
        <f t="shared" si="15"/>
        <v>0</v>
      </c>
      <c r="K17" s="72">
        <f t="shared" si="16"/>
        <v>0</v>
      </c>
      <c r="L17" s="72">
        <f t="shared" si="17"/>
        <v>47.72</v>
      </c>
      <c r="M17" s="72">
        <f t="shared" si="18"/>
        <v>0</v>
      </c>
      <c r="N17" s="72">
        <f t="shared" si="19"/>
        <v>0</v>
      </c>
      <c r="O17" s="72">
        <f t="shared" si="20"/>
        <v>0</v>
      </c>
      <c r="P17" s="72">
        <f t="shared" si="21"/>
        <v>0</v>
      </c>
      <c r="Q17" s="72">
        <f t="shared" si="22"/>
        <v>0</v>
      </c>
      <c r="R17" s="72">
        <f t="shared" si="23"/>
        <v>0</v>
      </c>
      <c r="S17" s="72">
        <f t="shared" si="24"/>
        <v>0</v>
      </c>
      <c r="T17" s="72">
        <f t="shared" si="25"/>
        <v>0</v>
      </c>
      <c r="U17" s="72">
        <f t="shared" si="26"/>
        <v>0</v>
      </c>
      <c r="V17" s="72"/>
      <c r="W17" s="72"/>
      <c r="X17" s="72"/>
      <c r="Z17" s="72">
        <f t="shared" si="3"/>
        <v>0</v>
      </c>
      <c r="AA17" s="72">
        <f t="shared" si="4"/>
        <v>0</v>
      </c>
      <c r="AB17" s="72">
        <f t="shared" si="5"/>
        <v>0</v>
      </c>
      <c r="AC17" s="72">
        <f t="shared" si="6"/>
        <v>0</v>
      </c>
      <c r="AD17" s="72">
        <f t="shared" si="7"/>
        <v>0</v>
      </c>
      <c r="AE17" s="72">
        <f t="shared" si="8"/>
        <v>0</v>
      </c>
      <c r="AF17" s="72">
        <f t="shared" si="9"/>
        <v>0</v>
      </c>
      <c r="AG17" s="72">
        <f t="shared" si="10"/>
        <v>0</v>
      </c>
      <c r="AH17" s="72">
        <f t="shared" si="11"/>
        <v>0</v>
      </c>
      <c r="AI17" s="72">
        <f t="shared" si="12"/>
        <v>0</v>
      </c>
      <c r="AJ17" s="72">
        <f t="shared" si="13"/>
        <v>0</v>
      </c>
      <c r="AK17" s="72">
        <f t="shared" si="14"/>
        <v>0</v>
      </c>
      <c r="AQ17" s="87" t="s">
        <v>67</v>
      </c>
      <c r="AR17" s="96">
        <f>SUM(AR2:AR16)</f>
        <v>2046.36</v>
      </c>
      <c r="AS17" s="88">
        <f>SUM(AS2:AS16)</f>
        <v>513.39833333333331</v>
      </c>
      <c r="AT17" s="88">
        <f>SUM(AT2:AT16)</f>
        <v>1532.9616666666666</v>
      </c>
    </row>
    <row r="18" spans="2:52">
      <c r="B18" s="60">
        <v>44956</v>
      </c>
      <c r="C18" s="62" t="s">
        <v>259</v>
      </c>
      <c r="D18" s="79" t="s">
        <v>120</v>
      </c>
      <c r="E18" s="56">
        <v>35.24</v>
      </c>
      <c r="F18" s="76" t="s">
        <v>65</v>
      </c>
      <c r="G18" s="77">
        <f t="shared" si="31"/>
        <v>0</v>
      </c>
      <c r="H18" s="78">
        <f t="shared" si="32"/>
        <v>35.24</v>
      </c>
      <c r="I18" s="91" t="s">
        <v>262</v>
      </c>
      <c r="J18" s="72">
        <f t="shared" si="15"/>
        <v>0</v>
      </c>
      <c r="K18" s="72">
        <f t="shared" si="16"/>
        <v>0</v>
      </c>
      <c r="L18" s="72">
        <f t="shared" si="17"/>
        <v>35.24</v>
      </c>
      <c r="M18" s="72">
        <f t="shared" si="18"/>
        <v>0</v>
      </c>
      <c r="N18" s="72">
        <f t="shared" si="19"/>
        <v>0</v>
      </c>
      <c r="O18" s="72">
        <f t="shared" si="20"/>
        <v>0</v>
      </c>
      <c r="P18" s="72">
        <f t="shared" si="21"/>
        <v>0</v>
      </c>
      <c r="Q18" s="72">
        <f t="shared" si="22"/>
        <v>0</v>
      </c>
      <c r="R18" s="72">
        <f t="shared" si="23"/>
        <v>0</v>
      </c>
      <c r="S18" s="72">
        <f t="shared" si="24"/>
        <v>0</v>
      </c>
      <c r="T18" s="72">
        <f t="shared" si="25"/>
        <v>0</v>
      </c>
      <c r="U18" s="72">
        <f t="shared" si="26"/>
        <v>0</v>
      </c>
      <c r="V18" s="72"/>
      <c r="W18" s="72"/>
      <c r="X18" s="72"/>
      <c r="Z18" s="72">
        <f t="shared" si="3"/>
        <v>0</v>
      </c>
      <c r="AA18" s="72">
        <f t="shared" si="4"/>
        <v>0</v>
      </c>
      <c r="AB18" s="72">
        <f t="shared" si="5"/>
        <v>0</v>
      </c>
      <c r="AC18" s="72">
        <f t="shared" si="6"/>
        <v>0</v>
      </c>
      <c r="AD18" s="72">
        <f t="shared" si="7"/>
        <v>0</v>
      </c>
      <c r="AE18" s="72">
        <f t="shared" si="8"/>
        <v>0</v>
      </c>
      <c r="AF18" s="72">
        <f t="shared" si="9"/>
        <v>0</v>
      </c>
      <c r="AG18" s="72">
        <f t="shared" si="10"/>
        <v>0</v>
      </c>
      <c r="AH18" s="72">
        <f t="shared" si="11"/>
        <v>0</v>
      </c>
      <c r="AI18" s="72">
        <f t="shared" si="12"/>
        <v>0</v>
      </c>
      <c r="AJ18" s="72">
        <f t="shared" si="13"/>
        <v>0</v>
      </c>
      <c r="AK18" s="72">
        <f t="shared" si="14"/>
        <v>0</v>
      </c>
      <c r="AQ18" s="80" t="s">
        <v>65</v>
      </c>
      <c r="AR18" s="850" t="s">
        <v>45</v>
      </c>
      <c r="AS18" s="851"/>
      <c r="AT18" s="852"/>
      <c r="AU18" s="99"/>
      <c r="AV18" s="98"/>
    </row>
    <row r="19" spans="2:52">
      <c r="B19" s="60">
        <v>44966</v>
      </c>
      <c r="C19" s="62" t="s">
        <v>261</v>
      </c>
      <c r="D19" s="79" t="s">
        <v>120</v>
      </c>
      <c r="E19" s="56">
        <v>84.76</v>
      </c>
      <c r="F19" s="76" t="s">
        <v>65</v>
      </c>
      <c r="G19" s="77">
        <f t="shared" si="31"/>
        <v>0</v>
      </c>
      <c r="H19" s="78">
        <f t="shared" si="32"/>
        <v>84.76</v>
      </c>
      <c r="I19" s="91" t="s">
        <v>263</v>
      </c>
      <c r="J19" s="72">
        <f t="shared" si="15"/>
        <v>0</v>
      </c>
      <c r="K19" s="72">
        <f t="shared" si="16"/>
        <v>0</v>
      </c>
      <c r="L19" s="72">
        <f t="shared" si="17"/>
        <v>84.76</v>
      </c>
      <c r="M19" s="72">
        <f t="shared" si="18"/>
        <v>0</v>
      </c>
      <c r="N19" s="72">
        <f t="shared" si="19"/>
        <v>0</v>
      </c>
      <c r="O19" s="72">
        <f t="shared" si="20"/>
        <v>0</v>
      </c>
      <c r="P19" s="72">
        <f t="shared" si="21"/>
        <v>0</v>
      </c>
      <c r="Q19" s="72">
        <f t="shared" si="22"/>
        <v>0</v>
      </c>
      <c r="R19" s="72">
        <f t="shared" si="23"/>
        <v>0</v>
      </c>
      <c r="S19" s="72">
        <f t="shared" si="24"/>
        <v>0</v>
      </c>
      <c r="T19" s="72">
        <f t="shared" si="25"/>
        <v>0</v>
      </c>
      <c r="U19" s="72">
        <f t="shared" si="26"/>
        <v>0</v>
      </c>
      <c r="V19" s="72"/>
      <c r="W19" s="72"/>
      <c r="X19" s="72"/>
      <c r="Z19" s="72">
        <f t="shared" si="3"/>
        <v>0</v>
      </c>
      <c r="AA19" s="72">
        <f t="shared" si="4"/>
        <v>0</v>
      </c>
      <c r="AB19" s="72">
        <f t="shared" si="5"/>
        <v>0</v>
      </c>
      <c r="AC19" s="72">
        <f t="shared" si="6"/>
        <v>0</v>
      </c>
      <c r="AD19" s="72">
        <f t="shared" si="7"/>
        <v>0</v>
      </c>
      <c r="AE19" s="72">
        <f t="shared" si="8"/>
        <v>0</v>
      </c>
      <c r="AF19" s="72">
        <f t="shared" si="9"/>
        <v>0</v>
      </c>
      <c r="AG19" s="72">
        <f t="shared" si="10"/>
        <v>0</v>
      </c>
      <c r="AH19" s="72">
        <f t="shared" si="11"/>
        <v>0</v>
      </c>
      <c r="AI19" s="72">
        <f t="shared" si="12"/>
        <v>0</v>
      </c>
      <c r="AJ19" s="72">
        <f t="shared" si="13"/>
        <v>0</v>
      </c>
      <c r="AK19" s="72">
        <f t="shared" si="14"/>
        <v>0</v>
      </c>
      <c r="AQ19" s="80" t="s">
        <v>66</v>
      </c>
      <c r="AU19" s="98"/>
    </row>
    <row r="20" spans="2:52">
      <c r="B20" s="60">
        <v>44981</v>
      </c>
      <c r="C20" s="62" t="s">
        <v>265</v>
      </c>
      <c r="D20" s="79" t="s">
        <v>120</v>
      </c>
      <c r="E20" s="56">
        <v>28.84</v>
      </c>
      <c r="F20" s="76" t="s">
        <v>65</v>
      </c>
      <c r="G20" s="77">
        <f t="shared" ref="G20:G62" si="33">IF(F20="MARCIA",E20,IF(F20="AMBOS",E20/2,0))</f>
        <v>0</v>
      </c>
      <c r="H20" s="78">
        <f t="shared" ref="H20:H62" si="34">IF(F20="LUCIANO",E20,IF(F20="AMBOS",E20/2,0))</f>
        <v>28.84</v>
      </c>
      <c r="I20" s="91" t="s">
        <v>258</v>
      </c>
      <c r="J20" s="72">
        <f t="shared" si="15"/>
        <v>0</v>
      </c>
      <c r="K20" s="72">
        <f t="shared" si="16"/>
        <v>0</v>
      </c>
      <c r="L20" s="72">
        <f t="shared" si="17"/>
        <v>28.84</v>
      </c>
      <c r="M20" s="72">
        <f t="shared" si="18"/>
        <v>0</v>
      </c>
      <c r="N20" s="72">
        <f t="shared" si="19"/>
        <v>0</v>
      </c>
      <c r="O20" s="72">
        <f t="shared" si="20"/>
        <v>0</v>
      </c>
      <c r="P20" s="72">
        <f t="shared" si="21"/>
        <v>0</v>
      </c>
      <c r="Q20" s="72">
        <f t="shared" si="22"/>
        <v>0</v>
      </c>
      <c r="R20" s="72">
        <f t="shared" si="23"/>
        <v>0</v>
      </c>
      <c r="S20" s="72">
        <f t="shared" si="24"/>
        <v>0</v>
      </c>
      <c r="T20" s="72">
        <f t="shared" si="25"/>
        <v>0</v>
      </c>
      <c r="U20" s="72">
        <f t="shared" si="26"/>
        <v>0</v>
      </c>
      <c r="V20" s="72"/>
      <c r="W20" s="72"/>
      <c r="X20" s="72"/>
      <c r="Z20" s="72">
        <f t="shared" si="3"/>
        <v>0</v>
      </c>
      <c r="AA20" s="72">
        <f t="shared" si="4"/>
        <v>0</v>
      </c>
      <c r="AB20" s="72">
        <f t="shared" si="5"/>
        <v>0</v>
      </c>
      <c r="AC20" s="72">
        <f t="shared" si="6"/>
        <v>0</v>
      </c>
      <c r="AD20" s="72">
        <f t="shared" si="7"/>
        <v>0</v>
      </c>
      <c r="AE20" s="72">
        <f t="shared" si="8"/>
        <v>0</v>
      </c>
      <c r="AF20" s="72">
        <f t="shared" si="9"/>
        <v>0</v>
      </c>
      <c r="AG20" s="72">
        <f t="shared" si="10"/>
        <v>0</v>
      </c>
      <c r="AH20" s="72">
        <f t="shared" si="11"/>
        <v>0</v>
      </c>
      <c r="AI20" s="72">
        <f t="shared" si="12"/>
        <v>0</v>
      </c>
      <c r="AJ20" s="72">
        <f t="shared" si="13"/>
        <v>0</v>
      </c>
      <c r="AK20" s="72">
        <f t="shared" si="14"/>
        <v>0</v>
      </c>
    </row>
    <row r="21" spans="2:52" ht="0.75" customHeight="1">
      <c r="B21" s="60"/>
      <c r="C21" s="62"/>
      <c r="D21" s="79"/>
      <c r="E21" s="56"/>
      <c r="F21" s="76"/>
      <c r="G21" s="77">
        <f t="shared" si="33"/>
        <v>0</v>
      </c>
      <c r="H21" s="78">
        <f t="shared" si="34"/>
        <v>0</v>
      </c>
      <c r="I21" s="91"/>
      <c r="J21" s="72">
        <f t="shared" si="15"/>
        <v>0</v>
      </c>
      <c r="K21" s="72">
        <f t="shared" si="16"/>
        <v>0</v>
      </c>
      <c r="L21" s="72">
        <f t="shared" si="17"/>
        <v>0</v>
      </c>
      <c r="M21" s="72">
        <f t="shared" si="18"/>
        <v>0</v>
      </c>
      <c r="N21" s="72">
        <f t="shared" si="19"/>
        <v>0</v>
      </c>
      <c r="O21" s="72">
        <f t="shared" si="20"/>
        <v>0</v>
      </c>
      <c r="P21" s="72">
        <f t="shared" si="21"/>
        <v>0</v>
      </c>
      <c r="Q21" s="72">
        <f t="shared" si="22"/>
        <v>0</v>
      </c>
      <c r="R21" s="72">
        <f t="shared" si="23"/>
        <v>0</v>
      </c>
      <c r="S21" s="72">
        <f t="shared" si="24"/>
        <v>0</v>
      </c>
      <c r="T21" s="72">
        <f t="shared" si="25"/>
        <v>0</v>
      </c>
      <c r="U21" s="72">
        <f t="shared" si="26"/>
        <v>0</v>
      </c>
      <c r="V21" s="72"/>
      <c r="W21" s="72"/>
      <c r="X21" s="72"/>
      <c r="Z21" s="72">
        <f t="shared" si="3"/>
        <v>0</v>
      </c>
      <c r="AA21" s="72">
        <f t="shared" si="4"/>
        <v>0</v>
      </c>
      <c r="AB21" s="72">
        <f t="shared" si="5"/>
        <v>0</v>
      </c>
      <c r="AC21" s="72">
        <f t="shared" si="6"/>
        <v>0</v>
      </c>
      <c r="AD21" s="72">
        <f t="shared" si="7"/>
        <v>0</v>
      </c>
      <c r="AE21" s="72">
        <f t="shared" si="8"/>
        <v>0</v>
      </c>
      <c r="AF21" s="72">
        <f t="shared" si="9"/>
        <v>0</v>
      </c>
      <c r="AG21" s="72">
        <f t="shared" si="10"/>
        <v>0</v>
      </c>
      <c r="AH21" s="72">
        <f t="shared" si="11"/>
        <v>0</v>
      </c>
      <c r="AI21" s="72">
        <f t="shared" si="12"/>
        <v>0</v>
      </c>
      <c r="AJ21" s="72">
        <f t="shared" si="13"/>
        <v>0</v>
      </c>
      <c r="AK21" s="72">
        <f t="shared" si="14"/>
        <v>0</v>
      </c>
      <c r="AT21" s="59">
        <f>AT17-390.03</f>
        <v>1142.9316666666666</v>
      </c>
    </row>
    <row r="22" spans="2:52" hidden="1">
      <c r="B22" s="60"/>
      <c r="C22" s="62"/>
      <c r="D22" s="79"/>
      <c r="E22" s="56"/>
      <c r="F22" s="76"/>
      <c r="G22" s="77">
        <f t="shared" si="33"/>
        <v>0</v>
      </c>
      <c r="H22" s="78">
        <f t="shared" si="34"/>
        <v>0</v>
      </c>
      <c r="I22" s="92"/>
      <c r="J22" s="72">
        <f t="shared" si="15"/>
        <v>0</v>
      </c>
      <c r="K22" s="72">
        <f t="shared" si="16"/>
        <v>0</v>
      </c>
      <c r="L22" s="72">
        <f t="shared" si="17"/>
        <v>0</v>
      </c>
      <c r="M22" s="72">
        <f t="shared" si="18"/>
        <v>0</v>
      </c>
      <c r="N22" s="72">
        <f t="shared" si="19"/>
        <v>0</v>
      </c>
      <c r="O22" s="72">
        <f t="shared" si="20"/>
        <v>0</v>
      </c>
      <c r="P22" s="72">
        <f t="shared" si="21"/>
        <v>0</v>
      </c>
      <c r="Q22" s="72">
        <f t="shared" si="22"/>
        <v>0</v>
      </c>
      <c r="R22" s="72">
        <f t="shared" si="23"/>
        <v>0</v>
      </c>
      <c r="S22" s="72">
        <f t="shared" si="24"/>
        <v>0</v>
      </c>
      <c r="T22" s="72">
        <f t="shared" si="25"/>
        <v>0</v>
      </c>
      <c r="U22" s="72">
        <f t="shared" si="26"/>
        <v>0</v>
      </c>
      <c r="V22" s="72"/>
      <c r="W22" s="72"/>
      <c r="X22" s="72"/>
      <c r="Y22" s="61"/>
      <c r="Z22" s="72">
        <f t="shared" si="3"/>
        <v>0</v>
      </c>
      <c r="AA22" s="72">
        <f t="shared" si="4"/>
        <v>0</v>
      </c>
      <c r="AB22" s="72">
        <f t="shared" si="5"/>
        <v>0</v>
      </c>
      <c r="AC22" s="72">
        <f t="shared" si="6"/>
        <v>0</v>
      </c>
      <c r="AD22" s="72">
        <f t="shared" si="7"/>
        <v>0</v>
      </c>
      <c r="AE22" s="72">
        <f t="shared" si="8"/>
        <v>0</v>
      </c>
      <c r="AF22" s="72">
        <f t="shared" si="9"/>
        <v>0</v>
      </c>
      <c r="AG22" s="72">
        <f t="shared" si="10"/>
        <v>0</v>
      </c>
      <c r="AH22" s="72">
        <f t="shared" si="11"/>
        <v>0</v>
      </c>
      <c r="AI22" s="72">
        <f t="shared" si="12"/>
        <v>0</v>
      </c>
      <c r="AJ22" s="72">
        <f t="shared" si="13"/>
        <v>0</v>
      </c>
      <c r="AK22" s="72">
        <f t="shared" si="14"/>
        <v>0</v>
      </c>
      <c r="AL22" s="61"/>
      <c r="AM22" s="61"/>
      <c r="AN22" s="61"/>
      <c r="AO22" s="61"/>
      <c r="AP22" s="61"/>
    </row>
    <row r="23" spans="2:52" ht="17.25" hidden="1" thickBot="1">
      <c r="B23" s="60"/>
      <c r="C23" s="62"/>
      <c r="D23" s="79"/>
      <c r="E23" s="56"/>
      <c r="F23" s="76"/>
      <c r="G23" s="77">
        <f t="shared" si="33"/>
        <v>0</v>
      </c>
      <c r="H23" s="78">
        <f t="shared" si="34"/>
        <v>0</v>
      </c>
      <c r="I23" s="91"/>
      <c r="J23" s="72">
        <f t="shared" si="15"/>
        <v>0</v>
      </c>
      <c r="K23" s="72">
        <f t="shared" si="16"/>
        <v>0</v>
      </c>
      <c r="L23" s="72">
        <f t="shared" si="17"/>
        <v>0</v>
      </c>
      <c r="M23" s="72">
        <f t="shared" si="18"/>
        <v>0</v>
      </c>
      <c r="N23" s="72">
        <f t="shared" si="19"/>
        <v>0</v>
      </c>
      <c r="O23" s="72">
        <f t="shared" si="20"/>
        <v>0</v>
      </c>
      <c r="P23" s="72">
        <f t="shared" si="21"/>
        <v>0</v>
      </c>
      <c r="Q23" s="72">
        <f t="shared" si="22"/>
        <v>0</v>
      </c>
      <c r="R23" s="72">
        <f t="shared" si="23"/>
        <v>0</v>
      </c>
      <c r="S23" s="72">
        <f t="shared" si="24"/>
        <v>0</v>
      </c>
      <c r="T23" s="72">
        <f t="shared" si="25"/>
        <v>0</v>
      </c>
      <c r="U23" s="72">
        <f t="shared" si="26"/>
        <v>0</v>
      </c>
      <c r="V23" s="72"/>
      <c r="W23" s="72"/>
      <c r="X23" s="72"/>
      <c r="Z23" s="72">
        <f t="shared" si="3"/>
        <v>0</v>
      </c>
      <c r="AA23" s="72">
        <f t="shared" si="4"/>
        <v>0</v>
      </c>
      <c r="AB23" s="72">
        <f t="shared" si="5"/>
        <v>0</v>
      </c>
      <c r="AC23" s="72">
        <f t="shared" si="6"/>
        <v>0</v>
      </c>
      <c r="AD23" s="72">
        <f t="shared" si="7"/>
        <v>0</v>
      </c>
      <c r="AE23" s="72">
        <f t="shared" si="8"/>
        <v>0</v>
      </c>
      <c r="AF23" s="72">
        <f t="shared" si="9"/>
        <v>0</v>
      </c>
      <c r="AG23" s="72">
        <f t="shared" si="10"/>
        <v>0</v>
      </c>
      <c r="AH23" s="72">
        <f t="shared" si="11"/>
        <v>0</v>
      </c>
      <c r="AI23" s="72">
        <f t="shared" si="12"/>
        <v>0</v>
      </c>
      <c r="AJ23" s="72">
        <f t="shared" si="13"/>
        <v>0</v>
      </c>
      <c r="AK23" s="72">
        <f t="shared" si="14"/>
        <v>0</v>
      </c>
      <c r="AR23" s="383"/>
      <c r="AS23" s="383">
        <v>513.4</v>
      </c>
      <c r="AV23" s="864" t="s">
        <v>134</v>
      </c>
      <c r="AW23" s="864"/>
      <c r="AY23" s="864" t="s">
        <v>133</v>
      </c>
      <c r="AZ23" s="864"/>
    </row>
    <row r="24" spans="2:52" hidden="1">
      <c r="B24" s="60"/>
      <c r="C24" s="62"/>
      <c r="D24" s="79"/>
      <c r="E24" s="56"/>
      <c r="F24" s="76"/>
      <c r="G24" s="77">
        <f t="shared" si="33"/>
        <v>0</v>
      </c>
      <c r="H24" s="78">
        <f t="shared" si="34"/>
        <v>0</v>
      </c>
      <c r="I24" s="91"/>
      <c r="J24" s="72">
        <f t="shared" si="15"/>
        <v>0</v>
      </c>
      <c r="K24" s="72">
        <f t="shared" si="16"/>
        <v>0</v>
      </c>
      <c r="L24" s="72">
        <f t="shared" si="17"/>
        <v>0</v>
      </c>
      <c r="M24" s="72">
        <f t="shared" si="18"/>
        <v>0</v>
      </c>
      <c r="N24" s="72">
        <f t="shared" si="19"/>
        <v>0</v>
      </c>
      <c r="O24" s="72">
        <f t="shared" si="20"/>
        <v>0</v>
      </c>
      <c r="P24" s="72">
        <f t="shared" si="21"/>
        <v>0</v>
      </c>
      <c r="Q24" s="72">
        <f t="shared" si="22"/>
        <v>0</v>
      </c>
      <c r="R24" s="72">
        <f t="shared" si="23"/>
        <v>0</v>
      </c>
      <c r="S24" s="72">
        <f t="shared" si="24"/>
        <v>0</v>
      </c>
      <c r="T24" s="72">
        <f t="shared" si="25"/>
        <v>0</v>
      </c>
      <c r="U24" s="72">
        <f t="shared" si="26"/>
        <v>0</v>
      </c>
      <c r="V24" s="72"/>
      <c r="W24" s="72"/>
      <c r="X24" s="72"/>
      <c r="Z24" s="72">
        <f t="shared" si="3"/>
        <v>0</v>
      </c>
      <c r="AA24" s="72">
        <f t="shared" si="4"/>
        <v>0</v>
      </c>
      <c r="AB24" s="72">
        <f t="shared" si="5"/>
        <v>0</v>
      </c>
      <c r="AC24" s="72">
        <f t="shared" si="6"/>
        <v>0</v>
      </c>
      <c r="AD24" s="72">
        <f t="shared" si="7"/>
        <v>0</v>
      </c>
      <c r="AE24" s="72">
        <f t="shared" si="8"/>
        <v>0</v>
      </c>
      <c r="AF24" s="72">
        <f t="shared" si="9"/>
        <v>0</v>
      </c>
      <c r="AG24" s="72">
        <f t="shared" si="10"/>
        <v>0</v>
      </c>
      <c r="AH24" s="72">
        <f t="shared" si="11"/>
        <v>0</v>
      </c>
      <c r="AI24" s="72">
        <f t="shared" si="12"/>
        <v>0</v>
      </c>
      <c r="AJ24" s="72">
        <f t="shared" si="13"/>
        <v>0</v>
      </c>
      <c r="AK24" s="72">
        <f t="shared" si="14"/>
        <v>0</v>
      </c>
      <c r="AR24" s="376">
        <v>143.19999999999999</v>
      </c>
      <c r="AS24" s="376">
        <v>848.99</v>
      </c>
      <c r="AV24" s="112" t="s">
        <v>75</v>
      </c>
      <c r="AW24" s="1">
        <v>0</v>
      </c>
      <c r="AY24" s="164" t="s">
        <v>130</v>
      </c>
      <c r="AZ24" s="55">
        <v>513.4</v>
      </c>
    </row>
    <row r="25" spans="2:52" hidden="1">
      <c r="B25" s="60"/>
      <c r="C25" s="62"/>
      <c r="D25" s="79"/>
      <c r="E25" s="56"/>
      <c r="F25" s="76"/>
      <c r="G25" s="77">
        <f t="shared" si="33"/>
        <v>0</v>
      </c>
      <c r="H25" s="78">
        <f t="shared" si="34"/>
        <v>0</v>
      </c>
      <c r="I25" s="91"/>
      <c r="J25" s="72">
        <f t="shared" si="15"/>
        <v>0</v>
      </c>
      <c r="K25" s="72">
        <f t="shared" si="16"/>
        <v>0</v>
      </c>
      <c r="L25" s="72">
        <f t="shared" si="17"/>
        <v>0</v>
      </c>
      <c r="M25" s="72">
        <f t="shared" si="18"/>
        <v>0</v>
      </c>
      <c r="N25" s="72">
        <f t="shared" si="19"/>
        <v>0</v>
      </c>
      <c r="O25" s="72">
        <f t="shared" si="20"/>
        <v>0</v>
      </c>
      <c r="P25" s="72">
        <f t="shared" si="21"/>
        <v>0</v>
      </c>
      <c r="Q25" s="72">
        <f t="shared" si="22"/>
        <v>0</v>
      </c>
      <c r="R25" s="72">
        <f t="shared" si="23"/>
        <v>0</v>
      </c>
      <c r="S25" s="72">
        <f t="shared" si="24"/>
        <v>0</v>
      </c>
      <c r="T25" s="72">
        <f t="shared" si="25"/>
        <v>0</v>
      </c>
      <c r="U25" s="72">
        <f t="shared" si="26"/>
        <v>0</v>
      </c>
      <c r="V25" s="72"/>
      <c r="W25" s="72"/>
      <c r="X25" s="72"/>
      <c r="Z25" s="72">
        <f t="shared" si="3"/>
        <v>0</v>
      </c>
      <c r="AA25" s="72">
        <f t="shared" si="4"/>
        <v>0</v>
      </c>
      <c r="AB25" s="72">
        <f t="shared" si="5"/>
        <v>0</v>
      </c>
      <c r="AC25" s="72">
        <f t="shared" si="6"/>
        <v>0</v>
      </c>
      <c r="AD25" s="72">
        <f t="shared" si="7"/>
        <v>0</v>
      </c>
      <c r="AE25" s="72">
        <f t="shared" si="8"/>
        <v>0</v>
      </c>
      <c r="AF25" s="72">
        <f t="shared" si="9"/>
        <v>0</v>
      </c>
      <c r="AG25" s="72">
        <f t="shared" si="10"/>
        <v>0</v>
      </c>
      <c r="AH25" s="72">
        <f t="shared" si="11"/>
        <v>0</v>
      </c>
      <c r="AI25" s="72">
        <f t="shared" si="12"/>
        <v>0</v>
      </c>
      <c r="AJ25" s="72">
        <f t="shared" si="13"/>
        <v>0</v>
      </c>
      <c r="AK25" s="72">
        <f t="shared" si="14"/>
        <v>0</v>
      </c>
      <c r="AR25" s="376">
        <v>19</v>
      </c>
      <c r="AS25" s="376">
        <v>1532.96</v>
      </c>
      <c r="AV25" s="112" t="s">
        <v>76</v>
      </c>
      <c r="AW25" s="1">
        <v>0</v>
      </c>
      <c r="AY25" s="164" t="s">
        <v>131</v>
      </c>
      <c r="AZ25" s="98">
        <f>814.37+34.62</f>
        <v>848.99</v>
      </c>
    </row>
    <row r="26" spans="2:52" hidden="1">
      <c r="B26" s="60"/>
      <c r="C26" s="62"/>
      <c r="D26" s="79"/>
      <c r="E26" s="56"/>
      <c r="F26" s="76"/>
      <c r="G26" s="77">
        <f t="shared" si="33"/>
        <v>0</v>
      </c>
      <c r="H26" s="78">
        <f t="shared" si="34"/>
        <v>0</v>
      </c>
      <c r="I26" s="91"/>
      <c r="J26" s="72">
        <f t="shared" si="15"/>
        <v>0</v>
      </c>
      <c r="K26" s="72">
        <f t="shared" si="16"/>
        <v>0</v>
      </c>
      <c r="L26" s="72">
        <f t="shared" si="17"/>
        <v>0</v>
      </c>
      <c r="M26" s="72">
        <f t="shared" si="18"/>
        <v>0</v>
      </c>
      <c r="N26" s="72">
        <f t="shared" si="19"/>
        <v>0</v>
      </c>
      <c r="O26" s="72">
        <f t="shared" si="20"/>
        <v>0</v>
      </c>
      <c r="P26" s="72">
        <f t="shared" si="21"/>
        <v>0</v>
      </c>
      <c r="Q26" s="72">
        <f t="shared" si="22"/>
        <v>0</v>
      </c>
      <c r="R26" s="72">
        <f t="shared" si="23"/>
        <v>0</v>
      </c>
      <c r="S26" s="72">
        <f t="shared" si="24"/>
        <v>0</v>
      </c>
      <c r="T26" s="72">
        <f t="shared" si="25"/>
        <v>0</v>
      </c>
      <c r="U26" s="72">
        <f t="shared" si="26"/>
        <v>0</v>
      </c>
      <c r="V26" s="72"/>
      <c r="W26" s="72"/>
      <c r="X26" s="72"/>
      <c r="Z26" s="72">
        <f t="shared" si="3"/>
        <v>0</v>
      </c>
      <c r="AA26" s="72">
        <f t="shared" si="4"/>
        <v>0</v>
      </c>
      <c r="AB26" s="72">
        <f t="shared" si="5"/>
        <v>0</v>
      </c>
      <c r="AC26" s="72">
        <f t="shared" si="6"/>
        <v>0</v>
      </c>
      <c r="AD26" s="72">
        <f t="shared" si="7"/>
        <v>0</v>
      </c>
      <c r="AE26" s="72">
        <f t="shared" si="8"/>
        <v>0</v>
      </c>
      <c r="AF26" s="72">
        <f t="shared" si="9"/>
        <v>0</v>
      </c>
      <c r="AG26" s="72">
        <f t="shared" si="10"/>
        <v>0</v>
      </c>
      <c r="AH26" s="72">
        <f t="shared" si="11"/>
        <v>0</v>
      </c>
      <c r="AI26" s="72">
        <f t="shared" si="12"/>
        <v>0</v>
      </c>
      <c r="AJ26" s="72">
        <f t="shared" si="13"/>
        <v>0</v>
      </c>
      <c r="AK26" s="72">
        <f t="shared" si="14"/>
        <v>0</v>
      </c>
      <c r="AR26" s="376"/>
      <c r="AS26" s="376">
        <f>SUM(AS23:AS25)</f>
        <v>2895.35</v>
      </c>
      <c r="AV26" s="112" t="s">
        <v>77</v>
      </c>
      <c r="AW26" s="1">
        <v>700</v>
      </c>
      <c r="AY26" s="164" t="s">
        <v>132</v>
      </c>
      <c r="AZ26" s="165">
        <f>80</f>
        <v>80</v>
      </c>
    </row>
    <row r="27" spans="2:52" hidden="1">
      <c r="B27" s="60"/>
      <c r="C27" s="62"/>
      <c r="D27" s="79"/>
      <c r="E27" s="56"/>
      <c r="F27" s="76"/>
      <c r="G27" s="77">
        <f t="shared" si="33"/>
        <v>0</v>
      </c>
      <c r="H27" s="78">
        <f t="shared" si="34"/>
        <v>0</v>
      </c>
      <c r="I27" s="91"/>
      <c r="J27" s="72">
        <f t="shared" si="15"/>
        <v>0</v>
      </c>
      <c r="K27" s="72">
        <f t="shared" si="16"/>
        <v>0</v>
      </c>
      <c r="L27" s="72">
        <f t="shared" si="17"/>
        <v>0</v>
      </c>
      <c r="M27" s="72">
        <f t="shared" si="18"/>
        <v>0</v>
      </c>
      <c r="N27" s="72">
        <f t="shared" si="19"/>
        <v>0</v>
      </c>
      <c r="O27" s="72">
        <f t="shared" si="20"/>
        <v>0</v>
      </c>
      <c r="P27" s="72">
        <f t="shared" si="21"/>
        <v>0</v>
      </c>
      <c r="Q27" s="72">
        <f t="shared" si="22"/>
        <v>0</v>
      </c>
      <c r="R27" s="72">
        <f t="shared" si="23"/>
        <v>0</v>
      </c>
      <c r="S27" s="72">
        <f t="shared" si="24"/>
        <v>0</v>
      </c>
      <c r="T27" s="72">
        <f t="shared" si="25"/>
        <v>0</v>
      </c>
      <c r="U27" s="72">
        <f t="shared" si="26"/>
        <v>0</v>
      </c>
      <c r="V27" s="72"/>
      <c r="W27" s="72"/>
      <c r="X27" s="72"/>
      <c r="Z27" s="72">
        <f t="shared" si="3"/>
        <v>0</v>
      </c>
      <c r="AA27" s="72">
        <f t="shared" si="4"/>
        <v>0</v>
      </c>
      <c r="AB27" s="72">
        <f t="shared" si="5"/>
        <v>0</v>
      </c>
      <c r="AC27" s="72">
        <f t="shared" si="6"/>
        <v>0</v>
      </c>
      <c r="AD27" s="72">
        <f t="shared" si="7"/>
        <v>0</v>
      </c>
      <c r="AE27" s="72">
        <f t="shared" si="8"/>
        <v>0</v>
      </c>
      <c r="AF27" s="72">
        <f t="shared" si="9"/>
        <v>0</v>
      </c>
      <c r="AG27" s="72">
        <f t="shared" si="10"/>
        <v>0</v>
      </c>
      <c r="AH27" s="72">
        <f t="shared" si="11"/>
        <v>0</v>
      </c>
      <c r="AI27" s="72">
        <f t="shared" si="12"/>
        <v>0</v>
      </c>
      <c r="AJ27" s="72">
        <f t="shared" si="13"/>
        <v>0</v>
      </c>
      <c r="AK27" s="72">
        <f t="shared" si="14"/>
        <v>0</v>
      </c>
      <c r="AR27" s="376">
        <v>30</v>
      </c>
      <c r="AS27" s="376">
        <f>AS26-585.05</f>
        <v>2310.3000000000002</v>
      </c>
      <c r="AV27" s="112" t="s">
        <v>78</v>
      </c>
      <c r="AW27" s="54">
        <v>0</v>
      </c>
      <c r="AY27" s="164" t="s">
        <v>45</v>
      </c>
      <c r="AZ27" s="166">
        <f>AZ24+AZ25-AZ26</f>
        <v>1282.3899999999999</v>
      </c>
    </row>
    <row r="28" spans="2:52" hidden="1">
      <c r="B28" s="60"/>
      <c r="C28" s="62"/>
      <c r="D28" s="79"/>
      <c r="E28" s="56"/>
      <c r="F28" s="76"/>
      <c r="G28" s="77">
        <f t="shared" si="33"/>
        <v>0</v>
      </c>
      <c r="H28" s="78">
        <f t="shared" si="34"/>
        <v>0</v>
      </c>
      <c r="I28" s="91"/>
      <c r="J28" s="72">
        <f t="shared" si="15"/>
        <v>0</v>
      </c>
      <c r="K28" s="72">
        <f t="shared" si="16"/>
        <v>0</v>
      </c>
      <c r="L28" s="72">
        <f t="shared" si="17"/>
        <v>0</v>
      </c>
      <c r="M28" s="72">
        <f t="shared" si="18"/>
        <v>0</v>
      </c>
      <c r="N28" s="72">
        <f t="shared" si="19"/>
        <v>0</v>
      </c>
      <c r="O28" s="72">
        <f t="shared" si="20"/>
        <v>0</v>
      </c>
      <c r="P28" s="72">
        <f t="shared" si="21"/>
        <v>0</v>
      </c>
      <c r="Q28" s="72">
        <f t="shared" si="22"/>
        <v>0</v>
      </c>
      <c r="R28" s="72">
        <f t="shared" si="23"/>
        <v>0</v>
      </c>
      <c r="S28" s="72">
        <f t="shared" si="24"/>
        <v>0</v>
      </c>
      <c r="T28" s="72">
        <f t="shared" si="25"/>
        <v>0</v>
      </c>
      <c r="U28" s="72">
        <f t="shared" si="26"/>
        <v>0</v>
      </c>
      <c r="V28" s="72"/>
      <c r="W28" s="72"/>
      <c r="X28" s="72"/>
      <c r="Z28" s="72">
        <f t="shared" si="3"/>
        <v>0</v>
      </c>
      <c r="AA28" s="72">
        <f t="shared" si="4"/>
        <v>0</v>
      </c>
      <c r="AB28" s="72">
        <f t="shared" si="5"/>
        <v>0</v>
      </c>
      <c r="AC28" s="72">
        <f t="shared" si="6"/>
        <v>0</v>
      </c>
      <c r="AD28" s="72">
        <f t="shared" si="7"/>
        <v>0</v>
      </c>
      <c r="AE28" s="72">
        <f t="shared" si="8"/>
        <v>0</v>
      </c>
      <c r="AF28" s="72">
        <f t="shared" si="9"/>
        <v>0</v>
      </c>
      <c r="AG28" s="72">
        <f t="shared" si="10"/>
        <v>0</v>
      </c>
      <c r="AH28" s="72">
        <f t="shared" si="11"/>
        <v>0</v>
      </c>
      <c r="AI28" s="72">
        <f t="shared" si="12"/>
        <v>0</v>
      </c>
      <c r="AJ28" s="72">
        <f t="shared" si="13"/>
        <v>0</v>
      </c>
      <c r="AK28" s="72">
        <f t="shared" si="14"/>
        <v>0</v>
      </c>
      <c r="AR28" s="376"/>
      <c r="AS28" s="376"/>
      <c r="AV28" s="112" t="s">
        <v>45</v>
      </c>
      <c r="AW28" s="1">
        <f>+SUM(AW24:AW27)</f>
        <v>700</v>
      </c>
    </row>
    <row r="29" spans="2:52" hidden="1">
      <c r="B29" s="60"/>
      <c r="C29" s="62"/>
      <c r="D29" s="79"/>
      <c r="E29" s="56"/>
      <c r="F29" s="76"/>
      <c r="G29" s="77">
        <f t="shared" si="33"/>
        <v>0</v>
      </c>
      <c r="H29" s="78">
        <f t="shared" si="34"/>
        <v>0</v>
      </c>
      <c r="I29" s="91"/>
      <c r="J29" s="72">
        <f t="shared" si="15"/>
        <v>0</v>
      </c>
      <c r="K29" s="72">
        <f t="shared" si="16"/>
        <v>0</v>
      </c>
      <c r="L29" s="72">
        <f t="shared" si="17"/>
        <v>0</v>
      </c>
      <c r="M29" s="72">
        <f t="shared" si="18"/>
        <v>0</v>
      </c>
      <c r="N29" s="72">
        <f t="shared" si="19"/>
        <v>0</v>
      </c>
      <c r="O29" s="72">
        <f t="shared" si="20"/>
        <v>0</v>
      </c>
      <c r="P29" s="72">
        <f t="shared" si="21"/>
        <v>0</v>
      </c>
      <c r="Q29" s="72">
        <f t="shared" si="22"/>
        <v>0</v>
      </c>
      <c r="R29" s="72">
        <f t="shared" si="23"/>
        <v>0</v>
      </c>
      <c r="S29" s="72">
        <f t="shared" si="24"/>
        <v>0</v>
      </c>
      <c r="T29" s="72">
        <f t="shared" si="25"/>
        <v>0</v>
      </c>
      <c r="U29" s="72">
        <f t="shared" si="26"/>
        <v>0</v>
      </c>
      <c r="V29" s="72"/>
      <c r="W29" s="72"/>
      <c r="X29" s="72"/>
      <c r="Z29" s="72">
        <f t="shared" si="3"/>
        <v>0</v>
      </c>
      <c r="AA29" s="72">
        <f t="shared" si="4"/>
        <v>0</v>
      </c>
      <c r="AB29" s="72">
        <f t="shared" si="5"/>
        <v>0</v>
      </c>
      <c r="AC29" s="72">
        <f t="shared" si="6"/>
        <v>0</v>
      </c>
      <c r="AD29" s="72">
        <f t="shared" si="7"/>
        <v>0</v>
      </c>
      <c r="AE29" s="72">
        <f t="shared" si="8"/>
        <v>0</v>
      </c>
      <c r="AF29" s="72">
        <f t="shared" si="9"/>
        <v>0</v>
      </c>
      <c r="AG29" s="72">
        <f t="shared" si="10"/>
        <v>0</v>
      </c>
      <c r="AH29" s="72">
        <f t="shared" si="11"/>
        <v>0</v>
      </c>
      <c r="AI29" s="72">
        <f t="shared" si="12"/>
        <v>0</v>
      </c>
      <c r="AJ29" s="72">
        <f t="shared" si="13"/>
        <v>0</v>
      </c>
      <c r="AK29" s="72">
        <f t="shared" si="14"/>
        <v>0</v>
      </c>
      <c r="AR29" s="865"/>
      <c r="AS29" s="865"/>
      <c r="AV29" s="112"/>
      <c r="AW29" s="1"/>
    </row>
    <row r="30" spans="2:52" hidden="1">
      <c r="B30" s="60"/>
      <c r="C30" s="62"/>
      <c r="D30" s="79"/>
      <c r="E30" s="56"/>
      <c r="F30" s="76"/>
      <c r="G30" s="77">
        <f t="shared" si="33"/>
        <v>0</v>
      </c>
      <c r="H30" s="78">
        <f t="shared" si="34"/>
        <v>0</v>
      </c>
      <c r="I30" s="91"/>
      <c r="J30" s="72">
        <f t="shared" si="15"/>
        <v>0</v>
      </c>
      <c r="K30" s="72">
        <f t="shared" si="16"/>
        <v>0</v>
      </c>
      <c r="L30" s="72">
        <f t="shared" si="17"/>
        <v>0</v>
      </c>
      <c r="M30" s="72">
        <f t="shared" si="18"/>
        <v>0</v>
      </c>
      <c r="N30" s="72">
        <f t="shared" si="19"/>
        <v>0</v>
      </c>
      <c r="O30" s="72">
        <f t="shared" si="20"/>
        <v>0</v>
      </c>
      <c r="P30" s="72">
        <f t="shared" si="21"/>
        <v>0</v>
      </c>
      <c r="Q30" s="72">
        <f t="shared" si="22"/>
        <v>0</v>
      </c>
      <c r="R30" s="72">
        <f t="shared" si="23"/>
        <v>0</v>
      </c>
      <c r="S30" s="72">
        <f t="shared" si="24"/>
        <v>0</v>
      </c>
      <c r="T30" s="72">
        <f t="shared" si="25"/>
        <v>0</v>
      </c>
      <c r="U30" s="72">
        <f t="shared" si="26"/>
        <v>0</v>
      </c>
      <c r="V30" s="72"/>
      <c r="W30" s="72"/>
      <c r="X30" s="72"/>
      <c r="Z30" s="72">
        <f t="shared" si="3"/>
        <v>0</v>
      </c>
      <c r="AA30" s="72">
        <f t="shared" si="4"/>
        <v>0</v>
      </c>
      <c r="AB30" s="72">
        <f t="shared" si="5"/>
        <v>0</v>
      </c>
      <c r="AC30" s="72">
        <f t="shared" si="6"/>
        <v>0</v>
      </c>
      <c r="AD30" s="72">
        <f t="shared" si="7"/>
        <v>0</v>
      </c>
      <c r="AE30" s="72">
        <f t="shared" si="8"/>
        <v>0</v>
      </c>
      <c r="AF30" s="72">
        <f t="shared" si="9"/>
        <v>0</v>
      </c>
      <c r="AG30" s="72">
        <f t="shared" si="10"/>
        <v>0</v>
      </c>
      <c r="AH30" s="72">
        <f t="shared" si="11"/>
        <v>0</v>
      </c>
      <c r="AI30" s="72">
        <f t="shared" si="12"/>
        <v>0</v>
      </c>
      <c r="AJ30" s="72">
        <f t="shared" si="13"/>
        <v>0</v>
      </c>
      <c r="AK30" s="72">
        <f t="shared" si="14"/>
        <v>0</v>
      </c>
      <c r="AV30" s="1"/>
      <c r="AW30" s="1"/>
    </row>
    <row r="31" spans="2:52" ht="17.25" hidden="1" thickBot="1">
      <c r="B31" s="60"/>
      <c r="C31" s="62"/>
      <c r="D31" s="79"/>
      <c r="E31" s="56"/>
      <c r="F31" s="76"/>
      <c r="G31" s="77">
        <f t="shared" si="33"/>
        <v>0</v>
      </c>
      <c r="H31" s="78">
        <f t="shared" si="34"/>
        <v>0</v>
      </c>
      <c r="I31" s="91"/>
      <c r="J31" s="72">
        <f t="shared" si="15"/>
        <v>0</v>
      </c>
      <c r="K31" s="72">
        <f t="shared" si="16"/>
        <v>0</v>
      </c>
      <c r="L31" s="72">
        <f t="shared" si="17"/>
        <v>0</v>
      </c>
      <c r="M31" s="72">
        <f t="shared" si="18"/>
        <v>0</v>
      </c>
      <c r="N31" s="72">
        <f t="shared" si="19"/>
        <v>0</v>
      </c>
      <c r="O31" s="72">
        <f t="shared" si="20"/>
        <v>0</v>
      </c>
      <c r="P31" s="72">
        <f t="shared" si="21"/>
        <v>0</v>
      </c>
      <c r="Q31" s="72">
        <f t="shared" si="22"/>
        <v>0</v>
      </c>
      <c r="R31" s="72">
        <f t="shared" si="23"/>
        <v>0</v>
      </c>
      <c r="S31" s="72">
        <f t="shared" si="24"/>
        <v>0</v>
      </c>
      <c r="T31" s="72">
        <f t="shared" si="25"/>
        <v>0</v>
      </c>
      <c r="U31" s="72">
        <f t="shared" si="26"/>
        <v>0</v>
      </c>
      <c r="V31" s="72"/>
      <c r="W31" s="72"/>
      <c r="X31" s="72"/>
      <c r="Z31" s="72">
        <f t="shared" si="3"/>
        <v>0</v>
      </c>
      <c r="AA31" s="72">
        <f t="shared" si="4"/>
        <v>0</v>
      </c>
      <c r="AB31" s="72">
        <f t="shared" si="5"/>
        <v>0</v>
      </c>
      <c r="AC31" s="72">
        <f t="shared" si="6"/>
        <v>0</v>
      </c>
      <c r="AD31" s="72">
        <f t="shared" si="7"/>
        <v>0</v>
      </c>
      <c r="AE31" s="72">
        <f t="shared" si="8"/>
        <v>0</v>
      </c>
      <c r="AF31" s="72">
        <f t="shared" si="9"/>
        <v>0</v>
      </c>
      <c r="AG31" s="72">
        <f t="shared" si="10"/>
        <v>0</v>
      </c>
      <c r="AH31" s="72">
        <f t="shared" si="11"/>
        <v>0</v>
      </c>
      <c r="AI31" s="72">
        <f t="shared" si="12"/>
        <v>0</v>
      </c>
      <c r="AJ31" s="72">
        <f t="shared" si="13"/>
        <v>0</v>
      </c>
      <c r="AK31" s="72">
        <f t="shared" si="14"/>
        <v>0</v>
      </c>
      <c r="AV31" s="112" t="s">
        <v>80</v>
      </c>
      <c r="AW31" s="113">
        <f>AW28/2</f>
        <v>350</v>
      </c>
    </row>
    <row r="32" spans="2:52" hidden="1">
      <c r="B32" s="60"/>
      <c r="C32" s="62"/>
      <c r="D32" s="79"/>
      <c r="E32" s="56"/>
      <c r="F32" s="76"/>
      <c r="G32" s="77">
        <f t="shared" si="33"/>
        <v>0</v>
      </c>
      <c r="H32" s="78">
        <f t="shared" si="34"/>
        <v>0</v>
      </c>
      <c r="I32" s="91"/>
      <c r="J32" s="72">
        <f t="shared" si="15"/>
        <v>0</v>
      </c>
      <c r="K32" s="72">
        <f t="shared" si="16"/>
        <v>0</v>
      </c>
      <c r="L32" s="72">
        <f t="shared" si="17"/>
        <v>0</v>
      </c>
      <c r="M32" s="72">
        <f t="shared" si="18"/>
        <v>0</v>
      </c>
      <c r="N32" s="72">
        <f t="shared" si="19"/>
        <v>0</v>
      </c>
      <c r="O32" s="72">
        <f t="shared" si="20"/>
        <v>0</v>
      </c>
      <c r="P32" s="72">
        <f t="shared" si="21"/>
        <v>0</v>
      </c>
      <c r="Q32" s="72">
        <f t="shared" si="22"/>
        <v>0</v>
      </c>
      <c r="R32" s="72">
        <f t="shared" si="23"/>
        <v>0</v>
      </c>
      <c r="S32" s="72">
        <f t="shared" si="24"/>
        <v>0</v>
      </c>
      <c r="T32" s="72">
        <f t="shared" si="25"/>
        <v>0</v>
      </c>
      <c r="U32" s="72">
        <f t="shared" si="26"/>
        <v>0</v>
      </c>
      <c r="V32" s="72"/>
      <c r="W32" s="72"/>
      <c r="X32" s="72"/>
      <c r="Z32" s="72">
        <f t="shared" si="3"/>
        <v>0</v>
      </c>
      <c r="AA32" s="72">
        <f t="shared" si="4"/>
        <v>0</v>
      </c>
      <c r="AB32" s="72">
        <f t="shared" si="5"/>
        <v>0</v>
      </c>
      <c r="AC32" s="72">
        <f t="shared" si="6"/>
        <v>0</v>
      </c>
      <c r="AD32" s="72">
        <f t="shared" si="7"/>
        <v>0</v>
      </c>
      <c r="AE32" s="72">
        <f t="shared" si="8"/>
        <v>0</v>
      </c>
      <c r="AF32" s="72">
        <f t="shared" si="9"/>
        <v>0</v>
      </c>
      <c r="AG32" s="72">
        <f t="shared" si="10"/>
        <v>0</v>
      </c>
      <c r="AH32" s="72">
        <f t="shared" si="11"/>
        <v>0</v>
      </c>
      <c r="AI32" s="72">
        <f t="shared" si="12"/>
        <v>0</v>
      </c>
      <c r="AJ32" s="72">
        <f t="shared" si="13"/>
        <v>0</v>
      </c>
      <c r="AK32" s="72">
        <f t="shared" si="14"/>
        <v>0</v>
      </c>
    </row>
    <row r="33" spans="2:37" hidden="1">
      <c r="B33" s="60"/>
      <c r="C33" s="62"/>
      <c r="D33" s="79"/>
      <c r="E33" s="56"/>
      <c r="F33" s="76"/>
      <c r="G33" s="77">
        <f t="shared" si="33"/>
        <v>0</v>
      </c>
      <c r="H33" s="78">
        <f t="shared" si="34"/>
        <v>0</v>
      </c>
      <c r="I33" s="91"/>
      <c r="J33" s="72">
        <f t="shared" si="15"/>
        <v>0</v>
      </c>
      <c r="K33" s="72">
        <f t="shared" si="16"/>
        <v>0</v>
      </c>
      <c r="L33" s="72">
        <f t="shared" si="17"/>
        <v>0</v>
      </c>
      <c r="M33" s="72">
        <f t="shared" si="18"/>
        <v>0</v>
      </c>
      <c r="N33" s="72">
        <f t="shared" si="19"/>
        <v>0</v>
      </c>
      <c r="O33" s="72">
        <f t="shared" si="20"/>
        <v>0</v>
      </c>
      <c r="P33" s="72">
        <f t="shared" si="21"/>
        <v>0</v>
      </c>
      <c r="Q33" s="72">
        <f t="shared" si="22"/>
        <v>0</v>
      </c>
      <c r="R33" s="72">
        <f t="shared" si="23"/>
        <v>0</v>
      </c>
      <c r="S33" s="72">
        <f t="shared" si="24"/>
        <v>0</v>
      </c>
      <c r="T33" s="72">
        <f t="shared" si="25"/>
        <v>0</v>
      </c>
      <c r="U33" s="72">
        <f t="shared" si="26"/>
        <v>0</v>
      </c>
      <c r="V33" s="72"/>
      <c r="W33" s="72"/>
      <c r="X33" s="72"/>
      <c r="Z33" s="72">
        <f t="shared" si="3"/>
        <v>0</v>
      </c>
      <c r="AA33" s="72">
        <f t="shared" si="4"/>
        <v>0</v>
      </c>
      <c r="AB33" s="72">
        <f t="shared" si="5"/>
        <v>0</v>
      </c>
      <c r="AC33" s="72">
        <f t="shared" si="6"/>
        <v>0</v>
      </c>
      <c r="AD33" s="72">
        <f t="shared" si="7"/>
        <v>0</v>
      </c>
      <c r="AE33" s="72">
        <f t="shared" si="8"/>
        <v>0</v>
      </c>
      <c r="AF33" s="72">
        <f t="shared" si="9"/>
        <v>0</v>
      </c>
      <c r="AG33" s="72">
        <f t="shared" si="10"/>
        <v>0</v>
      </c>
      <c r="AH33" s="72">
        <f t="shared" si="11"/>
        <v>0</v>
      </c>
      <c r="AI33" s="72">
        <f t="shared" si="12"/>
        <v>0</v>
      </c>
      <c r="AJ33" s="72">
        <f t="shared" si="13"/>
        <v>0</v>
      </c>
      <c r="AK33" s="72">
        <f t="shared" si="14"/>
        <v>0</v>
      </c>
    </row>
    <row r="34" spans="2:37" hidden="1">
      <c r="B34" s="60"/>
      <c r="C34" s="62"/>
      <c r="D34" s="79"/>
      <c r="E34" s="56"/>
      <c r="F34" s="76"/>
      <c r="G34" s="77">
        <f t="shared" si="33"/>
        <v>0</v>
      </c>
      <c r="H34" s="78">
        <f t="shared" si="34"/>
        <v>0</v>
      </c>
      <c r="I34" s="91"/>
      <c r="J34" s="72">
        <f t="shared" si="15"/>
        <v>0</v>
      </c>
      <c r="K34" s="72">
        <f t="shared" si="16"/>
        <v>0</v>
      </c>
      <c r="L34" s="72">
        <f t="shared" si="17"/>
        <v>0</v>
      </c>
      <c r="M34" s="72">
        <f t="shared" si="18"/>
        <v>0</v>
      </c>
      <c r="N34" s="72">
        <f t="shared" si="19"/>
        <v>0</v>
      </c>
      <c r="O34" s="72">
        <f t="shared" si="20"/>
        <v>0</v>
      </c>
      <c r="P34" s="72">
        <f t="shared" si="21"/>
        <v>0</v>
      </c>
      <c r="Q34" s="72">
        <f t="shared" si="22"/>
        <v>0</v>
      </c>
      <c r="R34" s="72">
        <f t="shared" si="23"/>
        <v>0</v>
      </c>
      <c r="S34" s="72">
        <f t="shared" si="24"/>
        <v>0</v>
      </c>
      <c r="T34" s="72">
        <f t="shared" si="25"/>
        <v>0</v>
      </c>
      <c r="U34" s="72">
        <f t="shared" si="26"/>
        <v>0</v>
      </c>
      <c r="V34" s="72"/>
      <c r="W34" s="72"/>
      <c r="X34" s="72"/>
      <c r="Z34" s="72">
        <f t="shared" si="3"/>
        <v>0</v>
      </c>
      <c r="AA34" s="72">
        <f t="shared" si="4"/>
        <v>0</v>
      </c>
      <c r="AB34" s="72">
        <f t="shared" si="5"/>
        <v>0</v>
      </c>
      <c r="AC34" s="72">
        <f t="shared" si="6"/>
        <v>0</v>
      </c>
      <c r="AD34" s="72">
        <f t="shared" si="7"/>
        <v>0</v>
      </c>
      <c r="AE34" s="72">
        <f t="shared" si="8"/>
        <v>0</v>
      </c>
      <c r="AF34" s="72">
        <f t="shared" si="9"/>
        <v>0</v>
      </c>
      <c r="AG34" s="72">
        <f t="shared" si="10"/>
        <v>0</v>
      </c>
      <c r="AH34" s="72">
        <f t="shared" si="11"/>
        <v>0</v>
      </c>
      <c r="AI34" s="72">
        <f t="shared" si="12"/>
        <v>0</v>
      </c>
      <c r="AJ34" s="72">
        <f t="shared" si="13"/>
        <v>0</v>
      </c>
      <c r="AK34" s="72">
        <f t="shared" si="14"/>
        <v>0</v>
      </c>
    </row>
    <row r="35" spans="2:37" ht="14.25" hidden="1" customHeight="1">
      <c r="B35" s="60"/>
      <c r="C35" s="62"/>
      <c r="D35" s="79"/>
      <c r="E35" s="56"/>
      <c r="F35" s="76"/>
      <c r="G35" s="77">
        <f t="shared" si="33"/>
        <v>0</v>
      </c>
      <c r="H35" s="78">
        <f t="shared" si="34"/>
        <v>0</v>
      </c>
      <c r="I35" s="91"/>
      <c r="J35" s="72">
        <f t="shared" si="15"/>
        <v>0</v>
      </c>
      <c r="K35" s="72">
        <f t="shared" si="16"/>
        <v>0</v>
      </c>
      <c r="L35" s="72">
        <f t="shared" si="17"/>
        <v>0</v>
      </c>
      <c r="M35" s="72">
        <f t="shared" si="18"/>
        <v>0</v>
      </c>
      <c r="N35" s="72">
        <f t="shared" si="19"/>
        <v>0</v>
      </c>
      <c r="O35" s="72">
        <f t="shared" si="20"/>
        <v>0</v>
      </c>
      <c r="P35" s="72">
        <f t="shared" si="21"/>
        <v>0</v>
      </c>
      <c r="Q35" s="72">
        <f t="shared" si="22"/>
        <v>0</v>
      </c>
      <c r="R35" s="72">
        <f t="shared" si="23"/>
        <v>0</v>
      </c>
      <c r="S35" s="72">
        <f t="shared" si="24"/>
        <v>0</v>
      </c>
      <c r="T35" s="72">
        <f t="shared" si="25"/>
        <v>0</v>
      </c>
      <c r="U35" s="72">
        <f t="shared" si="26"/>
        <v>0</v>
      </c>
      <c r="V35" s="72"/>
      <c r="W35" s="72"/>
      <c r="X35" s="72"/>
      <c r="Z35" s="72">
        <f t="shared" si="3"/>
        <v>0</v>
      </c>
      <c r="AA35" s="72">
        <f t="shared" si="4"/>
        <v>0</v>
      </c>
      <c r="AB35" s="72">
        <f t="shared" si="5"/>
        <v>0</v>
      </c>
      <c r="AC35" s="72">
        <f t="shared" si="6"/>
        <v>0</v>
      </c>
      <c r="AD35" s="72">
        <f t="shared" si="7"/>
        <v>0</v>
      </c>
      <c r="AE35" s="72">
        <f t="shared" si="8"/>
        <v>0</v>
      </c>
      <c r="AF35" s="72">
        <f t="shared" si="9"/>
        <v>0</v>
      </c>
      <c r="AG35" s="72">
        <f t="shared" si="10"/>
        <v>0</v>
      </c>
      <c r="AH35" s="72">
        <f t="shared" si="11"/>
        <v>0</v>
      </c>
      <c r="AI35" s="72">
        <f t="shared" si="12"/>
        <v>0</v>
      </c>
      <c r="AJ35" s="72">
        <f t="shared" si="13"/>
        <v>0</v>
      </c>
      <c r="AK35" s="72">
        <f t="shared" si="14"/>
        <v>0</v>
      </c>
    </row>
    <row r="36" spans="2:37" hidden="1">
      <c r="B36" s="60"/>
      <c r="C36" s="62"/>
      <c r="D36" s="79"/>
      <c r="E36" s="56"/>
      <c r="F36" s="76"/>
      <c r="G36" s="77">
        <f t="shared" si="33"/>
        <v>0</v>
      </c>
      <c r="H36" s="78">
        <f t="shared" si="34"/>
        <v>0</v>
      </c>
      <c r="I36" s="91"/>
      <c r="J36" s="72">
        <f t="shared" si="15"/>
        <v>0</v>
      </c>
      <c r="K36" s="72">
        <f t="shared" si="16"/>
        <v>0</v>
      </c>
      <c r="L36" s="72">
        <f t="shared" si="17"/>
        <v>0</v>
      </c>
      <c r="M36" s="72">
        <f t="shared" si="18"/>
        <v>0</v>
      </c>
      <c r="N36" s="72">
        <f t="shared" si="19"/>
        <v>0</v>
      </c>
      <c r="O36" s="72">
        <f t="shared" si="20"/>
        <v>0</v>
      </c>
      <c r="P36" s="72">
        <f t="shared" si="21"/>
        <v>0</v>
      </c>
      <c r="Q36" s="72">
        <f t="shared" si="22"/>
        <v>0</v>
      </c>
      <c r="R36" s="72">
        <f t="shared" si="23"/>
        <v>0</v>
      </c>
      <c r="S36" s="72">
        <f t="shared" si="24"/>
        <v>0</v>
      </c>
      <c r="T36" s="72">
        <f t="shared" si="25"/>
        <v>0</v>
      </c>
      <c r="U36" s="72">
        <f t="shared" si="26"/>
        <v>0</v>
      </c>
      <c r="V36" s="72"/>
      <c r="W36" s="72"/>
      <c r="X36" s="72"/>
      <c r="Z36" s="72">
        <f t="shared" si="3"/>
        <v>0</v>
      </c>
      <c r="AA36" s="72">
        <f t="shared" si="4"/>
        <v>0</v>
      </c>
      <c r="AB36" s="72">
        <f t="shared" si="5"/>
        <v>0</v>
      </c>
      <c r="AC36" s="72">
        <f t="shared" si="6"/>
        <v>0</v>
      </c>
      <c r="AD36" s="72">
        <f t="shared" si="7"/>
        <v>0</v>
      </c>
      <c r="AE36" s="72">
        <f t="shared" si="8"/>
        <v>0</v>
      </c>
      <c r="AF36" s="72">
        <f t="shared" si="9"/>
        <v>0</v>
      </c>
      <c r="AG36" s="72">
        <f t="shared" si="10"/>
        <v>0</v>
      </c>
      <c r="AH36" s="72">
        <f t="shared" si="11"/>
        <v>0</v>
      </c>
      <c r="AI36" s="72">
        <f t="shared" si="12"/>
        <v>0</v>
      </c>
      <c r="AJ36" s="72">
        <f t="shared" si="13"/>
        <v>0</v>
      </c>
      <c r="AK36" s="72">
        <f t="shared" si="14"/>
        <v>0</v>
      </c>
    </row>
    <row r="37" spans="2:37" hidden="1">
      <c r="B37" s="60"/>
      <c r="C37" s="62"/>
      <c r="D37" s="79"/>
      <c r="E37" s="56"/>
      <c r="F37" s="76"/>
      <c r="G37" s="77">
        <f t="shared" si="33"/>
        <v>0</v>
      </c>
      <c r="H37" s="78">
        <f t="shared" si="34"/>
        <v>0</v>
      </c>
      <c r="I37" s="91"/>
      <c r="J37" s="72">
        <f t="shared" si="15"/>
        <v>0</v>
      </c>
      <c r="K37" s="72">
        <f t="shared" si="16"/>
        <v>0</v>
      </c>
      <c r="L37" s="72">
        <f t="shared" si="17"/>
        <v>0</v>
      </c>
      <c r="M37" s="72">
        <f t="shared" si="18"/>
        <v>0</v>
      </c>
      <c r="N37" s="72">
        <f t="shared" si="19"/>
        <v>0</v>
      </c>
      <c r="O37" s="72">
        <f t="shared" si="20"/>
        <v>0</v>
      </c>
      <c r="P37" s="72">
        <f t="shared" si="21"/>
        <v>0</v>
      </c>
      <c r="Q37" s="72">
        <f t="shared" si="22"/>
        <v>0</v>
      </c>
      <c r="R37" s="72">
        <f t="shared" si="23"/>
        <v>0</v>
      </c>
      <c r="S37" s="72">
        <f t="shared" si="24"/>
        <v>0</v>
      </c>
      <c r="T37" s="72">
        <f t="shared" si="25"/>
        <v>0</v>
      </c>
      <c r="U37" s="72">
        <f t="shared" si="26"/>
        <v>0</v>
      </c>
      <c r="V37" s="72"/>
      <c r="W37" s="72"/>
      <c r="X37" s="72"/>
      <c r="Z37" s="72">
        <f t="shared" si="3"/>
        <v>0</v>
      </c>
      <c r="AA37" s="72">
        <f t="shared" si="4"/>
        <v>0</v>
      </c>
      <c r="AB37" s="72">
        <f t="shared" si="5"/>
        <v>0</v>
      </c>
      <c r="AC37" s="72">
        <f t="shared" si="6"/>
        <v>0</v>
      </c>
      <c r="AD37" s="72">
        <f t="shared" si="7"/>
        <v>0</v>
      </c>
      <c r="AE37" s="72">
        <f t="shared" si="8"/>
        <v>0</v>
      </c>
      <c r="AF37" s="72">
        <f t="shared" si="9"/>
        <v>0</v>
      </c>
      <c r="AG37" s="72">
        <f t="shared" si="10"/>
        <v>0</v>
      </c>
      <c r="AH37" s="72">
        <f t="shared" si="11"/>
        <v>0</v>
      </c>
      <c r="AI37" s="72">
        <f t="shared" si="12"/>
        <v>0</v>
      </c>
      <c r="AJ37" s="72">
        <f t="shared" si="13"/>
        <v>0</v>
      </c>
      <c r="AK37" s="72">
        <f t="shared" si="14"/>
        <v>0</v>
      </c>
    </row>
    <row r="38" spans="2:37" hidden="1">
      <c r="B38" s="60"/>
      <c r="C38" s="62"/>
      <c r="D38" s="79"/>
      <c r="E38" s="56"/>
      <c r="F38" s="76"/>
      <c r="G38" s="77">
        <f t="shared" si="33"/>
        <v>0</v>
      </c>
      <c r="H38" s="78">
        <f t="shared" si="34"/>
        <v>0</v>
      </c>
      <c r="I38" s="91"/>
      <c r="J38" s="72">
        <f t="shared" si="15"/>
        <v>0</v>
      </c>
      <c r="K38" s="72">
        <f t="shared" si="16"/>
        <v>0</v>
      </c>
      <c r="L38" s="72">
        <f t="shared" si="17"/>
        <v>0</v>
      </c>
      <c r="M38" s="72">
        <f t="shared" si="18"/>
        <v>0</v>
      </c>
      <c r="N38" s="72">
        <f t="shared" si="19"/>
        <v>0</v>
      </c>
      <c r="O38" s="72">
        <f t="shared" si="20"/>
        <v>0</v>
      </c>
      <c r="P38" s="72">
        <f t="shared" si="21"/>
        <v>0</v>
      </c>
      <c r="Q38" s="72">
        <f t="shared" si="22"/>
        <v>0</v>
      </c>
      <c r="R38" s="72">
        <f t="shared" si="23"/>
        <v>0</v>
      </c>
      <c r="S38" s="72">
        <f t="shared" si="24"/>
        <v>0</v>
      </c>
      <c r="T38" s="72">
        <f t="shared" si="25"/>
        <v>0</v>
      </c>
      <c r="U38" s="72">
        <f t="shared" si="26"/>
        <v>0</v>
      </c>
      <c r="V38" s="72"/>
      <c r="W38" s="72"/>
      <c r="X38" s="72"/>
      <c r="Z38" s="72">
        <f t="shared" si="3"/>
        <v>0</v>
      </c>
      <c r="AA38" s="72">
        <f t="shared" si="4"/>
        <v>0</v>
      </c>
      <c r="AB38" s="72">
        <f t="shared" si="5"/>
        <v>0</v>
      </c>
      <c r="AC38" s="72">
        <f t="shared" si="6"/>
        <v>0</v>
      </c>
      <c r="AD38" s="72">
        <f t="shared" si="7"/>
        <v>0</v>
      </c>
      <c r="AE38" s="72">
        <f t="shared" si="8"/>
        <v>0</v>
      </c>
      <c r="AF38" s="72">
        <f t="shared" si="9"/>
        <v>0</v>
      </c>
      <c r="AG38" s="72">
        <f t="shared" si="10"/>
        <v>0</v>
      </c>
      <c r="AH38" s="72">
        <f t="shared" si="11"/>
        <v>0</v>
      </c>
      <c r="AI38" s="72">
        <f t="shared" si="12"/>
        <v>0</v>
      </c>
      <c r="AJ38" s="72">
        <f t="shared" si="13"/>
        <v>0</v>
      </c>
      <c r="AK38" s="72">
        <f t="shared" si="14"/>
        <v>0</v>
      </c>
    </row>
    <row r="39" spans="2:37" hidden="1">
      <c r="B39" s="60"/>
      <c r="C39" s="62"/>
      <c r="D39" s="79"/>
      <c r="E39" s="56"/>
      <c r="F39" s="76"/>
      <c r="G39" s="77">
        <f t="shared" si="33"/>
        <v>0</v>
      </c>
      <c r="H39" s="78">
        <f t="shared" si="34"/>
        <v>0</v>
      </c>
      <c r="I39" s="91"/>
      <c r="J39" s="72">
        <f t="shared" si="15"/>
        <v>0</v>
      </c>
      <c r="K39" s="72">
        <f t="shared" si="16"/>
        <v>0</v>
      </c>
      <c r="L39" s="72">
        <f t="shared" si="17"/>
        <v>0</v>
      </c>
      <c r="M39" s="72">
        <f t="shared" si="18"/>
        <v>0</v>
      </c>
      <c r="N39" s="72">
        <f t="shared" si="19"/>
        <v>0</v>
      </c>
      <c r="O39" s="72">
        <f t="shared" si="20"/>
        <v>0</v>
      </c>
      <c r="P39" s="72">
        <f t="shared" si="21"/>
        <v>0</v>
      </c>
      <c r="Q39" s="72">
        <f t="shared" si="22"/>
        <v>0</v>
      </c>
      <c r="R39" s="72">
        <f t="shared" si="23"/>
        <v>0</v>
      </c>
      <c r="S39" s="72">
        <f t="shared" si="24"/>
        <v>0</v>
      </c>
      <c r="T39" s="72">
        <f t="shared" si="25"/>
        <v>0</v>
      </c>
      <c r="U39" s="72">
        <f t="shared" si="26"/>
        <v>0</v>
      </c>
      <c r="V39" s="72"/>
      <c r="W39" s="72"/>
      <c r="X39" s="72"/>
      <c r="Z39" s="72">
        <f t="shared" si="3"/>
        <v>0</v>
      </c>
      <c r="AA39" s="72">
        <f t="shared" si="4"/>
        <v>0</v>
      </c>
      <c r="AB39" s="72">
        <f t="shared" si="5"/>
        <v>0</v>
      </c>
      <c r="AC39" s="72">
        <f t="shared" si="6"/>
        <v>0</v>
      </c>
      <c r="AD39" s="72">
        <f t="shared" si="7"/>
        <v>0</v>
      </c>
      <c r="AE39" s="72">
        <f t="shared" si="8"/>
        <v>0</v>
      </c>
      <c r="AF39" s="72">
        <f t="shared" si="9"/>
        <v>0</v>
      </c>
      <c r="AG39" s="72">
        <f t="shared" si="10"/>
        <v>0</v>
      </c>
      <c r="AH39" s="72">
        <f t="shared" si="11"/>
        <v>0</v>
      </c>
      <c r="AI39" s="72">
        <f t="shared" si="12"/>
        <v>0</v>
      </c>
      <c r="AJ39" s="72">
        <f t="shared" si="13"/>
        <v>0</v>
      </c>
      <c r="AK39" s="72">
        <f t="shared" si="14"/>
        <v>0</v>
      </c>
    </row>
    <row r="40" spans="2:37" hidden="1">
      <c r="B40" s="60"/>
      <c r="C40" s="62"/>
      <c r="D40" s="79"/>
      <c r="E40" s="56"/>
      <c r="F40" s="76"/>
      <c r="G40" s="77">
        <f t="shared" si="33"/>
        <v>0</v>
      </c>
      <c r="H40" s="78">
        <f t="shared" si="34"/>
        <v>0</v>
      </c>
      <c r="I40" s="91"/>
      <c r="J40" s="72">
        <f t="shared" si="15"/>
        <v>0</v>
      </c>
      <c r="K40" s="72">
        <f t="shared" si="16"/>
        <v>0</v>
      </c>
      <c r="L40" s="72">
        <f t="shared" si="17"/>
        <v>0</v>
      </c>
      <c r="M40" s="72">
        <f t="shared" si="18"/>
        <v>0</v>
      </c>
      <c r="N40" s="72">
        <f t="shared" si="19"/>
        <v>0</v>
      </c>
      <c r="O40" s="72">
        <f t="shared" si="20"/>
        <v>0</v>
      </c>
      <c r="P40" s="72">
        <f t="shared" si="21"/>
        <v>0</v>
      </c>
      <c r="Q40" s="72">
        <f t="shared" si="22"/>
        <v>0</v>
      </c>
      <c r="R40" s="72">
        <f t="shared" si="23"/>
        <v>0</v>
      </c>
      <c r="S40" s="72">
        <f t="shared" si="24"/>
        <v>0</v>
      </c>
      <c r="T40" s="72">
        <f t="shared" si="25"/>
        <v>0</v>
      </c>
      <c r="U40" s="72">
        <f t="shared" si="26"/>
        <v>0</v>
      </c>
      <c r="V40" s="72"/>
      <c r="W40" s="72"/>
      <c r="X40" s="72"/>
      <c r="Z40" s="72">
        <f t="shared" si="3"/>
        <v>0</v>
      </c>
      <c r="AA40" s="72">
        <f t="shared" si="4"/>
        <v>0</v>
      </c>
      <c r="AB40" s="72">
        <f t="shared" si="5"/>
        <v>0</v>
      </c>
      <c r="AC40" s="72">
        <f t="shared" si="6"/>
        <v>0</v>
      </c>
      <c r="AD40" s="72">
        <f t="shared" si="7"/>
        <v>0</v>
      </c>
      <c r="AE40" s="72">
        <f t="shared" si="8"/>
        <v>0</v>
      </c>
      <c r="AF40" s="72">
        <f t="shared" si="9"/>
        <v>0</v>
      </c>
      <c r="AG40" s="72">
        <f t="shared" si="10"/>
        <v>0</v>
      </c>
      <c r="AH40" s="72">
        <f t="shared" si="11"/>
        <v>0</v>
      </c>
      <c r="AI40" s="72">
        <f t="shared" si="12"/>
        <v>0</v>
      </c>
      <c r="AJ40" s="72">
        <f t="shared" si="13"/>
        <v>0</v>
      </c>
      <c r="AK40" s="72">
        <f t="shared" si="14"/>
        <v>0</v>
      </c>
    </row>
    <row r="41" spans="2:37" hidden="1">
      <c r="B41" s="60"/>
      <c r="C41" s="62"/>
      <c r="D41" s="79"/>
      <c r="E41" s="56"/>
      <c r="F41" s="76"/>
      <c r="G41" s="77">
        <f t="shared" si="33"/>
        <v>0</v>
      </c>
      <c r="H41" s="78">
        <f t="shared" si="34"/>
        <v>0</v>
      </c>
      <c r="I41" s="91"/>
      <c r="J41" s="72">
        <f t="shared" si="15"/>
        <v>0</v>
      </c>
      <c r="K41" s="72">
        <f t="shared" si="16"/>
        <v>0</v>
      </c>
      <c r="L41" s="72">
        <f t="shared" si="17"/>
        <v>0</v>
      </c>
      <c r="M41" s="72">
        <f t="shared" si="18"/>
        <v>0</v>
      </c>
      <c r="N41" s="72">
        <f t="shared" si="19"/>
        <v>0</v>
      </c>
      <c r="O41" s="72">
        <f t="shared" si="20"/>
        <v>0</v>
      </c>
      <c r="P41" s="72">
        <f t="shared" si="21"/>
        <v>0</v>
      </c>
      <c r="Q41" s="72">
        <f t="shared" si="22"/>
        <v>0</v>
      </c>
      <c r="R41" s="72">
        <f t="shared" si="23"/>
        <v>0</v>
      </c>
      <c r="S41" s="72">
        <f t="shared" si="24"/>
        <v>0</v>
      </c>
      <c r="T41" s="72">
        <f t="shared" si="25"/>
        <v>0</v>
      </c>
      <c r="U41" s="72">
        <f t="shared" si="26"/>
        <v>0</v>
      </c>
      <c r="V41" s="72"/>
      <c r="W41" s="72"/>
      <c r="X41" s="72"/>
      <c r="Z41" s="72">
        <f t="shared" si="3"/>
        <v>0</v>
      </c>
      <c r="AA41" s="72">
        <f t="shared" si="4"/>
        <v>0</v>
      </c>
      <c r="AB41" s="72">
        <f t="shared" si="5"/>
        <v>0</v>
      </c>
      <c r="AC41" s="72">
        <f t="shared" si="6"/>
        <v>0</v>
      </c>
      <c r="AD41" s="72">
        <f t="shared" si="7"/>
        <v>0</v>
      </c>
      <c r="AE41" s="72">
        <f t="shared" si="8"/>
        <v>0</v>
      </c>
      <c r="AF41" s="72">
        <f t="shared" si="9"/>
        <v>0</v>
      </c>
      <c r="AG41" s="72">
        <f t="shared" si="10"/>
        <v>0</v>
      </c>
      <c r="AH41" s="72">
        <f t="shared" si="11"/>
        <v>0</v>
      </c>
      <c r="AI41" s="72">
        <f t="shared" si="12"/>
        <v>0</v>
      </c>
      <c r="AJ41" s="72">
        <f t="shared" si="13"/>
        <v>0</v>
      </c>
      <c r="AK41" s="72">
        <f t="shared" si="14"/>
        <v>0</v>
      </c>
    </row>
    <row r="42" spans="2:37" hidden="1">
      <c r="B42" s="60"/>
      <c r="C42" s="62"/>
      <c r="D42" s="79"/>
      <c r="E42" s="56"/>
      <c r="F42" s="76"/>
      <c r="G42" s="77">
        <f t="shared" si="33"/>
        <v>0</v>
      </c>
      <c r="H42" s="78">
        <f t="shared" si="34"/>
        <v>0</v>
      </c>
      <c r="I42" s="91"/>
      <c r="J42" s="72">
        <f t="shared" si="15"/>
        <v>0</v>
      </c>
      <c r="K42" s="72">
        <f t="shared" si="16"/>
        <v>0</v>
      </c>
      <c r="L42" s="72">
        <f t="shared" si="17"/>
        <v>0</v>
      </c>
      <c r="M42" s="72">
        <f t="shared" si="18"/>
        <v>0</v>
      </c>
      <c r="N42" s="72">
        <f t="shared" si="19"/>
        <v>0</v>
      </c>
      <c r="O42" s="72">
        <f t="shared" si="20"/>
        <v>0</v>
      </c>
      <c r="P42" s="72">
        <f t="shared" si="21"/>
        <v>0</v>
      </c>
      <c r="Q42" s="72">
        <f t="shared" si="22"/>
        <v>0</v>
      </c>
      <c r="R42" s="72">
        <f t="shared" si="23"/>
        <v>0</v>
      </c>
      <c r="S42" s="72">
        <f t="shared" si="24"/>
        <v>0</v>
      </c>
      <c r="T42" s="72">
        <f t="shared" si="25"/>
        <v>0</v>
      </c>
      <c r="U42" s="72">
        <f t="shared" si="26"/>
        <v>0</v>
      </c>
      <c r="V42" s="72"/>
      <c r="W42" s="72"/>
      <c r="X42" s="72"/>
      <c r="Z42" s="72">
        <f t="shared" si="3"/>
        <v>0</v>
      </c>
      <c r="AA42" s="72">
        <f t="shared" si="4"/>
        <v>0</v>
      </c>
      <c r="AB42" s="72">
        <f t="shared" si="5"/>
        <v>0</v>
      </c>
      <c r="AC42" s="72">
        <f t="shared" si="6"/>
        <v>0</v>
      </c>
      <c r="AD42" s="72">
        <f t="shared" si="7"/>
        <v>0</v>
      </c>
      <c r="AE42" s="72">
        <f t="shared" si="8"/>
        <v>0</v>
      </c>
      <c r="AF42" s="72">
        <f t="shared" si="9"/>
        <v>0</v>
      </c>
      <c r="AG42" s="72">
        <f t="shared" si="10"/>
        <v>0</v>
      </c>
      <c r="AH42" s="72">
        <f t="shared" si="11"/>
        <v>0</v>
      </c>
      <c r="AI42" s="72">
        <f t="shared" si="12"/>
        <v>0</v>
      </c>
      <c r="AJ42" s="72">
        <f t="shared" si="13"/>
        <v>0</v>
      </c>
      <c r="AK42" s="72">
        <f t="shared" si="14"/>
        <v>0</v>
      </c>
    </row>
    <row r="43" spans="2:37" hidden="1">
      <c r="B43" s="60"/>
      <c r="C43" s="62"/>
      <c r="D43" s="79"/>
      <c r="E43" s="56"/>
      <c r="F43" s="76"/>
      <c r="G43" s="77">
        <f t="shared" si="33"/>
        <v>0</v>
      </c>
      <c r="H43" s="78">
        <f t="shared" si="34"/>
        <v>0</v>
      </c>
      <c r="I43" s="91"/>
      <c r="J43" s="72">
        <f t="shared" si="15"/>
        <v>0</v>
      </c>
      <c r="K43" s="72">
        <f t="shared" si="16"/>
        <v>0</v>
      </c>
      <c r="L43" s="72">
        <f t="shared" si="17"/>
        <v>0</v>
      </c>
      <c r="M43" s="72">
        <f t="shared" si="18"/>
        <v>0</v>
      </c>
      <c r="N43" s="72">
        <f t="shared" si="19"/>
        <v>0</v>
      </c>
      <c r="O43" s="72">
        <f t="shared" si="20"/>
        <v>0</v>
      </c>
      <c r="P43" s="72">
        <f t="shared" si="21"/>
        <v>0</v>
      </c>
      <c r="Q43" s="72">
        <f t="shared" si="22"/>
        <v>0</v>
      </c>
      <c r="R43" s="72">
        <f t="shared" si="23"/>
        <v>0</v>
      </c>
      <c r="S43" s="72">
        <f t="shared" si="24"/>
        <v>0</v>
      </c>
      <c r="T43" s="72">
        <f t="shared" si="25"/>
        <v>0</v>
      </c>
      <c r="U43" s="72">
        <f t="shared" si="26"/>
        <v>0</v>
      </c>
      <c r="V43" s="72"/>
      <c r="W43" s="72"/>
      <c r="X43" s="72"/>
      <c r="Z43" s="72">
        <f t="shared" si="3"/>
        <v>0</v>
      </c>
      <c r="AA43" s="72">
        <f t="shared" si="4"/>
        <v>0</v>
      </c>
      <c r="AB43" s="72">
        <f t="shared" si="5"/>
        <v>0</v>
      </c>
      <c r="AC43" s="72">
        <f t="shared" si="6"/>
        <v>0</v>
      </c>
      <c r="AD43" s="72">
        <f t="shared" si="7"/>
        <v>0</v>
      </c>
      <c r="AE43" s="72">
        <f t="shared" si="8"/>
        <v>0</v>
      </c>
      <c r="AF43" s="72">
        <f t="shared" si="9"/>
        <v>0</v>
      </c>
      <c r="AG43" s="72">
        <f t="shared" si="10"/>
        <v>0</v>
      </c>
      <c r="AH43" s="72">
        <f t="shared" si="11"/>
        <v>0</v>
      </c>
      <c r="AI43" s="72">
        <f t="shared" si="12"/>
        <v>0</v>
      </c>
      <c r="AJ43" s="72">
        <f t="shared" si="13"/>
        <v>0</v>
      </c>
      <c r="AK43" s="72">
        <f t="shared" si="14"/>
        <v>0</v>
      </c>
    </row>
    <row r="44" spans="2:37" hidden="1">
      <c r="B44" s="60"/>
      <c r="C44" s="62"/>
      <c r="D44" s="79"/>
      <c r="E44" s="56"/>
      <c r="F44" s="76"/>
      <c r="G44" s="77">
        <f t="shared" si="33"/>
        <v>0</v>
      </c>
      <c r="H44" s="78">
        <f t="shared" si="34"/>
        <v>0</v>
      </c>
      <c r="I44" s="91"/>
      <c r="J44" s="72">
        <f t="shared" si="15"/>
        <v>0</v>
      </c>
      <c r="K44" s="72">
        <f t="shared" si="16"/>
        <v>0</v>
      </c>
      <c r="L44" s="72">
        <f t="shared" si="17"/>
        <v>0</v>
      </c>
      <c r="M44" s="72">
        <f t="shared" si="18"/>
        <v>0</v>
      </c>
      <c r="N44" s="72">
        <f t="shared" si="19"/>
        <v>0</v>
      </c>
      <c r="O44" s="72">
        <f t="shared" si="20"/>
        <v>0</v>
      </c>
      <c r="P44" s="72">
        <f t="shared" si="21"/>
        <v>0</v>
      </c>
      <c r="Q44" s="72">
        <f t="shared" si="22"/>
        <v>0</v>
      </c>
      <c r="R44" s="72">
        <f t="shared" si="23"/>
        <v>0</v>
      </c>
      <c r="S44" s="72">
        <f t="shared" si="24"/>
        <v>0</v>
      </c>
      <c r="T44" s="72">
        <f t="shared" si="25"/>
        <v>0</v>
      </c>
      <c r="U44" s="72">
        <f t="shared" si="26"/>
        <v>0</v>
      </c>
      <c r="V44" s="72"/>
      <c r="W44" s="72"/>
      <c r="X44" s="72"/>
      <c r="Z44" s="72">
        <f t="shared" si="3"/>
        <v>0</v>
      </c>
      <c r="AA44" s="72">
        <f t="shared" si="4"/>
        <v>0</v>
      </c>
      <c r="AB44" s="72">
        <f t="shared" si="5"/>
        <v>0</v>
      </c>
      <c r="AC44" s="72">
        <f t="shared" si="6"/>
        <v>0</v>
      </c>
      <c r="AD44" s="72">
        <f t="shared" si="7"/>
        <v>0</v>
      </c>
      <c r="AE44" s="72">
        <f t="shared" si="8"/>
        <v>0</v>
      </c>
      <c r="AF44" s="72">
        <f t="shared" si="9"/>
        <v>0</v>
      </c>
      <c r="AG44" s="72">
        <f t="shared" si="10"/>
        <v>0</v>
      </c>
      <c r="AH44" s="72">
        <f t="shared" si="11"/>
        <v>0</v>
      </c>
      <c r="AI44" s="72">
        <f t="shared" si="12"/>
        <v>0</v>
      </c>
      <c r="AJ44" s="72">
        <f t="shared" si="13"/>
        <v>0</v>
      </c>
      <c r="AK44" s="72">
        <f t="shared" si="14"/>
        <v>0</v>
      </c>
    </row>
    <row r="45" spans="2:37" hidden="1">
      <c r="B45" s="60"/>
      <c r="C45" s="62"/>
      <c r="D45" s="79"/>
      <c r="E45" s="56"/>
      <c r="F45" s="76"/>
      <c r="G45" s="77">
        <f t="shared" si="33"/>
        <v>0</v>
      </c>
      <c r="H45" s="78">
        <f t="shared" si="34"/>
        <v>0</v>
      </c>
      <c r="I45" s="91"/>
      <c r="J45" s="72">
        <f t="shared" si="15"/>
        <v>0</v>
      </c>
      <c r="K45" s="72">
        <f t="shared" si="16"/>
        <v>0</v>
      </c>
      <c r="L45" s="72">
        <f t="shared" si="17"/>
        <v>0</v>
      </c>
      <c r="M45" s="72">
        <f t="shared" si="18"/>
        <v>0</v>
      </c>
      <c r="N45" s="72">
        <f t="shared" si="19"/>
        <v>0</v>
      </c>
      <c r="O45" s="72">
        <f t="shared" si="20"/>
        <v>0</v>
      </c>
      <c r="P45" s="72">
        <f t="shared" si="21"/>
        <v>0</v>
      </c>
      <c r="Q45" s="72">
        <f t="shared" si="22"/>
        <v>0</v>
      </c>
      <c r="R45" s="72">
        <f t="shared" si="23"/>
        <v>0</v>
      </c>
      <c r="S45" s="72">
        <f t="shared" si="24"/>
        <v>0</v>
      </c>
      <c r="T45" s="72">
        <f t="shared" si="25"/>
        <v>0</v>
      </c>
      <c r="U45" s="72">
        <f t="shared" si="26"/>
        <v>0</v>
      </c>
      <c r="V45" s="72"/>
      <c r="W45" s="72"/>
      <c r="X45" s="72"/>
      <c r="Z45" s="72">
        <f t="shared" si="3"/>
        <v>0</v>
      </c>
      <c r="AA45" s="72">
        <f t="shared" si="4"/>
        <v>0</v>
      </c>
      <c r="AB45" s="72">
        <f t="shared" si="5"/>
        <v>0</v>
      </c>
      <c r="AC45" s="72">
        <f t="shared" si="6"/>
        <v>0</v>
      </c>
      <c r="AD45" s="72">
        <f t="shared" si="7"/>
        <v>0</v>
      </c>
      <c r="AE45" s="72">
        <f t="shared" si="8"/>
        <v>0</v>
      </c>
      <c r="AF45" s="72">
        <f t="shared" si="9"/>
        <v>0</v>
      </c>
      <c r="AG45" s="72">
        <f t="shared" si="10"/>
        <v>0</v>
      </c>
      <c r="AH45" s="72">
        <f t="shared" si="11"/>
        <v>0</v>
      </c>
      <c r="AI45" s="72">
        <f t="shared" si="12"/>
        <v>0</v>
      </c>
      <c r="AJ45" s="72">
        <f t="shared" si="13"/>
        <v>0</v>
      </c>
      <c r="AK45" s="72">
        <f t="shared" si="14"/>
        <v>0</v>
      </c>
    </row>
    <row r="46" spans="2:37" hidden="1">
      <c r="B46" s="60"/>
      <c r="C46" s="62"/>
      <c r="D46" s="79"/>
      <c r="E46" s="56"/>
      <c r="F46" s="76"/>
      <c r="G46" s="77">
        <f t="shared" si="33"/>
        <v>0</v>
      </c>
      <c r="H46" s="78">
        <f t="shared" si="34"/>
        <v>0</v>
      </c>
      <c r="I46" s="91"/>
      <c r="J46" s="72">
        <f t="shared" si="15"/>
        <v>0</v>
      </c>
      <c r="K46" s="72">
        <f t="shared" si="16"/>
        <v>0</v>
      </c>
      <c r="L46" s="72">
        <f t="shared" si="17"/>
        <v>0</v>
      </c>
      <c r="M46" s="72">
        <f t="shared" si="18"/>
        <v>0</v>
      </c>
      <c r="N46" s="72">
        <f t="shared" si="19"/>
        <v>0</v>
      </c>
      <c r="O46" s="72">
        <f t="shared" si="20"/>
        <v>0</v>
      </c>
      <c r="P46" s="72">
        <f t="shared" si="21"/>
        <v>0</v>
      </c>
      <c r="Q46" s="72">
        <f t="shared" si="22"/>
        <v>0</v>
      </c>
      <c r="R46" s="72">
        <f t="shared" si="23"/>
        <v>0</v>
      </c>
      <c r="S46" s="72">
        <f t="shared" si="24"/>
        <v>0</v>
      </c>
      <c r="T46" s="72">
        <f t="shared" si="25"/>
        <v>0</v>
      </c>
      <c r="U46" s="72">
        <f t="shared" si="26"/>
        <v>0</v>
      </c>
      <c r="V46" s="72"/>
      <c r="W46" s="72"/>
      <c r="X46" s="72"/>
      <c r="Z46" s="72">
        <f t="shared" si="3"/>
        <v>0</v>
      </c>
      <c r="AA46" s="72">
        <f t="shared" si="4"/>
        <v>0</v>
      </c>
      <c r="AB46" s="72">
        <f t="shared" si="5"/>
        <v>0</v>
      </c>
      <c r="AC46" s="72">
        <f t="shared" si="6"/>
        <v>0</v>
      </c>
      <c r="AD46" s="72">
        <f t="shared" si="7"/>
        <v>0</v>
      </c>
      <c r="AE46" s="72">
        <f t="shared" si="8"/>
        <v>0</v>
      </c>
      <c r="AF46" s="72">
        <f t="shared" si="9"/>
        <v>0</v>
      </c>
      <c r="AG46" s="72">
        <f t="shared" si="10"/>
        <v>0</v>
      </c>
      <c r="AH46" s="72">
        <f t="shared" si="11"/>
        <v>0</v>
      </c>
      <c r="AI46" s="72">
        <f t="shared" si="12"/>
        <v>0</v>
      </c>
      <c r="AJ46" s="72">
        <f t="shared" si="13"/>
        <v>0</v>
      </c>
      <c r="AK46" s="72">
        <f t="shared" si="14"/>
        <v>0</v>
      </c>
    </row>
    <row r="47" spans="2:37" hidden="1">
      <c r="B47" s="60"/>
      <c r="C47" s="62"/>
      <c r="D47" s="79"/>
      <c r="E47" s="56"/>
      <c r="F47" s="76"/>
      <c r="G47" s="77">
        <f t="shared" si="33"/>
        <v>0</v>
      </c>
      <c r="H47" s="78">
        <f t="shared" si="34"/>
        <v>0</v>
      </c>
      <c r="I47" s="91"/>
      <c r="J47" s="72">
        <f t="shared" si="15"/>
        <v>0</v>
      </c>
      <c r="K47" s="72">
        <f t="shared" si="16"/>
        <v>0</v>
      </c>
      <c r="L47" s="72">
        <f t="shared" si="17"/>
        <v>0</v>
      </c>
      <c r="M47" s="72">
        <f t="shared" si="18"/>
        <v>0</v>
      </c>
      <c r="N47" s="72">
        <f t="shared" si="19"/>
        <v>0</v>
      </c>
      <c r="O47" s="72">
        <f t="shared" si="20"/>
        <v>0</v>
      </c>
      <c r="P47" s="72">
        <f t="shared" si="21"/>
        <v>0</v>
      </c>
      <c r="Q47" s="72">
        <f t="shared" si="22"/>
        <v>0</v>
      </c>
      <c r="R47" s="72">
        <f t="shared" si="23"/>
        <v>0</v>
      </c>
      <c r="S47" s="72">
        <f t="shared" si="24"/>
        <v>0</v>
      </c>
      <c r="T47" s="72">
        <f t="shared" si="25"/>
        <v>0</v>
      </c>
      <c r="U47" s="72">
        <f t="shared" si="26"/>
        <v>0</v>
      </c>
      <c r="V47" s="72"/>
      <c r="W47" s="72"/>
      <c r="X47" s="72"/>
      <c r="Z47" s="72">
        <f t="shared" si="3"/>
        <v>0</v>
      </c>
      <c r="AA47" s="72">
        <f t="shared" si="4"/>
        <v>0</v>
      </c>
      <c r="AB47" s="72">
        <f t="shared" si="5"/>
        <v>0</v>
      </c>
      <c r="AC47" s="72">
        <f t="shared" si="6"/>
        <v>0</v>
      </c>
      <c r="AD47" s="72">
        <f t="shared" si="7"/>
        <v>0</v>
      </c>
      <c r="AE47" s="72">
        <f t="shared" si="8"/>
        <v>0</v>
      </c>
      <c r="AF47" s="72">
        <f t="shared" si="9"/>
        <v>0</v>
      </c>
      <c r="AG47" s="72">
        <f t="shared" si="10"/>
        <v>0</v>
      </c>
      <c r="AH47" s="72">
        <f t="shared" si="11"/>
        <v>0</v>
      </c>
      <c r="AI47" s="72">
        <f t="shared" si="12"/>
        <v>0</v>
      </c>
      <c r="AJ47" s="72">
        <f t="shared" si="13"/>
        <v>0</v>
      </c>
      <c r="AK47" s="72">
        <f t="shared" si="14"/>
        <v>0</v>
      </c>
    </row>
    <row r="48" spans="2:37" hidden="1">
      <c r="B48" s="60"/>
      <c r="C48" s="62"/>
      <c r="D48" s="79"/>
      <c r="E48" s="56"/>
      <c r="F48" s="76"/>
      <c r="G48" s="77">
        <f t="shared" si="33"/>
        <v>0</v>
      </c>
      <c r="H48" s="78">
        <f t="shared" si="34"/>
        <v>0</v>
      </c>
      <c r="I48" s="91"/>
      <c r="J48" s="72">
        <f t="shared" si="15"/>
        <v>0</v>
      </c>
      <c r="K48" s="72">
        <f t="shared" si="16"/>
        <v>0</v>
      </c>
      <c r="L48" s="72">
        <f t="shared" si="17"/>
        <v>0</v>
      </c>
      <c r="M48" s="72">
        <f t="shared" si="18"/>
        <v>0</v>
      </c>
      <c r="N48" s="72">
        <f t="shared" si="19"/>
        <v>0</v>
      </c>
      <c r="O48" s="72">
        <f t="shared" si="20"/>
        <v>0</v>
      </c>
      <c r="P48" s="72">
        <f t="shared" si="21"/>
        <v>0</v>
      </c>
      <c r="Q48" s="72">
        <f t="shared" si="22"/>
        <v>0</v>
      </c>
      <c r="R48" s="72">
        <f t="shared" si="23"/>
        <v>0</v>
      </c>
      <c r="S48" s="72">
        <f t="shared" si="24"/>
        <v>0</v>
      </c>
      <c r="T48" s="72">
        <f t="shared" si="25"/>
        <v>0</v>
      </c>
      <c r="U48" s="72">
        <f t="shared" si="26"/>
        <v>0</v>
      </c>
      <c r="V48" s="72"/>
      <c r="W48" s="72"/>
      <c r="X48" s="72"/>
      <c r="Z48" s="72">
        <f t="shared" si="3"/>
        <v>0</v>
      </c>
      <c r="AA48" s="72">
        <f t="shared" si="4"/>
        <v>0</v>
      </c>
      <c r="AB48" s="72">
        <f t="shared" si="5"/>
        <v>0</v>
      </c>
      <c r="AC48" s="72">
        <f t="shared" si="6"/>
        <v>0</v>
      </c>
      <c r="AD48" s="72">
        <f t="shared" si="7"/>
        <v>0</v>
      </c>
      <c r="AE48" s="72">
        <f t="shared" si="8"/>
        <v>0</v>
      </c>
      <c r="AF48" s="72">
        <f t="shared" si="9"/>
        <v>0</v>
      </c>
      <c r="AG48" s="72">
        <f t="shared" si="10"/>
        <v>0</v>
      </c>
      <c r="AH48" s="72">
        <f t="shared" si="11"/>
        <v>0</v>
      </c>
      <c r="AI48" s="72">
        <f t="shared" si="12"/>
        <v>0</v>
      </c>
      <c r="AJ48" s="72">
        <f t="shared" si="13"/>
        <v>0</v>
      </c>
      <c r="AK48" s="72">
        <f t="shared" si="14"/>
        <v>0</v>
      </c>
    </row>
    <row r="49" spans="2:42" hidden="1">
      <c r="B49" s="60"/>
      <c r="C49" s="62"/>
      <c r="D49" s="79"/>
      <c r="E49" s="56"/>
      <c r="F49" s="76"/>
      <c r="G49" s="77">
        <f t="shared" si="33"/>
        <v>0</v>
      </c>
      <c r="H49" s="78">
        <f t="shared" si="34"/>
        <v>0</v>
      </c>
      <c r="I49" s="91"/>
      <c r="J49" s="72">
        <f t="shared" si="15"/>
        <v>0</v>
      </c>
      <c r="K49" s="72">
        <f t="shared" si="16"/>
        <v>0</v>
      </c>
      <c r="L49" s="72">
        <f t="shared" si="17"/>
        <v>0</v>
      </c>
      <c r="M49" s="72">
        <f t="shared" si="18"/>
        <v>0</v>
      </c>
      <c r="N49" s="72">
        <f t="shared" si="19"/>
        <v>0</v>
      </c>
      <c r="O49" s="72">
        <f t="shared" si="20"/>
        <v>0</v>
      </c>
      <c r="P49" s="72">
        <f t="shared" si="21"/>
        <v>0</v>
      </c>
      <c r="Q49" s="72">
        <f t="shared" si="22"/>
        <v>0</v>
      </c>
      <c r="R49" s="72">
        <f t="shared" si="23"/>
        <v>0</v>
      </c>
      <c r="S49" s="72">
        <f t="shared" si="24"/>
        <v>0</v>
      </c>
      <c r="T49" s="72">
        <f t="shared" si="25"/>
        <v>0</v>
      </c>
      <c r="U49" s="72">
        <f t="shared" si="26"/>
        <v>0</v>
      </c>
      <c r="V49" s="72"/>
      <c r="W49" s="72"/>
      <c r="X49" s="72"/>
      <c r="Z49" s="72">
        <f t="shared" si="3"/>
        <v>0</v>
      </c>
      <c r="AA49" s="72">
        <f t="shared" si="4"/>
        <v>0</v>
      </c>
      <c r="AB49" s="72">
        <f t="shared" si="5"/>
        <v>0</v>
      </c>
      <c r="AC49" s="72">
        <f t="shared" si="6"/>
        <v>0</v>
      </c>
      <c r="AD49" s="72">
        <f t="shared" si="7"/>
        <v>0</v>
      </c>
      <c r="AE49" s="72">
        <f t="shared" si="8"/>
        <v>0</v>
      </c>
      <c r="AF49" s="72">
        <f t="shared" si="9"/>
        <v>0</v>
      </c>
      <c r="AG49" s="72">
        <f t="shared" si="10"/>
        <v>0</v>
      </c>
      <c r="AH49" s="72">
        <f t="shared" si="11"/>
        <v>0</v>
      </c>
      <c r="AI49" s="72">
        <f t="shared" si="12"/>
        <v>0</v>
      </c>
      <c r="AJ49" s="72">
        <f t="shared" si="13"/>
        <v>0</v>
      </c>
      <c r="AK49" s="72">
        <f t="shared" si="14"/>
        <v>0</v>
      </c>
    </row>
    <row r="50" spans="2:42" hidden="1">
      <c r="B50" s="60"/>
      <c r="C50" s="62"/>
      <c r="D50" s="79"/>
      <c r="E50" s="56"/>
      <c r="F50" s="76"/>
      <c r="G50" s="77">
        <f t="shared" si="33"/>
        <v>0</v>
      </c>
      <c r="H50" s="78">
        <f t="shared" si="34"/>
        <v>0</v>
      </c>
      <c r="I50" s="91"/>
      <c r="J50" s="72">
        <f t="shared" si="15"/>
        <v>0</v>
      </c>
      <c r="K50" s="72">
        <f t="shared" si="16"/>
        <v>0</v>
      </c>
      <c r="L50" s="72">
        <f t="shared" si="17"/>
        <v>0</v>
      </c>
      <c r="M50" s="72">
        <f t="shared" si="18"/>
        <v>0</v>
      </c>
      <c r="N50" s="72">
        <f t="shared" si="19"/>
        <v>0</v>
      </c>
      <c r="O50" s="72">
        <f t="shared" si="20"/>
        <v>0</v>
      </c>
      <c r="P50" s="72">
        <f t="shared" si="21"/>
        <v>0</v>
      </c>
      <c r="Q50" s="72">
        <f t="shared" si="22"/>
        <v>0</v>
      </c>
      <c r="R50" s="72">
        <f t="shared" si="23"/>
        <v>0</v>
      </c>
      <c r="S50" s="72">
        <f t="shared" si="24"/>
        <v>0</v>
      </c>
      <c r="T50" s="72">
        <f t="shared" si="25"/>
        <v>0</v>
      </c>
      <c r="U50" s="72">
        <f t="shared" si="26"/>
        <v>0</v>
      </c>
      <c r="V50" s="72"/>
      <c r="W50" s="72"/>
      <c r="X50" s="72"/>
      <c r="Z50" s="72">
        <f t="shared" si="3"/>
        <v>0</v>
      </c>
      <c r="AA50" s="72">
        <f t="shared" si="4"/>
        <v>0</v>
      </c>
      <c r="AB50" s="72">
        <f t="shared" si="5"/>
        <v>0</v>
      </c>
      <c r="AC50" s="72">
        <f t="shared" si="6"/>
        <v>0</v>
      </c>
      <c r="AD50" s="72">
        <f t="shared" si="7"/>
        <v>0</v>
      </c>
      <c r="AE50" s="72">
        <f t="shared" si="8"/>
        <v>0</v>
      </c>
      <c r="AF50" s="72">
        <f t="shared" si="9"/>
        <v>0</v>
      </c>
      <c r="AG50" s="72">
        <f t="shared" si="10"/>
        <v>0</v>
      </c>
      <c r="AH50" s="72">
        <f t="shared" si="11"/>
        <v>0</v>
      </c>
      <c r="AI50" s="72">
        <f t="shared" si="12"/>
        <v>0</v>
      </c>
      <c r="AJ50" s="72">
        <f t="shared" si="13"/>
        <v>0</v>
      </c>
      <c r="AK50" s="72">
        <f t="shared" si="14"/>
        <v>0</v>
      </c>
    </row>
    <row r="51" spans="2:42" hidden="1">
      <c r="B51" s="60"/>
      <c r="C51" s="62"/>
      <c r="D51" s="79"/>
      <c r="E51" s="56"/>
      <c r="F51" s="76"/>
      <c r="G51" s="77">
        <f t="shared" si="33"/>
        <v>0</v>
      </c>
      <c r="H51" s="78">
        <f t="shared" si="34"/>
        <v>0</v>
      </c>
      <c r="I51" s="91"/>
      <c r="J51" s="72">
        <f t="shared" si="15"/>
        <v>0</v>
      </c>
      <c r="K51" s="72">
        <f t="shared" si="16"/>
        <v>0</v>
      </c>
      <c r="L51" s="72">
        <f t="shared" si="17"/>
        <v>0</v>
      </c>
      <c r="M51" s="72">
        <f t="shared" si="18"/>
        <v>0</v>
      </c>
      <c r="N51" s="72">
        <f t="shared" si="19"/>
        <v>0</v>
      </c>
      <c r="O51" s="72">
        <f t="shared" si="20"/>
        <v>0</v>
      </c>
      <c r="P51" s="72">
        <f t="shared" si="21"/>
        <v>0</v>
      </c>
      <c r="Q51" s="72">
        <f t="shared" si="22"/>
        <v>0</v>
      </c>
      <c r="R51" s="72">
        <f t="shared" si="23"/>
        <v>0</v>
      </c>
      <c r="S51" s="72">
        <f t="shared" si="24"/>
        <v>0</v>
      </c>
      <c r="T51" s="72">
        <f t="shared" si="25"/>
        <v>0</v>
      </c>
      <c r="U51" s="72">
        <f t="shared" si="26"/>
        <v>0</v>
      </c>
      <c r="V51" s="72"/>
      <c r="W51" s="72"/>
      <c r="X51" s="72"/>
      <c r="Z51" s="72">
        <f t="shared" si="3"/>
        <v>0</v>
      </c>
      <c r="AA51" s="72">
        <f t="shared" si="4"/>
        <v>0</v>
      </c>
      <c r="AB51" s="72">
        <f t="shared" si="5"/>
        <v>0</v>
      </c>
      <c r="AC51" s="72">
        <f t="shared" si="6"/>
        <v>0</v>
      </c>
      <c r="AD51" s="72">
        <f t="shared" si="7"/>
        <v>0</v>
      </c>
      <c r="AE51" s="72">
        <f t="shared" si="8"/>
        <v>0</v>
      </c>
      <c r="AF51" s="72">
        <f t="shared" si="9"/>
        <v>0</v>
      </c>
      <c r="AG51" s="72">
        <f t="shared" si="10"/>
        <v>0</v>
      </c>
      <c r="AH51" s="72">
        <f t="shared" si="11"/>
        <v>0</v>
      </c>
      <c r="AI51" s="72">
        <f t="shared" si="12"/>
        <v>0</v>
      </c>
      <c r="AJ51" s="72">
        <f t="shared" si="13"/>
        <v>0</v>
      </c>
      <c r="AK51" s="72">
        <f t="shared" si="14"/>
        <v>0</v>
      </c>
    </row>
    <row r="52" spans="2:42" hidden="1">
      <c r="B52" s="60"/>
      <c r="C52" s="62"/>
      <c r="D52" s="79"/>
      <c r="E52" s="56"/>
      <c r="F52" s="76"/>
      <c r="G52" s="77">
        <f t="shared" si="33"/>
        <v>0</v>
      </c>
      <c r="H52" s="78">
        <f t="shared" si="34"/>
        <v>0</v>
      </c>
      <c r="I52" s="91"/>
      <c r="J52" s="72">
        <f t="shared" si="15"/>
        <v>0</v>
      </c>
      <c r="K52" s="72">
        <f t="shared" si="16"/>
        <v>0</v>
      </c>
      <c r="L52" s="72">
        <f t="shared" si="17"/>
        <v>0</v>
      </c>
      <c r="M52" s="72">
        <f t="shared" si="18"/>
        <v>0</v>
      </c>
      <c r="N52" s="72">
        <f t="shared" si="19"/>
        <v>0</v>
      </c>
      <c r="O52" s="72">
        <f t="shared" si="20"/>
        <v>0</v>
      </c>
      <c r="P52" s="72">
        <f t="shared" si="21"/>
        <v>0</v>
      </c>
      <c r="Q52" s="72">
        <f t="shared" si="22"/>
        <v>0</v>
      </c>
      <c r="R52" s="72">
        <f t="shared" si="23"/>
        <v>0</v>
      </c>
      <c r="S52" s="72">
        <f t="shared" si="24"/>
        <v>0</v>
      </c>
      <c r="T52" s="72">
        <f t="shared" si="25"/>
        <v>0</v>
      </c>
      <c r="U52" s="72">
        <f t="shared" si="26"/>
        <v>0</v>
      </c>
      <c r="V52" s="72"/>
      <c r="W52" s="72"/>
      <c r="X52" s="72"/>
      <c r="Z52" s="72">
        <f t="shared" si="3"/>
        <v>0</v>
      </c>
      <c r="AA52" s="72">
        <f t="shared" si="4"/>
        <v>0</v>
      </c>
      <c r="AB52" s="72">
        <f t="shared" si="5"/>
        <v>0</v>
      </c>
      <c r="AC52" s="72">
        <f t="shared" si="6"/>
        <v>0</v>
      </c>
      <c r="AD52" s="72">
        <f t="shared" si="7"/>
        <v>0</v>
      </c>
      <c r="AE52" s="72">
        <f t="shared" si="8"/>
        <v>0</v>
      </c>
      <c r="AF52" s="72">
        <f t="shared" si="9"/>
        <v>0</v>
      </c>
      <c r="AG52" s="72">
        <f t="shared" si="10"/>
        <v>0</v>
      </c>
      <c r="AH52" s="72">
        <f t="shared" si="11"/>
        <v>0</v>
      </c>
      <c r="AI52" s="72">
        <f t="shared" si="12"/>
        <v>0</v>
      </c>
      <c r="AJ52" s="72">
        <f t="shared" si="13"/>
        <v>0</v>
      </c>
      <c r="AK52" s="72">
        <f t="shared" si="14"/>
        <v>0</v>
      </c>
    </row>
    <row r="53" spans="2:42" hidden="1">
      <c r="B53" s="60"/>
      <c r="C53" s="62"/>
      <c r="D53" s="79"/>
      <c r="E53" s="56"/>
      <c r="F53" s="76"/>
      <c r="G53" s="77">
        <f t="shared" si="33"/>
        <v>0</v>
      </c>
      <c r="H53" s="78">
        <f t="shared" si="34"/>
        <v>0</v>
      </c>
      <c r="I53" s="91"/>
      <c r="J53" s="72">
        <f t="shared" si="15"/>
        <v>0</v>
      </c>
      <c r="K53" s="72">
        <f t="shared" si="16"/>
        <v>0</v>
      </c>
      <c r="L53" s="72">
        <f t="shared" si="17"/>
        <v>0</v>
      </c>
      <c r="M53" s="72">
        <f t="shared" si="18"/>
        <v>0</v>
      </c>
      <c r="N53" s="72">
        <f t="shared" si="19"/>
        <v>0</v>
      </c>
      <c r="O53" s="72">
        <f t="shared" si="20"/>
        <v>0</v>
      </c>
      <c r="P53" s="72">
        <f t="shared" si="21"/>
        <v>0</v>
      </c>
      <c r="Q53" s="72">
        <f t="shared" si="22"/>
        <v>0</v>
      </c>
      <c r="R53" s="72">
        <f t="shared" si="23"/>
        <v>0</v>
      </c>
      <c r="S53" s="72">
        <f t="shared" si="24"/>
        <v>0</v>
      </c>
      <c r="T53" s="72">
        <f t="shared" si="25"/>
        <v>0</v>
      </c>
      <c r="U53" s="72">
        <f t="shared" si="26"/>
        <v>0</v>
      </c>
      <c r="V53" s="72"/>
      <c r="W53" s="72"/>
      <c r="X53" s="72"/>
      <c r="Z53" s="72">
        <f t="shared" si="3"/>
        <v>0</v>
      </c>
      <c r="AA53" s="72">
        <f t="shared" si="4"/>
        <v>0</v>
      </c>
      <c r="AB53" s="72">
        <f t="shared" si="5"/>
        <v>0</v>
      </c>
      <c r="AC53" s="72">
        <f t="shared" si="6"/>
        <v>0</v>
      </c>
      <c r="AD53" s="72">
        <f t="shared" si="7"/>
        <v>0</v>
      </c>
      <c r="AE53" s="72">
        <f t="shared" si="8"/>
        <v>0</v>
      </c>
      <c r="AF53" s="72">
        <f t="shared" si="9"/>
        <v>0</v>
      </c>
      <c r="AG53" s="72">
        <f t="shared" si="10"/>
        <v>0</v>
      </c>
      <c r="AH53" s="72">
        <f t="shared" si="11"/>
        <v>0</v>
      </c>
      <c r="AI53" s="72">
        <f t="shared" si="12"/>
        <v>0</v>
      </c>
      <c r="AJ53" s="72">
        <f t="shared" si="13"/>
        <v>0</v>
      </c>
      <c r="AK53" s="72">
        <f t="shared" si="14"/>
        <v>0</v>
      </c>
    </row>
    <row r="54" spans="2:42" hidden="1">
      <c r="B54" s="60"/>
      <c r="C54" s="62"/>
      <c r="D54" s="79"/>
      <c r="E54" s="56"/>
      <c r="F54" s="76"/>
      <c r="G54" s="77">
        <f t="shared" si="33"/>
        <v>0</v>
      </c>
      <c r="H54" s="78">
        <f t="shared" si="34"/>
        <v>0</v>
      </c>
      <c r="I54" s="91"/>
      <c r="J54" s="72">
        <f t="shared" si="15"/>
        <v>0</v>
      </c>
      <c r="K54" s="72">
        <f t="shared" si="16"/>
        <v>0</v>
      </c>
      <c r="L54" s="72">
        <f t="shared" si="17"/>
        <v>0</v>
      </c>
      <c r="M54" s="72">
        <f t="shared" si="18"/>
        <v>0</v>
      </c>
      <c r="N54" s="72">
        <f t="shared" si="19"/>
        <v>0</v>
      </c>
      <c r="O54" s="72">
        <f t="shared" si="20"/>
        <v>0</v>
      </c>
      <c r="P54" s="72">
        <f t="shared" si="21"/>
        <v>0</v>
      </c>
      <c r="Q54" s="72">
        <f t="shared" si="22"/>
        <v>0</v>
      </c>
      <c r="R54" s="72">
        <f t="shared" si="23"/>
        <v>0</v>
      </c>
      <c r="S54" s="72">
        <f t="shared" si="24"/>
        <v>0</v>
      </c>
      <c r="T54" s="72">
        <f t="shared" si="25"/>
        <v>0</v>
      </c>
      <c r="U54" s="72">
        <f t="shared" si="26"/>
        <v>0</v>
      </c>
      <c r="V54" s="72"/>
      <c r="W54" s="72"/>
      <c r="X54" s="72"/>
      <c r="Z54" s="72">
        <f t="shared" si="3"/>
        <v>0</v>
      </c>
      <c r="AA54" s="72">
        <f t="shared" si="4"/>
        <v>0</v>
      </c>
      <c r="AB54" s="72">
        <f t="shared" si="5"/>
        <v>0</v>
      </c>
      <c r="AC54" s="72">
        <f t="shared" si="6"/>
        <v>0</v>
      </c>
      <c r="AD54" s="72">
        <f t="shared" si="7"/>
        <v>0</v>
      </c>
      <c r="AE54" s="72">
        <f t="shared" si="8"/>
        <v>0</v>
      </c>
      <c r="AF54" s="72">
        <f t="shared" si="9"/>
        <v>0</v>
      </c>
      <c r="AG54" s="72">
        <f t="shared" si="10"/>
        <v>0</v>
      </c>
      <c r="AH54" s="72">
        <f t="shared" si="11"/>
        <v>0</v>
      </c>
      <c r="AI54" s="72">
        <f t="shared" si="12"/>
        <v>0</v>
      </c>
      <c r="AJ54" s="72">
        <f t="shared" si="13"/>
        <v>0</v>
      </c>
      <c r="AK54" s="72">
        <f t="shared" si="14"/>
        <v>0</v>
      </c>
    </row>
    <row r="55" spans="2:42" hidden="1">
      <c r="B55" s="60"/>
      <c r="C55" s="62"/>
      <c r="D55" s="79"/>
      <c r="E55" s="56"/>
      <c r="F55" s="76"/>
      <c r="G55" s="77">
        <f t="shared" si="33"/>
        <v>0</v>
      </c>
      <c r="H55" s="78">
        <f t="shared" si="34"/>
        <v>0</v>
      </c>
      <c r="I55" s="91"/>
      <c r="J55" s="72">
        <f t="shared" si="15"/>
        <v>0</v>
      </c>
      <c r="K55" s="72">
        <f t="shared" si="16"/>
        <v>0</v>
      </c>
      <c r="L55" s="72">
        <f t="shared" si="17"/>
        <v>0</v>
      </c>
      <c r="M55" s="72">
        <f t="shared" si="18"/>
        <v>0</v>
      </c>
      <c r="N55" s="72">
        <f t="shared" si="19"/>
        <v>0</v>
      </c>
      <c r="O55" s="72">
        <f t="shared" si="20"/>
        <v>0</v>
      </c>
      <c r="P55" s="72">
        <f t="shared" si="21"/>
        <v>0</v>
      </c>
      <c r="Q55" s="72">
        <f t="shared" si="22"/>
        <v>0</v>
      </c>
      <c r="R55" s="72">
        <f t="shared" si="23"/>
        <v>0</v>
      </c>
      <c r="S55" s="72">
        <f t="shared" si="24"/>
        <v>0</v>
      </c>
      <c r="T55" s="72">
        <f t="shared" si="25"/>
        <v>0</v>
      </c>
      <c r="U55" s="72">
        <f t="shared" si="26"/>
        <v>0</v>
      </c>
      <c r="V55" s="72"/>
      <c r="W55" s="72"/>
      <c r="X55" s="72"/>
      <c r="Z55" s="72">
        <f t="shared" si="3"/>
        <v>0</v>
      </c>
      <c r="AA55" s="72">
        <f t="shared" si="4"/>
        <v>0</v>
      </c>
      <c r="AB55" s="72">
        <f t="shared" si="5"/>
        <v>0</v>
      </c>
      <c r="AC55" s="72">
        <f t="shared" si="6"/>
        <v>0</v>
      </c>
      <c r="AD55" s="72">
        <f t="shared" si="7"/>
        <v>0</v>
      </c>
      <c r="AE55" s="72">
        <f t="shared" si="8"/>
        <v>0</v>
      </c>
      <c r="AF55" s="72">
        <f t="shared" si="9"/>
        <v>0</v>
      </c>
      <c r="AG55" s="72">
        <f t="shared" si="10"/>
        <v>0</v>
      </c>
      <c r="AH55" s="72">
        <f t="shared" si="11"/>
        <v>0</v>
      </c>
      <c r="AI55" s="72">
        <f t="shared" si="12"/>
        <v>0</v>
      </c>
      <c r="AJ55" s="72">
        <f t="shared" si="13"/>
        <v>0</v>
      </c>
      <c r="AK55" s="72">
        <f t="shared" si="14"/>
        <v>0</v>
      </c>
    </row>
    <row r="56" spans="2:42" hidden="1">
      <c r="B56" s="60"/>
      <c r="C56" s="62"/>
      <c r="D56" s="79"/>
      <c r="E56" s="56"/>
      <c r="F56" s="76"/>
      <c r="G56" s="77">
        <f t="shared" si="33"/>
        <v>0</v>
      </c>
      <c r="H56" s="78">
        <f t="shared" si="34"/>
        <v>0</v>
      </c>
      <c r="I56" s="91"/>
      <c r="J56" s="72">
        <f t="shared" si="15"/>
        <v>0</v>
      </c>
      <c r="K56" s="72">
        <f t="shared" si="16"/>
        <v>0</v>
      </c>
      <c r="L56" s="72">
        <f t="shared" si="17"/>
        <v>0</v>
      </c>
      <c r="M56" s="72">
        <f t="shared" si="18"/>
        <v>0</v>
      </c>
      <c r="N56" s="72">
        <f t="shared" si="19"/>
        <v>0</v>
      </c>
      <c r="O56" s="72">
        <f t="shared" si="20"/>
        <v>0</v>
      </c>
      <c r="P56" s="72">
        <f t="shared" si="21"/>
        <v>0</v>
      </c>
      <c r="Q56" s="72">
        <f t="shared" si="22"/>
        <v>0</v>
      </c>
      <c r="R56" s="72">
        <f t="shared" si="23"/>
        <v>0</v>
      </c>
      <c r="S56" s="72">
        <f t="shared" si="24"/>
        <v>0</v>
      </c>
      <c r="T56" s="72">
        <f t="shared" si="25"/>
        <v>0</v>
      </c>
      <c r="U56" s="72">
        <f t="shared" si="26"/>
        <v>0</v>
      </c>
      <c r="V56" s="72"/>
      <c r="W56" s="72"/>
      <c r="X56" s="72"/>
      <c r="Z56" s="72">
        <f t="shared" si="3"/>
        <v>0</v>
      </c>
      <c r="AA56" s="72">
        <f t="shared" si="4"/>
        <v>0</v>
      </c>
      <c r="AB56" s="72">
        <f t="shared" si="5"/>
        <v>0</v>
      </c>
      <c r="AC56" s="72">
        <f t="shared" si="6"/>
        <v>0</v>
      </c>
      <c r="AD56" s="72">
        <f t="shared" si="7"/>
        <v>0</v>
      </c>
      <c r="AE56" s="72">
        <f t="shared" si="8"/>
        <v>0</v>
      </c>
      <c r="AF56" s="72">
        <f t="shared" si="9"/>
        <v>0</v>
      </c>
      <c r="AG56" s="72">
        <f t="shared" si="10"/>
        <v>0</v>
      </c>
      <c r="AH56" s="72">
        <f t="shared" si="11"/>
        <v>0</v>
      </c>
      <c r="AI56" s="72">
        <f t="shared" si="12"/>
        <v>0</v>
      </c>
      <c r="AJ56" s="72">
        <f t="shared" si="13"/>
        <v>0</v>
      </c>
      <c r="AK56" s="72">
        <f t="shared" si="14"/>
        <v>0</v>
      </c>
    </row>
    <row r="57" spans="2:42" hidden="1">
      <c r="B57" s="60"/>
      <c r="C57" s="62"/>
      <c r="D57" s="79"/>
      <c r="E57" s="56"/>
      <c r="F57" s="76"/>
      <c r="G57" s="77">
        <f t="shared" si="33"/>
        <v>0</v>
      </c>
      <c r="H57" s="78">
        <f t="shared" si="34"/>
        <v>0</v>
      </c>
      <c r="I57" s="91"/>
      <c r="J57" s="72">
        <f t="shared" si="15"/>
        <v>0</v>
      </c>
      <c r="K57" s="72">
        <f t="shared" si="16"/>
        <v>0</v>
      </c>
      <c r="L57" s="72">
        <f t="shared" si="17"/>
        <v>0</v>
      </c>
      <c r="M57" s="72">
        <f t="shared" si="18"/>
        <v>0</v>
      </c>
      <c r="N57" s="72">
        <f t="shared" si="19"/>
        <v>0</v>
      </c>
      <c r="O57" s="72">
        <f t="shared" si="20"/>
        <v>0</v>
      </c>
      <c r="P57" s="72">
        <f t="shared" si="21"/>
        <v>0</v>
      </c>
      <c r="Q57" s="72">
        <f t="shared" si="22"/>
        <v>0</v>
      </c>
      <c r="R57" s="72">
        <f t="shared" si="23"/>
        <v>0</v>
      </c>
      <c r="S57" s="72">
        <f t="shared" si="24"/>
        <v>0</v>
      </c>
      <c r="T57" s="72">
        <f t="shared" si="25"/>
        <v>0</v>
      </c>
      <c r="U57" s="72">
        <f t="shared" si="26"/>
        <v>0</v>
      </c>
      <c r="V57" s="72"/>
      <c r="W57" s="72"/>
      <c r="X57" s="72"/>
      <c r="Z57" s="72">
        <f t="shared" si="3"/>
        <v>0</v>
      </c>
      <c r="AA57" s="72">
        <f t="shared" si="4"/>
        <v>0</v>
      </c>
      <c r="AB57" s="72">
        <f t="shared" si="5"/>
        <v>0</v>
      </c>
      <c r="AC57" s="72">
        <f t="shared" si="6"/>
        <v>0</v>
      </c>
      <c r="AD57" s="72">
        <f t="shared" si="7"/>
        <v>0</v>
      </c>
      <c r="AE57" s="72">
        <f t="shared" si="8"/>
        <v>0</v>
      </c>
      <c r="AF57" s="72">
        <f t="shared" si="9"/>
        <v>0</v>
      </c>
      <c r="AG57" s="72">
        <f t="shared" si="10"/>
        <v>0</v>
      </c>
      <c r="AH57" s="72">
        <f t="shared" si="11"/>
        <v>0</v>
      </c>
      <c r="AI57" s="72">
        <f t="shared" si="12"/>
        <v>0</v>
      </c>
      <c r="AJ57" s="72">
        <f t="shared" si="13"/>
        <v>0</v>
      </c>
      <c r="AK57" s="72">
        <f t="shared" si="14"/>
        <v>0</v>
      </c>
    </row>
    <row r="58" spans="2:42" hidden="1">
      <c r="B58" s="60"/>
      <c r="C58" s="62"/>
      <c r="D58" s="79"/>
      <c r="E58" s="56"/>
      <c r="F58" s="76"/>
      <c r="G58" s="77">
        <f t="shared" si="33"/>
        <v>0</v>
      </c>
      <c r="H58" s="78">
        <f t="shared" si="34"/>
        <v>0</v>
      </c>
      <c r="I58" s="91"/>
      <c r="J58" s="72">
        <f t="shared" si="15"/>
        <v>0</v>
      </c>
      <c r="K58" s="72">
        <f t="shared" si="16"/>
        <v>0</v>
      </c>
      <c r="L58" s="72">
        <f t="shared" si="17"/>
        <v>0</v>
      </c>
      <c r="M58" s="72">
        <f t="shared" si="18"/>
        <v>0</v>
      </c>
      <c r="N58" s="72">
        <f t="shared" si="19"/>
        <v>0</v>
      </c>
      <c r="O58" s="72">
        <f t="shared" si="20"/>
        <v>0</v>
      </c>
      <c r="P58" s="72">
        <f t="shared" si="21"/>
        <v>0</v>
      </c>
      <c r="Q58" s="72">
        <f t="shared" si="22"/>
        <v>0</v>
      </c>
      <c r="R58" s="72">
        <f t="shared" si="23"/>
        <v>0</v>
      </c>
      <c r="S58" s="72">
        <f t="shared" si="24"/>
        <v>0</v>
      </c>
      <c r="T58" s="72">
        <f t="shared" si="25"/>
        <v>0</v>
      </c>
      <c r="U58" s="72">
        <f t="shared" si="26"/>
        <v>0</v>
      </c>
      <c r="V58" s="72"/>
      <c r="W58" s="72"/>
      <c r="X58" s="72"/>
      <c r="Z58" s="72">
        <f t="shared" si="3"/>
        <v>0</v>
      </c>
      <c r="AA58" s="72">
        <f t="shared" si="4"/>
        <v>0</v>
      </c>
      <c r="AB58" s="72">
        <f t="shared" si="5"/>
        <v>0</v>
      </c>
      <c r="AC58" s="72">
        <f t="shared" si="6"/>
        <v>0</v>
      </c>
      <c r="AD58" s="72">
        <f t="shared" si="7"/>
        <v>0</v>
      </c>
      <c r="AE58" s="72">
        <f t="shared" si="8"/>
        <v>0</v>
      </c>
      <c r="AF58" s="72">
        <f t="shared" si="9"/>
        <v>0</v>
      </c>
      <c r="AG58" s="72">
        <f t="shared" si="10"/>
        <v>0</v>
      </c>
      <c r="AH58" s="72">
        <f t="shared" si="11"/>
        <v>0</v>
      </c>
      <c r="AI58" s="72">
        <f t="shared" si="12"/>
        <v>0</v>
      </c>
      <c r="AJ58" s="72">
        <f t="shared" si="13"/>
        <v>0</v>
      </c>
      <c r="AK58" s="72">
        <f t="shared" si="14"/>
        <v>0</v>
      </c>
    </row>
    <row r="59" spans="2:42" hidden="1">
      <c r="B59" s="60"/>
      <c r="C59" s="62"/>
      <c r="D59" s="79"/>
      <c r="E59" s="56"/>
      <c r="F59" s="76"/>
      <c r="G59" s="77">
        <f t="shared" si="33"/>
        <v>0</v>
      </c>
      <c r="H59" s="78">
        <f t="shared" si="34"/>
        <v>0</v>
      </c>
      <c r="I59" s="91"/>
      <c r="J59" s="72">
        <f t="shared" si="15"/>
        <v>0</v>
      </c>
      <c r="K59" s="72">
        <f t="shared" si="16"/>
        <v>0</v>
      </c>
      <c r="L59" s="72">
        <f t="shared" si="17"/>
        <v>0</v>
      </c>
      <c r="M59" s="72">
        <f t="shared" si="18"/>
        <v>0</v>
      </c>
      <c r="N59" s="72">
        <f t="shared" si="19"/>
        <v>0</v>
      </c>
      <c r="O59" s="72">
        <f t="shared" si="20"/>
        <v>0</v>
      </c>
      <c r="P59" s="72">
        <f t="shared" si="21"/>
        <v>0</v>
      </c>
      <c r="Q59" s="72">
        <f t="shared" si="22"/>
        <v>0</v>
      </c>
      <c r="R59" s="72">
        <f t="shared" si="23"/>
        <v>0</v>
      </c>
      <c r="S59" s="72">
        <f t="shared" si="24"/>
        <v>0</v>
      </c>
      <c r="T59" s="72">
        <f t="shared" si="25"/>
        <v>0</v>
      </c>
      <c r="U59" s="72">
        <f t="shared" si="26"/>
        <v>0</v>
      </c>
      <c r="V59" s="72"/>
      <c r="W59" s="72"/>
      <c r="X59" s="72"/>
      <c r="Z59" s="72">
        <f t="shared" si="3"/>
        <v>0</v>
      </c>
      <c r="AA59" s="72">
        <f t="shared" si="4"/>
        <v>0</v>
      </c>
      <c r="AB59" s="72">
        <f t="shared" si="5"/>
        <v>0</v>
      </c>
      <c r="AC59" s="72">
        <f t="shared" si="6"/>
        <v>0</v>
      </c>
      <c r="AD59" s="72">
        <f t="shared" si="7"/>
        <v>0</v>
      </c>
      <c r="AE59" s="72">
        <f t="shared" si="8"/>
        <v>0</v>
      </c>
      <c r="AF59" s="72">
        <f t="shared" si="9"/>
        <v>0</v>
      </c>
      <c r="AG59" s="72">
        <f t="shared" si="10"/>
        <v>0</v>
      </c>
      <c r="AH59" s="72">
        <f t="shared" si="11"/>
        <v>0</v>
      </c>
      <c r="AI59" s="72">
        <f t="shared" si="12"/>
        <v>0</v>
      </c>
      <c r="AJ59" s="72">
        <f t="shared" si="13"/>
        <v>0</v>
      </c>
      <c r="AK59" s="72">
        <f t="shared" si="14"/>
        <v>0</v>
      </c>
    </row>
    <row r="60" spans="2:42" hidden="1">
      <c r="B60" s="60"/>
      <c r="C60" s="62"/>
      <c r="D60" s="79"/>
      <c r="E60" s="56"/>
      <c r="F60" s="76"/>
      <c r="G60" s="77">
        <f t="shared" si="33"/>
        <v>0</v>
      </c>
      <c r="H60" s="78">
        <f t="shared" si="34"/>
        <v>0</v>
      </c>
      <c r="I60" s="91"/>
      <c r="J60" s="72">
        <f t="shared" si="15"/>
        <v>0</v>
      </c>
      <c r="K60" s="72">
        <f t="shared" si="16"/>
        <v>0</v>
      </c>
      <c r="L60" s="72">
        <f t="shared" si="17"/>
        <v>0</v>
      </c>
      <c r="M60" s="72">
        <f t="shared" si="18"/>
        <v>0</v>
      </c>
      <c r="N60" s="72">
        <f t="shared" si="19"/>
        <v>0</v>
      </c>
      <c r="O60" s="72">
        <f t="shared" si="20"/>
        <v>0</v>
      </c>
      <c r="P60" s="72">
        <f t="shared" si="21"/>
        <v>0</v>
      </c>
      <c r="Q60" s="72">
        <f t="shared" si="22"/>
        <v>0</v>
      </c>
      <c r="R60" s="72">
        <f t="shared" si="23"/>
        <v>0</v>
      </c>
      <c r="S60" s="72">
        <f t="shared" si="24"/>
        <v>0</v>
      </c>
      <c r="T60" s="72">
        <f t="shared" si="25"/>
        <v>0</v>
      </c>
      <c r="U60" s="72">
        <f t="shared" si="26"/>
        <v>0</v>
      </c>
      <c r="V60" s="72"/>
      <c r="W60" s="72"/>
      <c r="X60" s="72"/>
      <c r="Z60" s="72">
        <f t="shared" si="3"/>
        <v>0</v>
      </c>
      <c r="AA60" s="72">
        <f t="shared" si="4"/>
        <v>0</v>
      </c>
      <c r="AB60" s="72">
        <f t="shared" si="5"/>
        <v>0</v>
      </c>
      <c r="AC60" s="72">
        <f t="shared" si="6"/>
        <v>0</v>
      </c>
      <c r="AD60" s="72">
        <f t="shared" si="7"/>
        <v>0</v>
      </c>
      <c r="AE60" s="72">
        <f t="shared" si="8"/>
        <v>0</v>
      </c>
      <c r="AF60" s="72">
        <f t="shared" si="9"/>
        <v>0</v>
      </c>
      <c r="AG60" s="72">
        <f t="shared" si="10"/>
        <v>0</v>
      </c>
      <c r="AH60" s="72">
        <f t="shared" si="11"/>
        <v>0</v>
      </c>
      <c r="AI60" s="72">
        <f t="shared" si="12"/>
        <v>0</v>
      </c>
      <c r="AJ60" s="72">
        <f t="shared" si="13"/>
        <v>0</v>
      </c>
      <c r="AK60" s="72">
        <f t="shared" si="14"/>
        <v>0</v>
      </c>
    </row>
    <row r="61" spans="2:42" hidden="1">
      <c r="B61" s="60"/>
      <c r="C61" s="62"/>
      <c r="D61" s="79"/>
      <c r="E61" s="56"/>
      <c r="F61" s="76"/>
      <c r="G61" s="77">
        <f t="shared" si="33"/>
        <v>0</v>
      </c>
      <c r="H61" s="78">
        <f t="shared" si="34"/>
        <v>0</v>
      </c>
      <c r="I61" s="91"/>
      <c r="J61" s="72">
        <f t="shared" si="15"/>
        <v>0</v>
      </c>
      <c r="K61" s="72">
        <f t="shared" si="16"/>
        <v>0</v>
      </c>
      <c r="L61" s="72">
        <f t="shared" si="17"/>
        <v>0</v>
      </c>
      <c r="M61" s="72">
        <f t="shared" si="18"/>
        <v>0</v>
      </c>
      <c r="N61" s="72">
        <f t="shared" si="19"/>
        <v>0</v>
      </c>
      <c r="O61" s="72">
        <f t="shared" si="20"/>
        <v>0</v>
      </c>
      <c r="P61" s="72">
        <f t="shared" si="21"/>
        <v>0</v>
      </c>
      <c r="Q61" s="72">
        <f t="shared" si="22"/>
        <v>0</v>
      </c>
      <c r="R61" s="72">
        <f t="shared" si="23"/>
        <v>0</v>
      </c>
      <c r="S61" s="72">
        <f t="shared" si="24"/>
        <v>0</v>
      </c>
      <c r="T61" s="72">
        <f t="shared" si="25"/>
        <v>0</v>
      </c>
      <c r="U61" s="72">
        <f t="shared" si="26"/>
        <v>0</v>
      </c>
      <c r="V61" s="72"/>
      <c r="W61" s="72"/>
      <c r="X61" s="72"/>
      <c r="Z61" s="72">
        <f t="shared" si="3"/>
        <v>0</v>
      </c>
      <c r="AA61" s="72">
        <f t="shared" si="4"/>
        <v>0</v>
      </c>
      <c r="AB61" s="72">
        <f t="shared" si="5"/>
        <v>0</v>
      </c>
      <c r="AC61" s="72">
        <f t="shared" si="6"/>
        <v>0</v>
      </c>
      <c r="AD61" s="72">
        <f t="shared" si="7"/>
        <v>0</v>
      </c>
      <c r="AE61" s="72">
        <f t="shared" si="8"/>
        <v>0</v>
      </c>
      <c r="AF61" s="72">
        <f t="shared" si="9"/>
        <v>0</v>
      </c>
      <c r="AG61" s="72">
        <f t="shared" si="10"/>
        <v>0</v>
      </c>
      <c r="AH61" s="72">
        <f t="shared" si="11"/>
        <v>0</v>
      </c>
      <c r="AI61" s="72">
        <f t="shared" si="12"/>
        <v>0</v>
      </c>
      <c r="AJ61" s="72">
        <f t="shared" si="13"/>
        <v>0</v>
      </c>
      <c r="AK61" s="72">
        <f t="shared" si="14"/>
        <v>0</v>
      </c>
    </row>
    <row r="62" spans="2:42" ht="17.25" hidden="1" thickBot="1">
      <c r="B62" s="100"/>
      <c r="C62" s="84"/>
      <c r="D62" s="171"/>
      <c r="E62" s="86"/>
      <c r="F62" s="163"/>
      <c r="G62" s="161">
        <f t="shared" si="33"/>
        <v>0</v>
      </c>
      <c r="H62" s="162">
        <f t="shared" si="34"/>
        <v>0</v>
      </c>
      <c r="I62" s="91"/>
      <c r="J62" s="72">
        <f t="shared" si="15"/>
        <v>0</v>
      </c>
      <c r="K62" s="72">
        <f t="shared" si="16"/>
        <v>0</v>
      </c>
      <c r="L62" s="72">
        <f t="shared" si="17"/>
        <v>0</v>
      </c>
      <c r="M62" s="72">
        <f t="shared" si="18"/>
        <v>0</v>
      </c>
      <c r="N62" s="72">
        <f t="shared" si="19"/>
        <v>0</v>
      </c>
      <c r="O62" s="72">
        <f t="shared" si="20"/>
        <v>0</v>
      </c>
      <c r="P62" s="72">
        <f t="shared" si="21"/>
        <v>0</v>
      </c>
      <c r="Q62" s="72">
        <f t="shared" si="22"/>
        <v>0</v>
      </c>
      <c r="R62" s="72">
        <f t="shared" si="23"/>
        <v>0</v>
      </c>
      <c r="S62" s="72">
        <f t="shared" si="24"/>
        <v>0</v>
      </c>
      <c r="T62" s="72">
        <f t="shared" si="25"/>
        <v>0</v>
      </c>
      <c r="U62" s="72">
        <f t="shared" si="26"/>
        <v>0</v>
      </c>
      <c r="V62" s="72"/>
      <c r="W62" s="72"/>
      <c r="X62" s="72"/>
      <c r="Z62" s="72">
        <f t="shared" si="3"/>
        <v>0</v>
      </c>
      <c r="AA62" s="72">
        <f t="shared" si="4"/>
        <v>0</v>
      </c>
      <c r="AB62" s="72">
        <f t="shared" si="5"/>
        <v>0</v>
      </c>
      <c r="AC62" s="72">
        <f t="shared" si="6"/>
        <v>0</v>
      </c>
      <c r="AD62" s="72">
        <f t="shared" si="7"/>
        <v>0</v>
      </c>
      <c r="AE62" s="72">
        <f t="shared" si="8"/>
        <v>0</v>
      </c>
      <c r="AF62" s="72">
        <f t="shared" si="9"/>
        <v>0</v>
      </c>
      <c r="AG62" s="72">
        <f t="shared" si="10"/>
        <v>0</v>
      </c>
      <c r="AH62" s="72">
        <f t="shared" si="11"/>
        <v>0</v>
      </c>
      <c r="AI62" s="72">
        <f t="shared" si="12"/>
        <v>0</v>
      </c>
      <c r="AJ62" s="72">
        <f t="shared" si="13"/>
        <v>0</v>
      </c>
      <c r="AK62" s="72">
        <f t="shared" si="14"/>
        <v>0</v>
      </c>
    </row>
    <row r="63" spans="2:42" ht="17.25" thickBot="1">
      <c r="C63" s="853" t="s">
        <v>45</v>
      </c>
      <c r="D63" s="854"/>
      <c r="E63" s="63">
        <f>SUM(E3:E62)</f>
        <v>2046.36</v>
      </c>
      <c r="F63" s="69"/>
      <c r="G63" s="64">
        <f>SUM(G3:G62)</f>
        <v>513.39833333333331</v>
      </c>
      <c r="H63" s="65">
        <f>SUM(H3:H62)</f>
        <v>1532.9616666666666</v>
      </c>
      <c r="I63" s="93"/>
      <c r="J63" s="73">
        <f>SUM(J3:J62)</f>
        <v>0</v>
      </c>
      <c r="K63" s="73">
        <f t="shared" ref="K63:U63" si="35">SUM(K3:K62)</f>
        <v>0</v>
      </c>
      <c r="L63" s="73">
        <f t="shared" si="35"/>
        <v>368.53999999999996</v>
      </c>
      <c r="M63" s="73">
        <f t="shared" si="35"/>
        <v>0</v>
      </c>
      <c r="N63" s="73">
        <f t="shared" si="35"/>
        <v>195.01666666666665</v>
      </c>
      <c r="O63" s="73">
        <f t="shared" si="35"/>
        <v>0</v>
      </c>
      <c r="P63" s="73">
        <f t="shared" si="35"/>
        <v>211.3</v>
      </c>
      <c r="Q63" s="73">
        <f t="shared" si="35"/>
        <v>115.5</v>
      </c>
      <c r="R63" s="73">
        <f t="shared" si="35"/>
        <v>484.60500000000002</v>
      </c>
      <c r="S63" s="73">
        <f t="shared" si="35"/>
        <v>0</v>
      </c>
      <c r="T63" s="73">
        <f t="shared" si="35"/>
        <v>158</v>
      </c>
      <c r="U63" s="73">
        <f t="shared" si="35"/>
        <v>0</v>
      </c>
      <c r="V63" s="73"/>
      <c r="W63" s="73"/>
      <c r="X63" s="73"/>
      <c r="Y63" s="73"/>
      <c r="Z63" s="73">
        <f>SUM(Z3:Z62)</f>
        <v>0</v>
      </c>
      <c r="AA63" s="73">
        <f t="shared" ref="AA63:AK63" si="36">SUM(AA3:AA62)</f>
        <v>0</v>
      </c>
      <c r="AB63" s="73">
        <f t="shared" si="36"/>
        <v>0</v>
      </c>
      <c r="AC63" s="73">
        <f t="shared" si="36"/>
        <v>0</v>
      </c>
      <c r="AD63" s="73">
        <f t="shared" si="36"/>
        <v>390.0333333333333</v>
      </c>
      <c r="AE63" s="73">
        <f t="shared" si="36"/>
        <v>0</v>
      </c>
      <c r="AF63" s="73">
        <f t="shared" si="36"/>
        <v>0</v>
      </c>
      <c r="AG63" s="73">
        <f t="shared" si="36"/>
        <v>115.5</v>
      </c>
      <c r="AH63" s="73">
        <f t="shared" si="36"/>
        <v>7.8650000000000002</v>
      </c>
      <c r="AI63" s="73">
        <f t="shared" si="36"/>
        <v>0</v>
      </c>
      <c r="AJ63" s="73">
        <f t="shared" si="36"/>
        <v>0</v>
      </c>
      <c r="AK63" s="73">
        <f t="shared" si="36"/>
        <v>0</v>
      </c>
      <c r="AL63" s="73"/>
      <c r="AM63" s="73"/>
      <c r="AN63" s="73"/>
      <c r="AO63" s="73"/>
      <c r="AP63" s="73"/>
    </row>
    <row r="64" spans="2:42">
      <c r="H64" s="59"/>
      <c r="I64" s="94"/>
      <c r="J64" s="59"/>
      <c r="K64" s="59"/>
      <c r="L64" s="59"/>
      <c r="M64" s="59"/>
      <c r="N64" s="59"/>
      <c r="O64" s="59"/>
      <c r="P64" s="59"/>
      <c r="Q64" s="59"/>
      <c r="R64" s="59"/>
      <c r="S64" s="59"/>
      <c r="Z64" s="59"/>
      <c r="AA64" s="59"/>
      <c r="AB64" s="59"/>
      <c r="AC64" s="59"/>
      <c r="AD64" s="59"/>
      <c r="AE64" s="59"/>
      <c r="AF64" s="59"/>
      <c r="AG64" s="59"/>
      <c r="AH64" s="59"/>
      <c r="AI64" s="59"/>
    </row>
    <row r="66" spans="4:8" ht="17.25" thickBot="1"/>
    <row r="67" spans="4:8">
      <c r="D67" s="855" t="s">
        <v>267</v>
      </c>
      <c r="E67" s="856"/>
      <c r="F67" s="856"/>
      <c r="G67" s="856"/>
      <c r="H67" s="857"/>
    </row>
    <row r="68" spans="4:8">
      <c r="D68" s="858"/>
      <c r="E68" s="859"/>
      <c r="F68" s="859"/>
      <c r="G68" s="859"/>
      <c r="H68" s="860"/>
    </row>
    <row r="69" spans="4:8">
      <c r="D69" s="858"/>
      <c r="E69" s="859"/>
      <c r="F69" s="859"/>
      <c r="G69" s="859"/>
      <c r="H69" s="860"/>
    </row>
    <row r="70" spans="4:8" ht="17.25" thickBot="1">
      <c r="D70" s="861"/>
      <c r="E70" s="862"/>
      <c r="F70" s="862"/>
      <c r="G70" s="862"/>
      <c r="H70" s="863"/>
    </row>
  </sheetData>
  <sortState ref="AH2:AI12">
    <sortCondition ref="AH2"/>
  </sortState>
  <mergeCells count="6">
    <mergeCell ref="D67:H70"/>
    <mergeCell ref="AR18:AT18"/>
    <mergeCell ref="C63:D63"/>
    <mergeCell ref="AV23:AW23"/>
    <mergeCell ref="AY23:AZ23"/>
    <mergeCell ref="AR29:AS29"/>
  </mergeCells>
  <dataValidations count="3">
    <dataValidation type="list" allowBlank="1" showInputMessage="1" showErrorMessage="1" sqref="D3:D10">
      <formula1>$AH$2:$AH$12</formula1>
    </dataValidation>
    <dataValidation type="list" allowBlank="1" showInputMessage="1" showErrorMessage="1" sqref="D11:D62">
      <formula1>$AQ$2:$AQ$12</formula1>
    </dataValidation>
    <dataValidation type="list" allowBlank="1" showInputMessage="1" showErrorMessage="1" sqref="F3:F62">
      <formula1>$AQ$17:$AQ$19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B1:AZ42"/>
  <sheetViews>
    <sheetView workbookViewId="0">
      <selection activeCell="D40" sqref="D40"/>
    </sheetView>
  </sheetViews>
  <sheetFormatPr defaultRowHeight="16.5"/>
  <cols>
    <col min="1" max="1" width="1" style="55" customWidth="1"/>
    <col min="2" max="2" width="6.5703125" style="134" bestFit="1" customWidth="1"/>
    <col min="3" max="3" width="16.7109375" style="55" customWidth="1"/>
    <col min="4" max="4" width="17.5703125" style="55" customWidth="1"/>
    <col min="5" max="5" width="13.7109375" style="55" customWidth="1"/>
    <col min="6" max="6" width="13.7109375" style="134" customWidth="1"/>
    <col min="7" max="8" width="13.7109375" style="55" customWidth="1"/>
    <col min="9" max="9" width="8.42578125" style="479" customWidth="1"/>
    <col min="10" max="10" width="13.5703125" style="55" hidden="1" customWidth="1"/>
    <col min="11" max="11" width="7.85546875" style="55" hidden="1" customWidth="1"/>
    <col min="12" max="12" width="7.42578125" style="55" hidden="1" customWidth="1"/>
    <col min="13" max="13" width="9.7109375" style="55" hidden="1" customWidth="1"/>
    <col min="14" max="14" width="7.42578125" style="55" hidden="1" customWidth="1"/>
    <col min="15" max="15" width="14.5703125" style="55" hidden="1" customWidth="1"/>
    <col min="16" max="16" width="16.85546875" style="55" hidden="1" customWidth="1"/>
    <col min="17" max="17" width="7.7109375" style="55" hidden="1" customWidth="1"/>
    <col min="18" max="18" width="8.85546875" style="55" hidden="1" customWidth="1"/>
    <col min="19" max="19" width="8" style="55" hidden="1" customWidth="1"/>
    <col min="20" max="20" width="7.42578125" style="55" hidden="1" customWidth="1"/>
    <col min="21" max="21" width="2" style="55" hidden="1" customWidth="1"/>
    <col min="22" max="22" width="9.7109375" style="55" hidden="1" customWidth="1"/>
    <col min="23" max="24" width="7.42578125" style="55" hidden="1" customWidth="1"/>
    <col min="25" max="25" width="1.7109375" style="55" hidden="1" customWidth="1"/>
    <col min="26" max="26" width="13.5703125" style="55" hidden="1" customWidth="1"/>
    <col min="27" max="27" width="7.85546875" style="55" hidden="1" customWidth="1"/>
    <col min="28" max="28" width="7.42578125" style="55" hidden="1" customWidth="1"/>
    <col min="29" max="29" width="9.7109375" style="55" hidden="1" customWidth="1"/>
    <col min="30" max="30" width="7.42578125" style="55" hidden="1" customWidth="1"/>
    <col min="31" max="31" width="14.5703125" style="55" hidden="1" customWidth="1"/>
    <col min="32" max="32" width="16.85546875" style="55" hidden="1" customWidth="1"/>
    <col min="33" max="33" width="7.7109375" style="55" hidden="1" customWidth="1"/>
    <col min="34" max="34" width="8.85546875" style="55" hidden="1" customWidth="1"/>
    <col min="35" max="35" width="8" style="55" hidden="1" customWidth="1"/>
    <col min="36" max="36" width="7.42578125" style="55" hidden="1" customWidth="1"/>
    <col min="37" max="37" width="13.42578125" style="55" hidden="1" customWidth="1"/>
    <col min="38" max="38" width="10.28515625" style="450" hidden="1" customWidth="1"/>
    <col min="39" max="40" width="7.42578125" style="55" hidden="1" customWidth="1"/>
    <col min="41" max="41" width="4" style="55" hidden="1" customWidth="1"/>
    <col min="42" max="42" width="3.5703125" style="55" customWidth="1"/>
    <col min="43" max="43" width="16.85546875" style="55" bestFit="1" customWidth="1"/>
    <col min="44" max="47" width="12.7109375" style="55" customWidth="1"/>
    <col min="48" max="48" width="9.28515625" style="55" customWidth="1"/>
    <col min="49" max="49" width="10.5703125" style="55" bestFit="1" customWidth="1"/>
    <col min="50" max="50" width="3.28515625" style="55" customWidth="1"/>
    <col min="51" max="51" width="18.42578125" style="55" bestFit="1" customWidth="1"/>
    <col min="52" max="52" width="11.7109375" style="55" customWidth="1"/>
    <col min="53" max="16384" width="9.140625" style="55"/>
  </cols>
  <sheetData>
    <row r="1" spans="2:51" ht="17.25" thickBot="1">
      <c r="AR1" s="134" t="s">
        <v>66</v>
      </c>
      <c r="AS1" s="134" t="s">
        <v>67</v>
      </c>
      <c r="AT1" s="81" t="s">
        <v>65</v>
      </c>
      <c r="AV1" s="134"/>
    </row>
    <row r="2" spans="2:51" ht="17.25" thickBot="1">
      <c r="B2" s="68" t="s">
        <v>1</v>
      </c>
      <c r="C2" s="66" t="s">
        <v>0</v>
      </c>
      <c r="D2" s="66" t="s">
        <v>63</v>
      </c>
      <c r="E2" s="66" t="s">
        <v>2</v>
      </c>
      <c r="F2" s="66" t="s">
        <v>64</v>
      </c>
      <c r="G2" s="66" t="s">
        <v>3</v>
      </c>
      <c r="H2" s="67" t="s">
        <v>4</v>
      </c>
      <c r="I2" s="480"/>
      <c r="J2" s="75" t="s">
        <v>57</v>
      </c>
      <c r="K2" s="74" t="s">
        <v>51</v>
      </c>
      <c r="L2" s="74" t="s">
        <v>120</v>
      </c>
      <c r="M2" s="74" t="s">
        <v>36</v>
      </c>
      <c r="N2" s="74" t="s">
        <v>56</v>
      </c>
      <c r="O2" s="74" t="s">
        <v>125</v>
      </c>
      <c r="P2" s="74" t="s">
        <v>54</v>
      </c>
      <c r="Q2" s="74" t="s">
        <v>59</v>
      </c>
      <c r="R2" s="74" t="s">
        <v>40</v>
      </c>
      <c r="S2" s="74" t="s">
        <v>55</v>
      </c>
      <c r="T2" s="74" t="s">
        <v>58</v>
      </c>
      <c r="U2" s="74" t="s">
        <v>52</v>
      </c>
      <c r="V2" s="451" t="str">
        <f>AQ14</f>
        <v>ESTUDOS</v>
      </c>
      <c r="W2" s="74">
        <f>AQ15</f>
        <v>0</v>
      </c>
      <c r="X2" s="74">
        <f>AQ16</f>
        <v>0</v>
      </c>
      <c r="Z2" s="75" t="s">
        <v>57</v>
      </c>
      <c r="AA2" s="74" t="s">
        <v>51</v>
      </c>
      <c r="AB2" s="74" t="s">
        <v>120</v>
      </c>
      <c r="AC2" s="74" t="s">
        <v>36</v>
      </c>
      <c r="AD2" s="74" t="s">
        <v>56</v>
      </c>
      <c r="AE2" s="74" t="s">
        <v>125</v>
      </c>
      <c r="AF2" s="74" t="s">
        <v>54</v>
      </c>
      <c r="AG2" s="74" t="s">
        <v>59</v>
      </c>
      <c r="AH2" s="74" t="s">
        <v>40</v>
      </c>
      <c r="AI2" s="74" t="s">
        <v>55</v>
      </c>
      <c r="AJ2" s="74" t="s">
        <v>58</v>
      </c>
      <c r="AK2" s="74" t="s">
        <v>52</v>
      </c>
      <c r="AL2" s="451" t="str">
        <f>AQ14</f>
        <v>ESTUDOS</v>
      </c>
      <c r="AM2" s="74">
        <f>AQ15</f>
        <v>0</v>
      </c>
      <c r="AN2" s="74">
        <f>AQ16</f>
        <v>0</v>
      </c>
      <c r="AO2" s="74"/>
      <c r="AP2" s="74"/>
      <c r="AQ2" s="71" t="s">
        <v>57</v>
      </c>
      <c r="AR2" s="97">
        <f t="shared" ref="AR2:AR16" si="0">AT2+AS2</f>
        <v>0</v>
      </c>
      <c r="AS2" s="58">
        <f>Z35</f>
        <v>0</v>
      </c>
      <c r="AT2" s="58">
        <f>J35</f>
        <v>0</v>
      </c>
    </row>
    <row r="3" spans="2:51">
      <c r="B3" s="452">
        <v>44731</v>
      </c>
      <c r="C3" s="453" t="s">
        <v>74</v>
      </c>
      <c r="D3" s="454" t="s">
        <v>59</v>
      </c>
      <c r="E3" s="455">
        <v>231</v>
      </c>
      <c r="F3" s="456" t="s">
        <v>66</v>
      </c>
      <c r="G3" s="157">
        <f>IF(F3="MARCIA",E3,IF(F3="AMBOS",E3/2,0))</f>
        <v>115.5</v>
      </c>
      <c r="H3" s="158">
        <f>IF(F3="LUCIANO",E3,IF(F3="AMBOS",E3/2,0))</f>
        <v>115.5</v>
      </c>
      <c r="I3" s="484" t="s">
        <v>149</v>
      </c>
      <c r="J3" s="72">
        <f>IF($D3="ALIMENTAÇÃO",$H3,0)</f>
        <v>0</v>
      </c>
      <c r="K3" s="72">
        <f>IF($D3="ANIMAIS",$H3,0)</f>
        <v>0</v>
      </c>
      <c r="L3" s="72">
        <f>IF($D3="FILHO",$H3,0)</f>
        <v>0</v>
      </c>
      <c r="M3" s="72">
        <f>IF($D3="GASOLINA",$H3,0)</f>
        <v>0</v>
      </c>
      <c r="N3" s="72">
        <f>IF($D3="LAZER",$H3,0)</f>
        <v>0</v>
      </c>
      <c r="O3" s="72">
        <f>IF($D3="MANUT. IMÓVEL",$H3,0)</f>
        <v>0</v>
      </c>
      <c r="P3" s="72">
        <f>IF($D3="MANUT. VEICULAR",$H3,0)</f>
        <v>0</v>
      </c>
      <c r="Q3" s="72">
        <f>IF($D3="MÓVEIS",$H3,0)</f>
        <v>115.5</v>
      </c>
      <c r="R3" s="72">
        <f>IF($D3="OUTROS",$H3,0)</f>
        <v>0</v>
      </c>
      <c r="S3" s="72">
        <f>IF($D3="PLANOS",$H3,0)</f>
        <v>0</v>
      </c>
      <c r="T3" s="72">
        <f>IF($D3="SAÚDE",$H3,0)</f>
        <v>0</v>
      </c>
      <c r="U3" s="72">
        <f>IF($D3="TRANSPORTE",$H3,0)</f>
        <v>0</v>
      </c>
      <c r="V3" s="72">
        <f>IF($D3=V$2,$H3,0)</f>
        <v>0</v>
      </c>
      <c r="W3" s="72">
        <f t="shared" ref="W3:X18" si="1">IF($D3=W$2,$H3,0)</f>
        <v>0</v>
      </c>
      <c r="X3" s="72">
        <f t="shared" si="1"/>
        <v>0</v>
      </c>
      <c r="Z3" s="72">
        <f>IF($D3="ALIMENTAÇÃO",$G3,0)</f>
        <v>0</v>
      </c>
      <c r="AA3" s="72">
        <f>IF($D3="ANIMAIS",$G3,0)</f>
        <v>0</v>
      </c>
      <c r="AB3" s="72">
        <f>IF($D3="FILHO",$G3,0)</f>
        <v>0</v>
      </c>
      <c r="AC3" s="72">
        <f>IF($D3="GASOLINA",$G3,0)</f>
        <v>0</v>
      </c>
      <c r="AD3" s="72">
        <f>IF($D3="LAZER",$G3,0)</f>
        <v>0</v>
      </c>
      <c r="AE3" s="72">
        <f>IF($D3="MANUT. IMÓVEL",$G3,0)</f>
        <v>0</v>
      </c>
      <c r="AF3" s="72">
        <f>IF($D3="MANUT. VEICULAR",$G3,0)</f>
        <v>0</v>
      </c>
      <c r="AG3" s="72">
        <f>IF($D3="MÓVEIS",$G3,0)</f>
        <v>115.5</v>
      </c>
      <c r="AH3" s="72">
        <f>IF($D3="OUTROS",$G3,0)</f>
        <v>0</v>
      </c>
      <c r="AI3" s="72">
        <f>IF($D3="PLANOS",$G3,0)</f>
        <v>0</v>
      </c>
      <c r="AJ3" s="72">
        <f>IF($D3="SAÚDE",$G3,0)</f>
        <v>0</v>
      </c>
      <c r="AK3" s="72">
        <f>IF($D3="TRANSPORTE",$G3,0)</f>
        <v>0</v>
      </c>
      <c r="AL3" s="72">
        <f>IF($D3=AL$2,$G3,0)</f>
        <v>0</v>
      </c>
      <c r="AM3" s="72">
        <f t="shared" ref="AM3:AN18" si="2">IF($D3=AM$2,$G3,0)</f>
        <v>0</v>
      </c>
      <c r="AN3" s="72">
        <f t="shared" si="2"/>
        <v>0</v>
      </c>
      <c r="AQ3" s="71" t="s">
        <v>51</v>
      </c>
      <c r="AR3" s="97">
        <f t="shared" si="0"/>
        <v>0</v>
      </c>
      <c r="AS3" s="58">
        <f>AA35</f>
        <v>0</v>
      </c>
      <c r="AT3" s="58">
        <f>K35</f>
        <v>0</v>
      </c>
      <c r="AV3" s="173">
        <v>175.97</v>
      </c>
      <c r="AY3" s="511" t="s">
        <v>388</v>
      </c>
    </row>
    <row r="4" spans="2:51">
      <c r="B4" s="425">
        <v>44834</v>
      </c>
      <c r="C4" s="62" t="s">
        <v>83</v>
      </c>
      <c r="D4" s="79" t="s">
        <v>40</v>
      </c>
      <c r="E4" s="56">
        <v>37.979999999999997</v>
      </c>
      <c r="F4" s="76" t="s">
        <v>65</v>
      </c>
      <c r="G4" s="77">
        <f t="shared" ref="G4:G11" si="3">IF(F4="MARCIA",E4,IF(F4="AMBOS",E4/2,0))</f>
        <v>0</v>
      </c>
      <c r="H4" s="78">
        <f t="shared" ref="H4:H11" si="4">IF(F4="LUCIANO",E4,IF(F4="AMBOS",E4/2,0))</f>
        <v>37.979999999999997</v>
      </c>
      <c r="I4" s="481" t="s">
        <v>61</v>
      </c>
      <c r="J4" s="72">
        <f>IF($D4="ALIMENTAÇÃO",$H4,0)</f>
        <v>0</v>
      </c>
      <c r="K4" s="72">
        <f>IF($D4="ANIMAIS",$H4,0)</f>
        <v>0</v>
      </c>
      <c r="L4" s="72">
        <f>IF($D4="FILHO",$H4,0)</f>
        <v>0</v>
      </c>
      <c r="M4" s="72">
        <f>IF($D4="GASOLINA",$H4,0)</f>
        <v>0</v>
      </c>
      <c r="N4" s="72">
        <f>IF($D4="LAZER",$H4,0)</f>
        <v>0</v>
      </c>
      <c r="O4" s="72">
        <f>IF($D4="MANUT. IMÓVEL",$H4,0)</f>
        <v>0</v>
      </c>
      <c r="P4" s="72">
        <f>IF($D4="MANUT. VEICULAR",$H4,0)</f>
        <v>0</v>
      </c>
      <c r="Q4" s="72">
        <f>IF($D4="MÓVEIS",$H4,0)</f>
        <v>0</v>
      </c>
      <c r="R4" s="72">
        <f>IF($D4="OUTROS",$H4,0)</f>
        <v>37.979999999999997</v>
      </c>
      <c r="S4" s="72">
        <f>IF($D4="PLANOS",$H4,0)</f>
        <v>0</v>
      </c>
      <c r="T4" s="72">
        <f>IF($D4="SAÚDE",$H4,0)</f>
        <v>0</v>
      </c>
      <c r="U4" s="72">
        <f>IF($D4="TRANSPORTE",$H4,0)</f>
        <v>0</v>
      </c>
      <c r="V4" s="72">
        <f t="shared" ref="V4:X34" si="5">IF($D4=V$2,$H4,0)</f>
        <v>0</v>
      </c>
      <c r="W4" s="72">
        <f t="shared" si="1"/>
        <v>0</v>
      </c>
      <c r="X4" s="72">
        <f t="shared" si="1"/>
        <v>0</v>
      </c>
      <c r="Z4" s="72">
        <f t="shared" ref="Z4:Z34" si="6">IF($D4="ALIMENTAÇÃO",$G4,0)</f>
        <v>0</v>
      </c>
      <c r="AA4" s="72">
        <f t="shared" ref="AA4:AA34" si="7">IF($D4="ANIMAIS",$G4,0)</f>
        <v>0</v>
      </c>
      <c r="AB4" s="72">
        <f t="shared" ref="AB4:AB34" si="8">IF($D4="FILHO",$G4,0)</f>
        <v>0</v>
      </c>
      <c r="AC4" s="72">
        <f t="shared" ref="AC4:AC34" si="9">IF($D4="GASOLINA",$G4,0)</f>
        <v>0</v>
      </c>
      <c r="AD4" s="72">
        <f t="shared" ref="AD4:AD34" si="10">IF($D4="LAZER",$G4,0)</f>
        <v>0</v>
      </c>
      <c r="AE4" s="72">
        <f t="shared" ref="AE4:AE34" si="11">IF($D4="MANUT. IMÓVEL",$G4,0)</f>
        <v>0</v>
      </c>
      <c r="AF4" s="72">
        <f t="shared" ref="AF4:AF34" si="12">IF($D4="MANUT. VEICULAR",$G4,0)</f>
        <v>0</v>
      </c>
      <c r="AG4" s="72">
        <f t="shared" ref="AG4:AG34" si="13">IF($D4="MÓVEIS",$G4,0)</f>
        <v>0</v>
      </c>
      <c r="AH4" s="72">
        <f t="shared" ref="AH4:AH34" si="14">IF($D4="OUTROS",$G4,0)</f>
        <v>0</v>
      </c>
      <c r="AI4" s="72">
        <f t="shared" ref="AI4:AI34" si="15">IF($D4="PLANOS",$G4,0)</f>
        <v>0</v>
      </c>
      <c r="AJ4" s="72">
        <f t="shared" ref="AJ4:AJ34" si="16">IF($D4="SAÚDE",$G4,0)</f>
        <v>0</v>
      </c>
      <c r="AK4" s="72">
        <f t="shared" ref="AK4:AK34" si="17">IF($D4="TRANSPORTE",$G4,0)</f>
        <v>0</v>
      </c>
      <c r="AL4" s="72">
        <f t="shared" ref="AL4:AN34" si="18">IF($D4=AL$2,$G4,0)</f>
        <v>0</v>
      </c>
      <c r="AM4" s="72">
        <f t="shared" si="2"/>
        <v>0</v>
      </c>
      <c r="AN4" s="72">
        <f t="shared" si="2"/>
        <v>0</v>
      </c>
      <c r="AQ4" s="71" t="s">
        <v>120</v>
      </c>
      <c r="AR4" s="97">
        <f t="shared" si="0"/>
        <v>331.95</v>
      </c>
      <c r="AS4" s="58">
        <f>AB35</f>
        <v>0</v>
      </c>
      <c r="AT4" s="58">
        <f>L35</f>
        <v>331.95</v>
      </c>
      <c r="AV4" s="173">
        <v>409.08</v>
      </c>
      <c r="AY4" s="512">
        <v>195.02</v>
      </c>
    </row>
    <row r="5" spans="2:51">
      <c r="B5" s="425">
        <v>44863</v>
      </c>
      <c r="C5" s="62" t="s">
        <v>107</v>
      </c>
      <c r="D5" s="79" t="s">
        <v>40</v>
      </c>
      <c r="E5" s="56">
        <v>50</v>
      </c>
      <c r="F5" s="76" t="s">
        <v>65</v>
      </c>
      <c r="G5" s="77">
        <f t="shared" si="3"/>
        <v>0</v>
      </c>
      <c r="H5" s="78">
        <f t="shared" si="4"/>
        <v>50</v>
      </c>
      <c r="I5" s="481" t="s">
        <v>150</v>
      </c>
      <c r="J5" s="72">
        <f t="shared" ref="J5:J34" si="19">IF($D5="ALIMENTAÇÃO",$H5,0)</f>
        <v>0</v>
      </c>
      <c r="K5" s="72">
        <f t="shared" ref="K5:K34" si="20">IF($D5="ANIMAIS",$H5,0)</f>
        <v>0</v>
      </c>
      <c r="L5" s="72">
        <f t="shared" ref="L5:L34" si="21">IF($D5="FILHO",$H5,0)</f>
        <v>0</v>
      </c>
      <c r="M5" s="72">
        <f t="shared" ref="M5:M34" si="22">IF($D5="GASOLINA",$H5,0)</f>
        <v>0</v>
      </c>
      <c r="N5" s="72">
        <f t="shared" ref="N5:N34" si="23">IF($D5="LAZER",$H5,0)</f>
        <v>0</v>
      </c>
      <c r="O5" s="72">
        <f t="shared" ref="O5:O34" si="24">IF($D5="MANUT. IMÓVEL",$H5,0)</f>
        <v>0</v>
      </c>
      <c r="P5" s="72">
        <f t="shared" ref="P5:P34" si="25">IF($D5="MANUT. VEICULAR",$H5,0)</f>
        <v>0</v>
      </c>
      <c r="Q5" s="72">
        <f t="shared" ref="Q5:Q34" si="26">IF($D5="MÓVEIS",$H5,0)</f>
        <v>0</v>
      </c>
      <c r="R5" s="72">
        <f t="shared" ref="R5:R34" si="27">IF($D5="OUTROS",$H5,0)</f>
        <v>50</v>
      </c>
      <c r="S5" s="72">
        <f t="shared" ref="S5:S34" si="28">IF($D5="PLANOS",$H5,0)</f>
        <v>0</v>
      </c>
      <c r="T5" s="72">
        <f t="shared" ref="T5:T34" si="29">IF($D5="SAÚDE",$H5,0)</f>
        <v>0</v>
      </c>
      <c r="U5" s="72">
        <f t="shared" ref="U5:U34" si="30">IF($D5="TRANSPORTE",$H5,0)</f>
        <v>0</v>
      </c>
      <c r="V5" s="72">
        <f t="shared" si="5"/>
        <v>0</v>
      </c>
      <c r="W5" s="72">
        <f t="shared" si="1"/>
        <v>0</v>
      </c>
      <c r="X5" s="72">
        <f t="shared" si="1"/>
        <v>0</v>
      </c>
      <c r="Z5" s="72">
        <f t="shared" si="6"/>
        <v>0</v>
      </c>
      <c r="AA5" s="72">
        <f t="shared" si="7"/>
        <v>0</v>
      </c>
      <c r="AB5" s="72">
        <f t="shared" si="8"/>
        <v>0</v>
      </c>
      <c r="AC5" s="72">
        <f t="shared" si="9"/>
        <v>0</v>
      </c>
      <c r="AD5" s="72">
        <f t="shared" si="10"/>
        <v>0</v>
      </c>
      <c r="AE5" s="72">
        <f t="shared" si="11"/>
        <v>0</v>
      </c>
      <c r="AF5" s="72">
        <f t="shared" si="12"/>
        <v>0</v>
      </c>
      <c r="AG5" s="72">
        <f t="shared" si="13"/>
        <v>0</v>
      </c>
      <c r="AH5" s="72">
        <f t="shared" si="14"/>
        <v>0</v>
      </c>
      <c r="AI5" s="72">
        <f t="shared" si="15"/>
        <v>0</v>
      </c>
      <c r="AJ5" s="72">
        <f t="shared" si="16"/>
        <v>0</v>
      </c>
      <c r="AK5" s="72">
        <f t="shared" si="17"/>
        <v>0</v>
      </c>
      <c r="AL5" s="72">
        <f t="shared" si="18"/>
        <v>0</v>
      </c>
      <c r="AM5" s="72">
        <f t="shared" si="2"/>
        <v>0</v>
      </c>
      <c r="AN5" s="72">
        <f t="shared" si="2"/>
        <v>0</v>
      </c>
      <c r="AQ5" s="71" t="s">
        <v>36</v>
      </c>
      <c r="AR5" s="97">
        <f t="shared" si="0"/>
        <v>70</v>
      </c>
      <c r="AS5" s="58">
        <f>AC35</f>
        <v>35</v>
      </c>
      <c r="AT5" s="58">
        <f>M35</f>
        <v>35</v>
      </c>
      <c r="AV5" s="173"/>
      <c r="AY5" s="511" t="s">
        <v>387</v>
      </c>
    </row>
    <row r="6" spans="2:51">
      <c r="B6" s="425">
        <v>44861</v>
      </c>
      <c r="C6" s="62" t="s">
        <v>108</v>
      </c>
      <c r="D6" s="79" t="s">
        <v>40</v>
      </c>
      <c r="E6" s="56">
        <v>15.73</v>
      </c>
      <c r="F6" s="76" t="s">
        <v>66</v>
      </c>
      <c r="G6" s="77">
        <f t="shared" si="3"/>
        <v>7.8650000000000002</v>
      </c>
      <c r="H6" s="78">
        <f t="shared" si="4"/>
        <v>7.8650000000000002</v>
      </c>
      <c r="I6" s="481" t="s">
        <v>347</v>
      </c>
      <c r="J6" s="72">
        <f t="shared" si="19"/>
        <v>0</v>
      </c>
      <c r="K6" s="72">
        <f t="shared" si="20"/>
        <v>0</v>
      </c>
      <c r="L6" s="72">
        <f t="shared" si="21"/>
        <v>0</v>
      </c>
      <c r="M6" s="72">
        <f t="shared" si="22"/>
        <v>0</v>
      </c>
      <c r="N6" s="72">
        <f t="shared" si="23"/>
        <v>0</v>
      </c>
      <c r="O6" s="72">
        <f t="shared" si="24"/>
        <v>0</v>
      </c>
      <c r="P6" s="72">
        <f t="shared" si="25"/>
        <v>0</v>
      </c>
      <c r="Q6" s="72">
        <f t="shared" si="26"/>
        <v>0</v>
      </c>
      <c r="R6" s="72">
        <f t="shared" si="27"/>
        <v>7.8650000000000002</v>
      </c>
      <c r="S6" s="72">
        <f t="shared" si="28"/>
        <v>0</v>
      </c>
      <c r="T6" s="72">
        <f t="shared" si="29"/>
        <v>0</v>
      </c>
      <c r="U6" s="72">
        <f t="shared" si="30"/>
        <v>0</v>
      </c>
      <c r="V6" s="72">
        <f t="shared" si="5"/>
        <v>0</v>
      </c>
      <c r="W6" s="72">
        <f t="shared" si="1"/>
        <v>0</v>
      </c>
      <c r="X6" s="72">
        <f t="shared" si="1"/>
        <v>0</v>
      </c>
      <c r="Z6" s="72">
        <f t="shared" si="6"/>
        <v>0</v>
      </c>
      <c r="AA6" s="72">
        <f t="shared" si="7"/>
        <v>0</v>
      </c>
      <c r="AB6" s="72">
        <f t="shared" si="8"/>
        <v>0</v>
      </c>
      <c r="AC6" s="72">
        <f t="shared" si="9"/>
        <v>0</v>
      </c>
      <c r="AD6" s="72">
        <f t="shared" si="10"/>
        <v>0</v>
      </c>
      <c r="AE6" s="72">
        <f t="shared" si="11"/>
        <v>0</v>
      </c>
      <c r="AF6" s="72">
        <f t="shared" si="12"/>
        <v>0</v>
      </c>
      <c r="AG6" s="72">
        <f t="shared" si="13"/>
        <v>0</v>
      </c>
      <c r="AH6" s="72">
        <f t="shared" si="14"/>
        <v>7.8650000000000002</v>
      </c>
      <c r="AI6" s="72">
        <f t="shared" si="15"/>
        <v>0</v>
      </c>
      <c r="AJ6" s="72">
        <f t="shared" si="16"/>
        <v>0</v>
      </c>
      <c r="AK6" s="72">
        <f t="shared" si="17"/>
        <v>0</v>
      </c>
      <c r="AL6" s="72">
        <f t="shared" si="18"/>
        <v>0</v>
      </c>
      <c r="AM6" s="72">
        <f t="shared" si="2"/>
        <v>0</v>
      </c>
      <c r="AN6" s="72">
        <f t="shared" si="2"/>
        <v>0</v>
      </c>
      <c r="AQ6" s="71" t="s">
        <v>56</v>
      </c>
      <c r="AR6" s="97">
        <f t="shared" si="0"/>
        <v>666.84999999999991</v>
      </c>
      <c r="AS6" s="58">
        <f>AD35</f>
        <v>430.93333333333328</v>
      </c>
      <c r="AT6" s="58">
        <f>N35</f>
        <v>235.91666666666666</v>
      </c>
      <c r="AV6" s="173"/>
      <c r="AY6" s="512">
        <v>390.03</v>
      </c>
    </row>
    <row r="7" spans="2:51">
      <c r="B7" s="425">
        <v>44857</v>
      </c>
      <c r="C7" s="62" t="s">
        <v>109</v>
      </c>
      <c r="D7" s="79" t="s">
        <v>40</v>
      </c>
      <c r="E7" s="56">
        <v>119.9</v>
      </c>
      <c r="F7" s="76" t="s">
        <v>65</v>
      </c>
      <c r="G7" s="77">
        <f t="shared" si="3"/>
        <v>0</v>
      </c>
      <c r="H7" s="78">
        <f t="shared" si="4"/>
        <v>119.9</v>
      </c>
      <c r="I7" s="481" t="s">
        <v>152</v>
      </c>
      <c r="J7" s="72">
        <f t="shared" si="19"/>
        <v>0</v>
      </c>
      <c r="K7" s="72">
        <f t="shared" si="20"/>
        <v>0</v>
      </c>
      <c r="L7" s="72">
        <f t="shared" si="21"/>
        <v>0</v>
      </c>
      <c r="M7" s="72">
        <f t="shared" si="22"/>
        <v>0</v>
      </c>
      <c r="N7" s="72">
        <f t="shared" si="23"/>
        <v>0</v>
      </c>
      <c r="O7" s="72">
        <f t="shared" si="24"/>
        <v>0</v>
      </c>
      <c r="P7" s="72">
        <f t="shared" si="25"/>
        <v>0</v>
      </c>
      <c r="Q7" s="72">
        <f t="shared" si="26"/>
        <v>0</v>
      </c>
      <c r="R7" s="72">
        <f t="shared" si="27"/>
        <v>119.9</v>
      </c>
      <c r="S7" s="72">
        <f t="shared" si="28"/>
        <v>0</v>
      </c>
      <c r="T7" s="72">
        <f t="shared" si="29"/>
        <v>0</v>
      </c>
      <c r="U7" s="72">
        <f t="shared" si="30"/>
        <v>0</v>
      </c>
      <c r="V7" s="72">
        <f t="shared" si="5"/>
        <v>0</v>
      </c>
      <c r="W7" s="72">
        <f t="shared" si="1"/>
        <v>0</v>
      </c>
      <c r="X7" s="72">
        <f t="shared" si="1"/>
        <v>0</v>
      </c>
      <c r="Z7" s="72">
        <f t="shared" si="6"/>
        <v>0</v>
      </c>
      <c r="AA7" s="72">
        <f t="shared" si="7"/>
        <v>0</v>
      </c>
      <c r="AB7" s="72">
        <f t="shared" si="8"/>
        <v>0</v>
      </c>
      <c r="AC7" s="72">
        <f t="shared" si="9"/>
        <v>0</v>
      </c>
      <c r="AD7" s="72">
        <f t="shared" si="10"/>
        <v>0</v>
      </c>
      <c r="AE7" s="72">
        <f t="shared" si="11"/>
        <v>0</v>
      </c>
      <c r="AF7" s="72">
        <f t="shared" si="12"/>
        <v>0</v>
      </c>
      <c r="AG7" s="72">
        <f t="shared" si="13"/>
        <v>0</v>
      </c>
      <c r="AH7" s="72">
        <f t="shared" si="14"/>
        <v>0</v>
      </c>
      <c r="AI7" s="72">
        <f t="shared" si="15"/>
        <v>0</v>
      </c>
      <c r="AJ7" s="72">
        <f t="shared" si="16"/>
        <v>0</v>
      </c>
      <c r="AK7" s="72">
        <f t="shared" si="17"/>
        <v>0</v>
      </c>
      <c r="AL7" s="72">
        <f t="shared" si="18"/>
        <v>0</v>
      </c>
      <c r="AM7" s="72">
        <f t="shared" si="2"/>
        <v>0</v>
      </c>
      <c r="AN7" s="72">
        <f t="shared" si="2"/>
        <v>0</v>
      </c>
      <c r="AQ7" s="71" t="s">
        <v>53</v>
      </c>
      <c r="AR7" s="97">
        <f t="shared" si="0"/>
        <v>136.05000000000001</v>
      </c>
      <c r="AS7" s="58">
        <f>AE35</f>
        <v>68.025000000000006</v>
      </c>
      <c r="AT7" s="58">
        <f>O35</f>
        <v>68.025000000000006</v>
      </c>
      <c r="AV7" s="173"/>
      <c r="AY7" s="510"/>
    </row>
    <row r="8" spans="2:51">
      <c r="B8" s="425">
        <v>45289</v>
      </c>
      <c r="C8" s="62" t="s">
        <v>126</v>
      </c>
      <c r="D8" s="79" t="s">
        <v>54</v>
      </c>
      <c r="E8" s="56">
        <v>211.3</v>
      </c>
      <c r="F8" s="76" t="s">
        <v>65</v>
      </c>
      <c r="G8" s="77">
        <f t="shared" si="3"/>
        <v>0</v>
      </c>
      <c r="H8" s="78">
        <f t="shared" si="4"/>
        <v>211.3</v>
      </c>
      <c r="I8" s="481" t="s">
        <v>140</v>
      </c>
      <c r="J8" s="72">
        <f t="shared" si="19"/>
        <v>0</v>
      </c>
      <c r="K8" s="72">
        <f t="shared" si="20"/>
        <v>0</v>
      </c>
      <c r="L8" s="72">
        <f t="shared" si="21"/>
        <v>0</v>
      </c>
      <c r="M8" s="72">
        <f t="shared" si="22"/>
        <v>0</v>
      </c>
      <c r="N8" s="72">
        <f t="shared" si="23"/>
        <v>0</v>
      </c>
      <c r="O8" s="72">
        <f t="shared" si="24"/>
        <v>0</v>
      </c>
      <c r="P8" s="72">
        <f t="shared" si="25"/>
        <v>211.3</v>
      </c>
      <c r="Q8" s="72">
        <f t="shared" si="26"/>
        <v>0</v>
      </c>
      <c r="R8" s="72">
        <f t="shared" si="27"/>
        <v>0</v>
      </c>
      <c r="S8" s="72">
        <f t="shared" si="28"/>
        <v>0</v>
      </c>
      <c r="T8" s="72">
        <f t="shared" si="29"/>
        <v>0</v>
      </c>
      <c r="U8" s="72">
        <f t="shared" si="30"/>
        <v>0</v>
      </c>
      <c r="V8" s="72">
        <f t="shared" si="5"/>
        <v>0</v>
      </c>
      <c r="W8" s="72">
        <f t="shared" si="1"/>
        <v>0</v>
      </c>
      <c r="X8" s="72">
        <f t="shared" si="1"/>
        <v>0</v>
      </c>
      <c r="Z8" s="72">
        <f t="shared" si="6"/>
        <v>0</v>
      </c>
      <c r="AA8" s="72">
        <f t="shared" si="7"/>
        <v>0</v>
      </c>
      <c r="AB8" s="72">
        <f t="shared" si="8"/>
        <v>0</v>
      </c>
      <c r="AC8" s="72">
        <f t="shared" si="9"/>
        <v>0</v>
      </c>
      <c r="AD8" s="72">
        <f t="shared" si="10"/>
        <v>0</v>
      </c>
      <c r="AE8" s="72">
        <f t="shared" si="11"/>
        <v>0</v>
      </c>
      <c r="AF8" s="72">
        <f t="shared" si="12"/>
        <v>0</v>
      </c>
      <c r="AG8" s="72">
        <f t="shared" si="13"/>
        <v>0</v>
      </c>
      <c r="AH8" s="72">
        <f t="shared" si="14"/>
        <v>0</v>
      </c>
      <c r="AI8" s="72">
        <f t="shared" si="15"/>
        <v>0</v>
      </c>
      <c r="AJ8" s="72">
        <f t="shared" si="16"/>
        <v>0</v>
      </c>
      <c r="AK8" s="72">
        <f t="shared" si="17"/>
        <v>0</v>
      </c>
      <c r="AL8" s="72">
        <f t="shared" si="18"/>
        <v>0</v>
      </c>
      <c r="AM8" s="72">
        <f t="shared" si="2"/>
        <v>0</v>
      </c>
      <c r="AN8" s="72">
        <f t="shared" si="2"/>
        <v>0</v>
      </c>
      <c r="AQ8" s="71" t="s">
        <v>54</v>
      </c>
      <c r="AR8" s="97">
        <f t="shared" si="0"/>
        <v>211.3</v>
      </c>
      <c r="AS8" s="58">
        <f>AF35</f>
        <v>0</v>
      </c>
      <c r="AT8" s="58">
        <f>P35</f>
        <v>211.3</v>
      </c>
    </row>
    <row r="9" spans="2:51">
      <c r="B9" s="425">
        <v>44939</v>
      </c>
      <c r="C9" s="62" t="s">
        <v>153</v>
      </c>
      <c r="D9" s="79" t="s">
        <v>120</v>
      </c>
      <c r="E9" s="56">
        <v>58.4</v>
      </c>
      <c r="F9" s="76" t="s">
        <v>65</v>
      </c>
      <c r="G9" s="77">
        <f t="shared" si="3"/>
        <v>0</v>
      </c>
      <c r="H9" s="78">
        <f t="shared" si="4"/>
        <v>58.4</v>
      </c>
      <c r="I9" s="481" t="s">
        <v>348</v>
      </c>
      <c r="J9" s="72">
        <f t="shared" si="19"/>
        <v>0</v>
      </c>
      <c r="K9" s="72">
        <f t="shared" si="20"/>
        <v>0</v>
      </c>
      <c r="L9" s="72">
        <f t="shared" si="21"/>
        <v>58.4</v>
      </c>
      <c r="M9" s="72">
        <f t="shared" si="22"/>
        <v>0</v>
      </c>
      <c r="N9" s="72">
        <f t="shared" si="23"/>
        <v>0</v>
      </c>
      <c r="O9" s="72">
        <f t="shared" si="24"/>
        <v>0</v>
      </c>
      <c r="P9" s="72">
        <f t="shared" si="25"/>
        <v>0</v>
      </c>
      <c r="Q9" s="72">
        <f t="shared" si="26"/>
        <v>0</v>
      </c>
      <c r="R9" s="72">
        <f t="shared" si="27"/>
        <v>0</v>
      </c>
      <c r="S9" s="72">
        <f t="shared" si="28"/>
        <v>0</v>
      </c>
      <c r="T9" s="72">
        <f t="shared" si="29"/>
        <v>0</v>
      </c>
      <c r="U9" s="72">
        <f t="shared" si="30"/>
        <v>0</v>
      </c>
      <c r="V9" s="72">
        <f t="shared" si="5"/>
        <v>0</v>
      </c>
      <c r="W9" s="72">
        <f t="shared" si="1"/>
        <v>0</v>
      </c>
      <c r="X9" s="72">
        <f t="shared" si="1"/>
        <v>0</v>
      </c>
      <c r="Z9" s="72">
        <f t="shared" si="6"/>
        <v>0</v>
      </c>
      <c r="AA9" s="72">
        <f t="shared" si="7"/>
        <v>0</v>
      </c>
      <c r="AB9" s="72">
        <f t="shared" si="8"/>
        <v>0</v>
      </c>
      <c r="AC9" s="72">
        <f t="shared" si="9"/>
        <v>0</v>
      </c>
      <c r="AD9" s="72">
        <f t="shared" si="10"/>
        <v>0</v>
      </c>
      <c r="AE9" s="72">
        <f t="shared" si="11"/>
        <v>0</v>
      </c>
      <c r="AF9" s="72">
        <f t="shared" si="12"/>
        <v>0</v>
      </c>
      <c r="AG9" s="72">
        <f t="shared" si="13"/>
        <v>0</v>
      </c>
      <c r="AH9" s="72">
        <f t="shared" si="14"/>
        <v>0</v>
      </c>
      <c r="AI9" s="72">
        <f t="shared" si="15"/>
        <v>0</v>
      </c>
      <c r="AJ9" s="72">
        <f t="shared" si="16"/>
        <v>0</v>
      </c>
      <c r="AK9" s="72">
        <f t="shared" si="17"/>
        <v>0</v>
      </c>
      <c r="AL9" s="72">
        <f t="shared" si="18"/>
        <v>0</v>
      </c>
      <c r="AM9" s="72">
        <f t="shared" si="2"/>
        <v>0</v>
      </c>
      <c r="AN9" s="72">
        <f t="shared" si="2"/>
        <v>0</v>
      </c>
      <c r="AQ9" s="71" t="s">
        <v>59</v>
      </c>
      <c r="AR9" s="97">
        <f t="shared" si="0"/>
        <v>231</v>
      </c>
      <c r="AS9" s="58">
        <f>AG35</f>
        <v>115.5</v>
      </c>
      <c r="AT9" s="58">
        <f>Q35</f>
        <v>115.5</v>
      </c>
    </row>
    <row r="10" spans="2:51">
      <c r="B10" s="425">
        <v>44952</v>
      </c>
      <c r="C10" s="62" t="s">
        <v>159</v>
      </c>
      <c r="D10" s="79" t="s">
        <v>120</v>
      </c>
      <c r="E10" s="56">
        <v>77</v>
      </c>
      <c r="F10" s="76" t="s">
        <v>65</v>
      </c>
      <c r="G10" s="77">
        <f t="shared" si="3"/>
        <v>0</v>
      </c>
      <c r="H10" s="78">
        <f t="shared" si="4"/>
        <v>77</v>
      </c>
      <c r="I10" s="481" t="s">
        <v>73</v>
      </c>
      <c r="J10" s="72">
        <f t="shared" si="19"/>
        <v>0</v>
      </c>
      <c r="K10" s="72">
        <f t="shared" si="20"/>
        <v>0</v>
      </c>
      <c r="L10" s="72">
        <f t="shared" si="21"/>
        <v>77</v>
      </c>
      <c r="M10" s="72">
        <f t="shared" si="22"/>
        <v>0</v>
      </c>
      <c r="N10" s="72">
        <f t="shared" si="23"/>
        <v>0</v>
      </c>
      <c r="O10" s="72">
        <f t="shared" si="24"/>
        <v>0</v>
      </c>
      <c r="P10" s="72">
        <f t="shared" si="25"/>
        <v>0</v>
      </c>
      <c r="Q10" s="72">
        <f t="shared" si="26"/>
        <v>0</v>
      </c>
      <c r="R10" s="72">
        <f t="shared" si="27"/>
        <v>0</v>
      </c>
      <c r="S10" s="72">
        <f t="shared" si="28"/>
        <v>0</v>
      </c>
      <c r="T10" s="72">
        <f t="shared" si="29"/>
        <v>0</v>
      </c>
      <c r="U10" s="72">
        <f t="shared" si="30"/>
        <v>0</v>
      </c>
      <c r="V10" s="72">
        <f t="shared" si="5"/>
        <v>0</v>
      </c>
      <c r="W10" s="72">
        <f t="shared" si="1"/>
        <v>0</v>
      </c>
      <c r="X10" s="72">
        <f t="shared" si="1"/>
        <v>0</v>
      </c>
      <c r="Z10" s="72">
        <f t="shared" si="6"/>
        <v>0</v>
      </c>
      <c r="AA10" s="72">
        <f t="shared" si="7"/>
        <v>0</v>
      </c>
      <c r="AB10" s="72">
        <f t="shared" si="8"/>
        <v>0</v>
      </c>
      <c r="AC10" s="72">
        <f t="shared" si="9"/>
        <v>0</v>
      </c>
      <c r="AD10" s="72">
        <f t="shared" si="10"/>
        <v>0</v>
      </c>
      <c r="AE10" s="72">
        <f t="shared" si="11"/>
        <v>0</v>
      </c>
      <c r="AF10" s="72">
        <f t="shared" si="12"/>
        <v>0</v>
      </c>
      <c r="AG10" s="72">
        <f t="shared" si="13"/>
        <v>0</v>
      </c>
      <c r="AH10" s="72">
        <f t="shared" si="14"/>
        <v>0</v>
      </c>
      <c r="AI10" s="72">
        <f t="shared" si="15"/>
        <v>0</v>
      </c>
      <c r="AJ10" s="72">
        <f t="shared" si="16"/>
        <v>0</v>
      </c>
      <c r="AK10" s="72">
        <f t="shared" si="17"/>
        <v>0</v>
      </c>
      <c r="AL10" s="72">
        <f t="shared" si="18"/>
        <v>0</v>
      </c>
      <c r="AM10" s="72">
        <f t="shared" si="2"/>
        <v>0</v>
      </c>
      <c r="AN10" s="72">
        <f t="shared" si="2"/>
        <v>0</v>
      </c>
      <c r="AQ10" s="71" t="s">
        <v>40</v>
      </c>
      <c r="AR10" s="97">
        <f t="shared" si="0"/>
        <v>309.49</v>
      </c>
      <c r="AS10" s="58">
        <f>AH35</f>
        <v>7.8650000000000002</v>
      </c>
      <c r="AT10" s="58">
        <f>R35</f>
        <v>301.625</v>
      </c>
    </row>
    <row r="11" spans="2:51">
      <c r="B11" s="425">
        <v>44956</v>
      </c>
      <c r="C11" s="62" t="s">
        <v>257</v>
      </c>
      <c r="D11" s="79" t="s">
        <v>120</v>
      </c>
      <c r="E11" s="56">
        <v>47.72</v>
      </c>
      <c r="F11" s="76" t="s">
        <v>65</v>
      </c>
      <c r="G11" s="77">
        <f t="shared" si="3"/>
        <v>0</v>
      </c>
      <c r="H11" s="78">
        <f t="shared" si="4"/>
        <v>47.72</v>
      </c>
      <c r="I11" s="481" t="s">
        <v>346</v>
      </c>
      <c r="J11" s="72">
        <f t="shared" si="19"/>
        <v>0</v>
      </c>
      <c r="K11" s="72">
        <f t="shared" si="20"/>
        <v>0</v>
      </c>
      <c r="L11" s="72">
        <f t="shared" si="21"/>
        <v>47.72</v>
      </c>
      <c r="M11" s="72">
        <f t="shared" si="22"/>
        <v>0</v>
      </c>
      <c r="N11" s="72">
        <f t="shared" si="23"/>
        <v>0</v>
      </c>
      <c r="O11" s="72">
        <f t="shared" si="24"/>
        <v>0</v>
      </c>
      <c r="P11" s="72">
        <f t="shared" si="25"/>
        <v>0</v>
      </c>
      <c r="Q11" s="72">
        <f t="shared" si="26"/>
        <v>0</v>
      </c>
      <c r="R11" s="72">
        <f t="shared" si="27"/>
        <v>0</v>
      </c>
      <c r="S11" s="72">
        <f t="shared" si="28"/>
        <v>0</v>
      </c>
      <c r="T11" s="72">
        <f t="shared" si="29"/>
        <v>0</v>
      </c>
      <c r="U11" s="72">
        <f t="shared" si="30"/>
        <v>0</v>
      </c>
      <c r="V11" s="72">
        <f t="shared" si="5"/>
        <v>0</v>
      </c>
      <c r="W11" s="72">
        <f t="shared" si="1"/>
        <v>0</v>
      </c>
      <c r="X11" s="72">
        <f t="shared" si="1"/>
        <v>0</v>
      </c>
      <c r="Z11" s="72">
        <f t="shared" si="6"/>
        <v>0</v>
      </c>
      <c r="AA11" s="72">
        <f t="shared" si="7"/>
        <v>0</v>
      </c>
      <c r="AB11" s="72">
        <f t="shared" si="8"/>
        <v>0</v>
      </c>
      <c r="AC11" s="72">
        <f t="shared" si="9"/>
        <v>0</v>
      </c>
      <c r="AD11" s="72">
        <f t="shared" si="10"/>
        <v>0</v>
      </c>
      <c r="AE11" s="72">
        <f t="shared" si="11"/>
        <v>0</v>
      </c>
      <c r="AF11" s="72">
        <f t="shared" si="12"/>
        <v>0</v>
      </c>
      <c r="AG11" s="72">
        <f t="shared" si="13"/>
        <v>0</v>
      </c>
      <c r="AH11" s="72">
        <f t="shared" si="14"/>
        <v>0</v>
      </c>
      <c r="AI11" s="72">
        <f t="shared" si="15"/>
        <v>0</v>
      </c>
      <c r="AJ11" s="72">
        <f t="shared" si="16"/>
        <v>0</v>
      </c>
      <c r="AK11" s="72">
        <f t="shared" si="17"/>
        <v>0</v>
      </c>
      <c r="AL11" s="72">
        <f t="shared" si="18"/>
        <v>0</v>
      </c>
      <c r="AM11" s="72">
        <f t="shared" si="2"/>
        <v>0</v>
      </c>
      <c r="AN11" s="72">
        <f t="shared" si="2"/>
        <v>0</v>
      </c>
      <c r="AQ11" s="71" t="s">
        <v>55</v>
      </c>
      <c r="AR11" s="97">
        <f t="shared" si="0"/>
        <v>0</v>
      </c>
      <c r="AS11" s="58">
        <f>AI35</f>
        <v>0</v>
      </c>
      <c r="AT11" s="58">
        <f>S35</f>
        <v>0</v>
      </c>
    </row>
    <row r="12" spans="2:51">
      <c r="B12" s="425">
        <v>44956</v>
      </c>
      <c r="C12" s="62" t="s">
        <v>259</v>
      </c>
      <c r="D12" s="79" t="s">
        <v>120</v>
      </c>
      <c r="E12" s="56">
        <v>35.24</v>
      </c>
      <c r="F12" s="76" t="s">
        <v>65</v>
      </c>
      <c r="G12" s="77">
        <f t="shared" ref="G12:G18" si="31">IF(F12="MARCIA",E12,IF(F12="AMBOS",E12/2,0))</f>
        <v>0</v>
      </c>
      <c r="H12" s="78">
        <f t="shared" ref="H12:H18" si="32">IF(F12="LUCIANO",E12,IF(F12="AMBOS",E12/2,0))</f>
        <v>35.24</v>
      </c>
      <c r="I12" s="481" t="s">
        <v>346</v>
      </c>
      <c r="J12" s="72">
        <f t="shared" si="19"/>
        <v>0</v>
      </c>
      <c r="K12" s="72">
        <f t="shared" si="20"/>
        <v>0</v>
      </c>
      <c r="L12" s="72">
        <f t="shared" si="21"/>
        <v>35.24</v>
      </c>
      <c r="M12" s="72">
        <f t="shared" si="22"/>
        <v>0</v>
      </c>
      <c r="N12" s="72">
        <f t="shared" si="23"/>
        <v>0</v>
      </c>
      <c r="O12" s="72">
        <f t="shared" si="24"/>
        <v>0</v>
      </c>
      <c r="P12" s="72">
        <f t="shared" si="25"/>
        <v>0</v>
      </c>
      <c r="Q12" s="72">
        <f t="shared" si="26"/>
        <v>0</v>
      </c>
      <c r="R12" s="72">
        <f t="shared" si="27"/>
        <v>0</v>
      </c>
      <c r="S12" s="72">
        <f t="shared" si="28"/>
        <v>0</v>
      </c>
      <c r="T12" s="72">
        <f t="shared" si="29"/>
        <v>0</v>
      </c>
      <c r="U12" s="72">
        <f t="shared" si="30"/>
        <v>0</v>
      </c>
      <c r="V12" s="72">
        <f t="shared" si="5"/>
        <v>0</v>
      </c>
      <c r="W12" s="72">
        <f t="shared" si="1"/>
        <v>0</v>
      </c>
      <c r="X12" s="72">
        <f t="shared" si="1"/>
        <v>0</v>
      </c>
      <c r="Z12" s="72">
        <f t="shared" si="6"/>
        <v>0</v>
      </c>
      <c r="AA12" s="72">
        <f t="shared" si="7"/>
        <v>0</v>
      </c>
      <c r="AB12" s="72">
        <f t="shared" si="8"/>
        <v>0</v>
      </c>
      <c r="AC12" s="72">
        <f t="shared" si="9"/>
        <v>0</v>
      </c>
      <c r="AD12" s="72">
        <f t="shared" si="10"/>
        <v>0</v>
      </c>
      <c r="AE12" s="72">
        <f t="shared" si="11"/>
        <v>0</v>
      </c>
      <c r="AF12" s="72">
        <f t="shared" si="12"/>
        <v>0</v>
      </c>
      <c r="AG12" s="72">
        <f t="shared" si="13"/>
        <v>0</v>
      </c>
      <c r="AH12" s="72">
        <f t="shared" si="14"/>
        <v>0</v>
      </c>
      <c r="AI12" s="72">
        <f t="shared" si="15"/>
        <v>0</v>
      </c>
      <c r="AJ12" s="72">
        <f t="shared" si="16"/>
        <v>0</v>
      </c>
      <c r="AK12" s="72">
        <f t="shared" si="17"/>
        <v>0</v>
      </c>
      <c r="AL12" s="72">
        <f t="shared" si="18"/>
        <v>0</v>
      </c>
      <c r="AM12" s="72">
        <f t="shared" si="2"/>
        <v>0</v>
      </c>
      <c r="AN12" s="72">
        <f t="shared" si="2"/>
        <v>0</v>
      </c>
      <c r="AQ12" s="71" t="s">
        <v>58</v>
      </c>
      <c r="AR12" s="97">
        <f t="shared" si="0"/>
        <v>29.7</v>
      </c>
      <c r="AS12" s="58">
        <f>AJ35</f>
        <v>0</v>
      </c>
      <c r="AT12" s="58">
        <f>T35</f>
        <v>29.7</v>
      </c>
    </row>
    <row r="13" spans="2:51">
      <c r="B13" s="425">
        <v>44966</v>
      </c>
      <c r="C13" s="62" t="s">
        <v>261</v>
      </c>
      <c r="D13" s="79" t="s">
        <v>120</v>
      </c>
      <c r="E13" s="56">
        <v>84.76</v>
      </c>
      <c r="F13" s="76" t="s">
        <v>65</v>
      </c>
      <c r="G13" s="77">
        <f t="shared" si="31"/>
        <v>0</v>
      </c>
      <c r="H13" s="78">
        <f t="shared" si="32"/>
        <v>84.76</v>
      </c>
      <c r="I13" s="481" t="s">
        <v>69</v>
      </c>
      <c r="J13" s="72">
        <f t="shared" si="19"/>
        <v>0</v>
      </c>
      <c r="K13" s="72">
        <f t="shared" si="20"/>
        <v>0</v>
      </c>
      <c r="L13" s="72">
        <f t="shared" si="21"/>
        <v>84.76</v>
      </c>
      <c r="M13" s="72">
        <f t="shared" si="22"/>
        <v>0</v>
      </c>
      <c r="N13" s="72">
        <f t="shared" si="23"/>
        <v>0</v>
      </c>
      <c r="O13" s="72">
        <f t="shared" si="24"/>
        <v>0</v>
      </c>
      <c r="P13" s="72">
        <f t="shared" si="25"/>
        <v>0</v>
      </c>
      <c r="Q13" s="72">
        <f t="shared" si="26"/>
        <v>0</v>
      </c>
      <c r="R13" s="72">
        <f t="shared" si="27"/>
        <v>0</v>
      </c>
      <c r="S13" s="72">
        <f t="shared" si="28"/>
        <v>0</v>
      </c>
      <c r="T13" s="72">
        <f t="shared" si="29"/>
        <v>0</v>
      </c>
      <c r="U13" s="72">
        <f t="shared" si="30"/>
        <v>0</v>
      </c>
      <c r="V13" s="72">
        <f t="shared" si="5"/>
        <v>0</v>
      </c>
      <c r="W13" s="72">
        <f t="shared" si="1"/>
        <v>0</v>
      </c>
      <c r="X13" s="72">
        <f t="shared" si="1"/>
        <v>0</v>
      </c>
      <c r="Z13" s="72">
        <f t="shared" si="6"/>
        <v>0</v>
      </c>
      <c r="AA13" s="72">
        <f t="shared" si="7"/>
        <v>0</v>
      </c>
      <c r="AB13" s="72">
        <f t="shared" si="8"/>
        <v>0</v>
      </c>
      <c r="AC13" s="72">
        <f t="shared" si="9"/>
        <v>0</v>
      </c>
      <c r="AD13" s="72">
        <f t="shared" si="10"/>
        <v>0</v>
      </c>
      <c r="AE13" s="72">
        <f t="shared" si="11"/>
        <v>0</v>
      </c>
      <c r="AF13" s="72">
        <f t="shared" si="12"/>
        <v>0</v>
      </c>
      <c r="AG13" s="72">
        <f t="shared" si="13"/>
        <v>0</v>
      </c>
      <c r="AH13" s="72">
        <f t="shared" si="14"/>
        <v>0</v>
      </c>
      <c r="AI13" s="72">
        <f t="shared" si="15"/>
        <v>0</v>
      </c>
      <c r="AJ13" s="72">
        <f t="shared" si="16"/>
        <v>0</v>
      </c>
      <c r="AK13" s="72">
        <f t="shared" si="17"/>
        <v>0</v>
      </c>
      <c r="AL13" s="72">
        <f t="shared" si="18"/>
        <v>0</v>
      </c>
      <c r="AM13" s="72">
        <f t="shared" si="2"/>
        <v>0</v>
      </c>
      <c r="AN13" s="72">
        <f t="shared" si="2"/>
        <v>0</v>
      </c>
      <c r="AQ13" s="71" t="s">
        <v>52</v>
      </c>
      <c r="AR13" s="97">
        <f t="shared" si="0"/>
        <v>0</v>
      </c>
      <c r="AS13" s="58">
        <f>AK35</f>
        <v>0</v>
      </c>
      <c r="AT13" s="58">
        <f>U35</f>
        <v>0</v>
      </c>
    </row>
    <row r="14" spans="2:51">
      <c r="B14" s="425">
        <v>44981</v>
      </c>
      <c r="C14" s="62" t="s">
        <v>265</v>
      </c>
      <c r="D14" s="79" t="s">
        <v>120</v>
      </c>
      <c r="E14" s="56">
        <v>28.83</v>
      </c>
      <c r="F14" s="76" t="s">
        <v>65</v>
      </c>
      <c r="G14" s="77">
        <f t="shared" si="31"/>
        <v>0</v>
      </c>
      <c r="H14" s="78">
        <f t="shared" si="32"/>
        <v>28.83</v>
      </c>
      <c r="I14" s="481" t="s">
        <v>262</v>
      </c>
      <c r="J14" s="72">
        <f t="shared" si="19"/>
        <v>0</v>
      </c>
      <c r="K14" s="72">
        <f t="shared" si="20"/>
        <v>0</v>
      </c>
      <c r="L14" s="72">
        <f t="shared" si="21"/>
        <v>28.83</v>
      </c>
      <c r="M14" s="72">
        <f t="shared" si="22"/>
        <v>0</v>
      </c>
      <c r="N14" s="72">
        <f t="shared" si="23"/>
        <v>0</v>
      </c>
      <c r="O14" s="72">
        <f t="shared" si="24"/>
        <v>0</v>
      </c>
      <c r="P14" s="72">
        <f t="shared" si="25"/>
        <v>0</v>
      </c>
      <c r="Q14" s="72">
        <f t="shared" si="26"/>
        <v>0</v>
      </c>
      <c r="R14" s="72">
        <f t="shared" si="27"/>
        <v>0</v>
      </c>
      <c r="S14" s="72">
        <f t="shared" si="28"/>
        <v>0</v>
      </c>
      <c r="T14" s="72">
        <f t="shared" si="29"/>
        <v>0</v>
      </c>
      <c r="U14" s="72">
        <f t="shared" si="30"/>
        <v>0</v>
      </c>
      <c r="V14" s="72">
        <f t="shared" si="5"/>
        <v>0</v>
      </c>
      <c r="W14" s="72">
        <f t="shared" si="1"/>
        <v>0</v>
      </c>
      <c r="X14" s="72">
        <f t="shared" si="1"/>
        <v>0</v>
      </c>
      <c r="Z14" s="72">
        <f t="shared" si="6"/>
        <v>0</v>
      </c>
      <c r="AA14" s="72">
        <f t="shared" si="7"/>
        <v>0</v>
      </c>
      <c r="AB14" s="72">
        <f t="shared" si="8"/>
        <v>0</v>
      </c>
      <c r="AC14" s="72">
        <f t="shared" si="9"/>
        <v>0</v>
      </c>
      <c r="AD14" s="72">
        <f t="shared" si="10"/>
        <v>0</v>
      </c>
      <c r="AE14" s="72">
        <f t="shared" si="11"/>
        <v>0</v>
      </c>
      <c r="AF14" s="72">
        <f t="shared" si="12"/>
        <v>0</v>
      </c>
      <c r="AG14" s="72">
        <f t="shared" si="13"/>
        <v>0</v>
      </c>
      <c r="AH14" s="72">
        <f t="shared" si="14"/>
        <v>0</v>
      </c>
      <c r="AI14" s="72">
        <f t="shared" si="15"/>
        <v>0</v>
      </c>
      <c r="AJ14" s="72">
        <f t="shared" si="16"/>
        <v>0</v>
      </c>
      <c r="AK14" s="72">
        <f t="shared" si="17"/>
        <v>0</v>
      </c>
      <c r="AL14" s="72">
        <f t="shared" si="18"/>
        <v>0</v>
      </c>
      <c r="AM14" s="72">
        <f t="shared" si="2"/>
        <v>0</v>
      </c>
      <c r="AN14" s="72">
        <f t="shared" si="2"/>
        <v>0</v>
      </c>
      <c r="AQ14" s="71" t="s">
        <v>143</v>
      </c>
      <c r="AR14" s="97">
        <f t="shared" si="0"/>
        <v>32.869999999999997</v>
      </c>
      <c r="AS14" s="58">
        <f>AL35</f>
        <v>0</v>
      </c>
      <c r="AT14" s="58">
        <f>V35</f>
        <v>32.869999999999997</v>
      </c>
    </row>
    <row r="15" spans="2:51">
      <c r="B15" s="172">
        <v>44929</v>
      </c>
      <c r="C15" s="173" t="s">
        <v>145</v>
      </c>
      <c r="D15" s="79" t="s">
        <v>56</v>
      </c>
      <c r="E15" s="56">
        <v>175.97</v>
      </c>
      <c r="F15" s="76" t="s">
        <v>66</v>
      </c>
      <c r="G15" s="77">
        <f t="shared" ref="G15:G16" si="33">(E15/3)*2</f>
        <v>117.31333333333333</v>
      </c>
      <c r="H15" s="78">
        <f>(E15/3)</f>
        <v>58.656666666666666</v>
      </c>
      <c r="I15" s="481" t="s">
        <v>73</v>
      </c>
      <c r="J15" s="72">
        <f t="shared" si="19"/>
        <v>0</v>
      </c>
      <c r="K15" s="72">
        <f t="shared" si="20"/>
        <v>0</v>
      </c>
      <c r="L15" s="72">
        <f t="shared" si="21"/>
        <v>0</v>
      </c>
      <c r="M15" s="72">
        <f t="shared" si="22"/>
        <v>0</v>
      </c>
      <c r="N15" s="72">
        <f t="shared" si="23"/>
        <v>58.656666666666666</v>
      </c>
      <c r="O15" s="72">
        <f t="shared" si="24"/>
        <v>0</v>
      </c>
      <c r="P15" s="72">
        <f t="shared" si="25"/>
        <v>0</v>
      </c>
      <c r="Q15" s="72">
        <f t="shared" si="26"/>
        <v>0</v>
      </c>
      <c r="R15" s="72">
        <f t="shared" si="27"/>
        <v>0</v>
      </c>
      <c r="S15" s="72">
        <f t="shared" si="28"/>
        <v>0</v>
      </c>
      <c r="T15" s="72">
        <f t="shared" si="29"/>
        <v>0</v>
      </c>
      <c r="U15" s="72">
        <f t="shared" si="30"/>
        <v>0</v>
      </c>
      <c r="V15" s="72">
        <f t="shared" si="5"/>
        <v>0</v>
      </c>
      <c r="W15" s="72">
        <f t="shared" si="1"/>
        <v>0</v>
      </c>
      <c r="X15" s="72">
        <f t="shared" si="1"/>
        <v>0</v>
      </c>
      <c r="Z15" s="72">
        <f t="shared" si="6"/>
        <v>0</v>
      </c>
      <c r="AA15" s="72">
        <f t="shared" si="7"/>
        <v>0</v>
      </c>
      <c r="AB15" s="72">
        <f t="shared" si="8"/>
        <v>0</v>
      </c>
      <c r="AC15" s="72">
        <f t="shared" si="9"/>
        <v>0</v>
      </c>
      <c r="AD15" s="72">
        <f t="shared" si="10"/>
        <v>117.31333333333333</v>
      </c>
      <c r="AE15" s="72">
        <f t="shared" si="11"/>
        <v>0</v>
      </c>
      <c r="AF15" s="72">
        <f t="shared" si="12"/>
        <v>0</v>
      </c>
      <c r="AG15" s="72">
        <f t="shared" si="13"/>
        <v>0</v>
      </c>
      <c r="AH15" s="72">
        <f t="shared" si="14"/>
        <v>0</v>
      </c>
      <c r="AI15" s="72">
        <f t="shared" si="15"/>
        <v>0</v>
      </c>
      <c r="AJ15" s="72">
        <f t="shared" si="16"/>
        <v>0</v>
      </c>
      <c r="AK15" s="72">
        <f t="shared" si="17"/>
        <v>0</v>
      </c>
      <c r="AL15" s="72">
        <f t="shared" si="18"/>
        <v>0</v>
      </c>
      <c r="AM15" s="72">
        <f t="shared" si="2"/>
        <v>0</v>
      </c>
      <c r="AN15" s="72">
        <f t="shared" si="2"/>
        <v>0</v>
      </c>
      <c r="AQ15" s="71"/>
      <c r="AR15" s="97">
        <f t="shared" si="0"/>
        <v>0</v>
      </c>
      <c r="AS15" s="58">
        <f>AM35</f>
        <v>0</v>
      </c>
      <c r="AT15" s="58">
        <f>W35</f>
        <v>0</v>
      </c>
    </row>
    <row r="16" spans="2:51">
      <c r="B16" s="172">
        <v>44929</v>
      </c>
      <c r="C16" s="173" t="s">
        <v>146</v>
      </c>
      <c r="D16" s="79" t="s">
        <v>56</v>
      </c>
      <c r="E16" s="56">
        <v>409.08</v>
      </c>
      <c r="F16" s="76" t="s">
        <v>66</v>
      </c>
      <c r="G16" s="77">
        <f t="shared" si="33"/>
        <v>272.71999999999997</v>
      </c>
      <c r="H16" s="78">
        <f>(E16/3)</f>
        <v>136.35999999999999</v>
      </c>
      <c r="I16" s="481" t="s">
        <v>60</v>
      </c>
      <c r="J16" s="72">
        <f t="shared" si="19"/>
        <v>0</v>
      </c>
      <c r="K16" s="72">
        <f t="shared" si="20"/>
        <v>0</v>
      </c>
      <c r="L16" s="72">
        <f t="shared" si="21"/>
        <v>0</v>
      </c>
      <c r="M16" s="72">
        <f t="shared" si="22"/>
        <v>0</v>
      </c>
      <c r="N16" s="72">
        <f t="shared" si="23"/>
        <v>136.35999999999999</v>
      </c>
      <c r="O16" s="72">
        <f t="shared" si="24"/>
        <v>0</v>
      </c>
      <c r="P16" s="72">
        <f t="shared" si="25"/>
        <v>0</v>
      </c>
      <c r="Q16" s="72">
        <f t="shared" si="26"/>
        <v>0</v>
      </c>
      <c r="R16" s="72">
        <f t="shared" si="27"/>
        <v>0</v>
      </c>
      <c r="S16" s="72">
        <f t="shared" si="28"/>
        <v>0</v>
      </c>
      <c r="T16" s="72">
        <f t="shared" si="29"/>
        <v>0</v>
      </c>
      <c r="U16" s="72">
        <f t="shared" si="30"/>
        <v>0</v>
      </c>
      <c r="V16" s="72">
        <f t="shared" si="5"/>
        <v>0</v>
      </c>
      <c r="W16" s="72">
        <f t="shared" si="1"/>
        <v>0</v>
      </c>
      <c r="X16" s="72">
        <f t="shared" si="1"/>
        <v>0</v>
      </c>
      <c r="Z16" s="72">
        <f t="shared" si="6"/>
        <v>0</v>
      </c>
      <c r="AA16" s="72">
        <f t="shared" si="7"/>
        <v>0</v>
      </c>
      <c r="AB16" s="72">
        <f t="shared" si="8"/>
        <v>0</v>
      </c>
      <c r="AC16" s="72">
        <f t="shared" si="9"/>
        <v>0</v>
      </c>
      <c r="AD16" s="72">
        <f t="shared" si="10"/>
        <v>272.71999999999997</v>
      </c>
      <c r="AE16" s="72">
        <f t="shared" si="11"/>
        <v>0</v>
      </c>
      <c r="AF16" s="72">
        <f t="shared" si="12"/>
        <v>0</v>
      </c>
      <c r="AG16" s="72">
        <f t="shared" si="13"/>
        <v>0</v>
      </c>
      <c r="AH16" s="72">
        <f t="shared" si="14"/>
        <v>0</v>
      </c>
      <c r="AI16" s="72">
        <f t="shared" si="15"/>
        <v>0</v>
      </c>
      <c r="AJ16" s="72">
        <f t="shared" si="16"/>
        <v>0</v>
      </c>
      <c r="AK16" s="72">
        <f t="shared" si="17"/>
        <v>0</v>
      </c>
      <c r="AL16" s="72">
        <f t="shared" si="18"/>
        <v>0</v>
      </c>
      <c r="AM16" s="72">
        <f t="shared" si="2"/>
        <v>0</v>
      </c>
      <c r="AN16" s="72">
        <f t="shared" si="2"/>
        <v>0</v>
      </c>
      <c r="AQ16" s="71"/>
      <c r="AR16" s="97">
        <f t="shared" si="0"/>
        <v>0</v>
      </c>
      <c r="AS16" s="95">
        <f>AN35</f>
        <v>0</v>
      </c>
      <c r="AT16" s="95">
        <f>X35</f>
        <v>0</v>
      </c>
      <c r="AU16" s="59"/>
    </row>
    <row r="17" spans="2:52">
      <c r="B17" s="425">
        <v>45002</v>
      </c>
      <c r="C17" s="62" t="s">
        <v>306</v>
      </c>
      <c r="D17" s="79" t="s">
        <v>58</v>
      </c>
      <c r="E17" s="56">
        <v>29.7</v>
      </c>
      <c r="F17" s="76" t="s">
        <v>65</v>
      </c>
      <c r="G17" s="77">
        <f t="shared" si="31"/>
        <v>0</v>
      </c>
      <c r="H17" s="78">
        <f t="shared" si="32"/>
        <v>29.7</v>
      </c>
      <c r="I17" s="481" t="s">
        <v>258</v>
      </c>
      <c r="J17" s="72">
        <f t="shared" si="19"/>
        <v>0</v>
      </c>
      <c r="K17" s="72">
        <f t="shared" si="20"/>
        <v>0</v>
      </c>
      <c r="L17" s="72">
        <f t="shared" si="21"/>
        <v>0</v>
      </c>
      <c r="M17" s="72">
        <f t="shared" si="22"/>
        <v>0</v>
      </c>
      <c r="N17" s="72">
        <f t="shared" si="23"/>
        <v>0</v>
      </c>
      <c r="O17" s="72">
        <f t="shared" si="24"/>
        <v>0</v>
      </c>
      <c r="P17" s="72">
        <f t="shared" si="25"/>
        <v>0</v>
      </c>
      <c r="Q17" s="72">
        <f t="shared" si="26"/>
        <v>0</v>
      </c>
      <c r="R17" s="72">
        <f t="shared" si="27"/>
        <v>0</v>
      </c>
      <c r="S17" s="72">
        <f t="shared" si="28"/>
        <v>0</v>
      </c>
      <c r="T17" s="72">
        <f t="shared" si="29"/>
        <v>29.7</v>
      </c>
      <c r="U17" s="72">
        <f t="shared" si="30"/>
        <v>0</v>
      </c>
      <c r="V17" s="72">
        <f t="shared" si="5"/>
        <v>0</v>
      </c>
      <c r="W17" s="72">
        <f t="shared" si="1"/>
        <v>0</v>
      </c>
      <c r="X17" s="72">
        <f t="shared" si="1"/>
        <v>0</v>
      </c>
      <c r="Z17" s="72">
        <f t="shared" si="6"/>
        <v>0</v>
      </c>
      <c r="AA17" s="72">
        <f t="shared" si="7"/>
        <v>0</v>
      </c>
      <c r="AB17" s="72">
        <f t="shared" si="8"/>
        <v>0</v>
      </c>
      <c r="AC17" s="72">
        <f t="shared" si="9"/>
        <v>0</v>
      </c>
      <c r="AD17" s="72">
        <f t="shared" si="10"/>
        <v>0</v>
      </c>
      <c r="AE17" s="72">
        <f t="shared" si="11"/>
        <v>0</v>
      </c>
      <c r="AF17" s="72">
        <f t="shared" si="12"/>
        <v>0</v>
      </c>
      <c r="AG17" s="72">
        <f t="shared" si="13"/>
        <v>0</v>
      </c>
      <c r="AH17" s="72">
        <f t="shared" si="14"/>
        <v>0</v>
      </c>
      <c r="AI17" s="72">
        <f t="shared" si="15"/>
        <v>0</v>
      </c>
      <c r="AJ17" s="72">
        <f t="shared" si="16"/>
        <v>0</v>
      </c>
      <c r="AK17" s="72">
        <f t="shared" si="17"/>
        <v>0</v>
      </c>
      <c r="AL17" s="72">
        <f t="shared" si="18"/>
        <v>0</v>
      </c>
      <c r="AM17" s="72">
        <f t="shared" si="2"/>
        <v>0</v>
      </c>
      <c r="AN17" s="72">
        <f t="shared" si="2"/>
        <v>0</v>
      </c>
      <c r="AQ17" s="87" t="s">
        <v>67</v>
      </c>
      <c r="AR17" s="96">
        <f>SUM(AR2:AR16)</f>
        <v>2019.2099999999998</v>
      </c>
      <c r="AS17" s="88">
        <f>SUM(AS2:AS16)</f>
        <v>657.32333333333327</v>
      </c>
      <c r="AT17" s="88">
        <f>SUM(AT2:AT16)</f>
        <v>1361.8866666666665</v>
      </c>
    </row>
    <row r="18" spans="2:52">
      <c r="B18" s="60">
        <v>45003</v>
      </c>
      <c r="C18" s="62" t="s">
        <v>307</v>
      </c>
      <c r="D18" s="79" t="s">
        <v>143</v>
      </c>
      <c r="E18" s="56">
        <v>32.869999999999997</v>
      </c>
      <c r="F18" s="76" t="s">
        <v>65</v>
      </c>
      <c r="G18" s="77">
        <f t="shared" si="31"/>
        <v>0</v>
      </c>
      <c r="H18" s="78">
        <f t="shared" si="32"/>
        <v>32.869999999999997</v>
      </c>
      <c r="I18" s="481" t="s">
        <v>127</v>
      </c>
      <c r="J18" s="72">
        <f t="shared" si="19"/>
        <v>0</v>
      </c>
      <c r="K18" s="72">
        <f t="shared" si="20"/>
        <v>0</v>
      </c>
      <c r="L18" s="72">
        <f t="shared" si="21"/>
        <v>0</v>
      </c>
      <c r="M18" s="72">
        <f t="shared" si="22"/>
        <v>0</v>
      </c>
      <c r="N18" s="72">
        <f t="shared" si="23"/>
        <v>0</v>
      </c>
      <c r="O18" s="72">
        <f t="shared" si="24"/>
        <v>0</v>
      </c>
      <c r="P18" s="72">
        <f t="shared" si="25"/>
        <v>0</v>
      </c>
      <c r="Q18" s="72">
        <f t="shared" si="26"/>
        <v>0</v>
      </c>
      <c r="R18" s="72">
        <f t="shared" si="27"/>
        <v>0</v>
      </c>
      <c r="S18" s="72">
        <f t="shared" si="28"/>
        <v>0</v>
      </c>
      <c r="T18" s="72">
        <f t="shared" si="29"/>
        <v>0</v>
      </c>
      <c r="U18" s="72">
        <f t="shared" si="30"/>
        <v>0</v>
      </c>
      <c r="V18" s="72">
        <f t="shared" si="5"/>
        <v>32.869999999999997</v>
      </c>
      <c r="W18" s="72">
        <f t="shared" si="1"/>
        <v>0</v>
      </c>
      <c r="X18" s="72">
        <f t="shared" si="1"/>
        <v>0</v>
      </c>
      <c r="Z18" s="72">
        <f t="shared" si="6"/>
        <v>0</v>
      </c>
      <c r="AA18" s="72">
        <f t="shared" si="7"/>
        <v>0</v>
      </c>
      <c r="AB18" s="72">
        <f t="shared" si="8"/>
        <v>0</v>
      </c>
      <c r="AC18" s="72">
        <f t="shared" si="9"/>
        <v>0</v>
      </c>
      <c r="AD18" s="72">
        <f t="shared" si="10"/>
        <v>0</v>
      </c>
      <c r="AE18" s="72">
        <f t="shared" si="11"/>
        <v>0</v>
      </c>
      <c r="AF18" s="72">
        <f t="shared" si="12"/>
        <v>0</v>
      </c>
      <c r="AG18" s="72">
        <f t="shared" si="13"/>
        <v>0</v>
      </c>
      <c r="AH18" s="72">
        <f t="shared" si="14"/>
        <v>0</v>
      </c>
      <c r="AI18" s="72">
        <f t="shared" si="15"/>
        <v>0</v>
      </c>
      <c r="AJ18" s="72">
        <f t="shared" si="16"/>
        <v>0</v>
      </c>
      <c r="AK18" s="72">
        <f t="shared" si="17"/>
        <v>0</v>
      </c>
      <c r="AL18" s="72">
        <f t="shared" si="18"/>
        <v>0</v>
      </c>
      <c r="AM18" s="72">
        <f t="shared" si="2"/>
        <v>0</v>
      </c>
      <c r="AN18" s="72">
        <f t="shared" si="2"/>
        <v>0</v>
      </c>
      <c r="AQ18" s="80" t="s">
        <v>65</v>
      </c>
      <c r="AR18" s="850" t="s">
        <v>45</v>
      </c>
      <c r="AS18" s="851"/>
      <c r="AT18" s="852"/>
      <c r="AU18" s="99"/>
      <c r="AV18" s="98"/>
    </row>
    <row r="19" spans="2:52">
      <c r="B19" s="60">
        <v>45007</v>
      </c>
      <c r="C19" s="62" t="s">
        <v>308</v>
      </c>
      <c r="D19" s="79" t="s">
        <v>40</v>
      </c>
      <c r="E19" s="56">
        <v>53.49</v>
      </c>
      <c r="F19" s="76" t="s">
        <v>65</v>
      </c>
      <c r="G19" s="77">
        <f t="shared" ref="G19:G23" si="34">IF(F19="MARCIA",E19,IF(F19="AMBOS",E19/2,0))</f>
        <v>0</v>
      </c>
      <c r="H19" s="78">
        <f t="shared" ref="H19:H23" si="35">IF(F19="LUCIANO",E19,IF(F19="AMBOS",E19/2,0))</f>
        <v>53.49</v>
      </c>
      <c r="I19" s="481"/>
      <c r="J19" s="72">
        <f t="shared" si="19"/>
        <v>0</v>
      </c>
      <c r="K19" s="72">
        <f t="shared" si="20"/>
        <v>0</v>
      </c>
      <c r="L19" s="72">
        <f t="shared" si="21"/>
        <v>0</v>
      </c>
      <c r="M19" s="72">
        <f t="shared" si="22"/>
        <v>0</v>
      </c>
      <c r="N19" s="72">
        <f t="shared" si="23"/>
        <v>0</v>
      </c>
      <c r="O19" s="72">
        <f t="shared" si="24"/>
        <v>0</v>
      </c>
      <c r="P19" s="72">
        <f t="shared" si="25"/>
        <v>0</v>
      </c>
      <c r="Q19" s="72">
        <f t="shared" si="26"/>
        <v>0</v>
      </c>
      <c r="R19" s="72">
        <f t="shared" si="27"/>
        <v>53.49</v>
      </c>
      <c r="S19" s="72">
        <f t="shared" si="28"/>
        <v>0</v>
      </c>
      <c r="T19" s="72">
        <f t="shared" si="29"/>
        <v>0</v>
      </c>
      <c r="U19" s="72">
        <f t="shared" si="30"/>
        <v>0</v>
      </c>
      <c r="V19" s="72">
        <f t="shared" si="5"/>
        <v>0</v>
      </c>
      <c r="W19" s="72">
        <f t="shared" si="5"/>
        <v>0</v>
      </c>
      <c r="X19" s="72">
        <f t="shared" si="5"/>
        <v>0</v>
      </c>
      <c r="Z19" s="72">
        <f t="shared" si="6"/>
        <v>0</v>
      </c>
      <c r="AA19" s="72">
        <f t="shared" si="7"/>
        <v>0</v>
      </c>
      <c r="AB19" s="72">
        <f t="shared" si="8"/>
        <v>0</v>
      </c>
      <c r="AC19" s="72">
        <f t="shared" si="9"/>
        <v>0</v>
      </c>
      <c r="AD19" s="72">
        <f t="shared" si="10"/>
        <v>0</v>
      </c>
      <c r="AE19" s="72">
        <f t="shared" si="11"/>
        <v>0</v>
      </c>
      <c r="AF19" s="72">
        <f t="shared" si="12"/>
        <v>0</v>
      </c>
      <c r="AG19" s="72">
        <f t="shared" si="13"/>
        <v>0</v>
      </c>
      <c r="AH19" s="72">
        <f t="shared" si="14"/>
        <v>0</v>
      </c>
      <c r="AI19" s="72">
        <f t="shared" si="15"/>
        <v>0</v>
      </c>
      <c r="AJ19" s="72">
        <f t="shared" si="16"/>
        <v>0</v>
      </c>
      <c r="AK19" s="72">
        <f t="shared" si="17"/>
        <v>0</v>
      </c>
      <c r="AL19" s="72">
        <f t="shared" si="18"/>
        <v>0</v>
      </c>
      <c r="AM19" s="72">
        <f t="shared" si="18"/>
        <v>0</v>
      </c>
      <c r="AN19" s="72">
        <f t="shared" si="18"/>
        <v>0</v>
      </c>
      <c r="AQ19" s="80" t="s">
        <v>66</v>
      </c>
      <c r="AU19" s="98"/>
    </row>
    <row r="20" spans="2:52">
      <c r="B20" s="60">
        <v>45007</v>
      </c>
      <c r="C20" s="62" t="s">
        <v>309</v>
      </c>
      <c r="D20" s="79" t="s">
        <v>40</v>
      </c>
      <c r="E20" s="56">
        <v>32.39</v>
      </c>
      <c r="F20" s="76" t="s">
        <v>65</v>
      </c>
      <c r="G20" s="77">
        <f t="shared" si="34"/>
        <v>0</v>
      </c>
      <c r="H20" s="78">
        <f t="shared" si="35"/>
        <v>32.39</v>
      </c>
      <c r="I20" s="481" t="s">
        <v>154</v>
      </c>
      <c r="J20" s="72">
        <f t="shared" si="19"/>
        <v>0</v>
      </c>
      <c r="K20" s="72">
        <f t="shared" si="20"/>
        <v>0</v>
      </c>
      <c r="L20" s="72">
        <f t="shared" si="21"/>
        <v>0</v>
      </c>
      <c r="M20" s="72">
        <f t="shared" si="22"/>
        <v>0</v>
      </c>
      <c r="N20" s="72">
        <f t="shared" si="23"/>
        <v>0</v>
      </c>
      <c r="O20" s="72">
        <f t="shared" si="24"/>
        <v>0</v>
      </c>
      <c r="P20" s="72">
        <f t="shared" si="25"/>
        <v>0</v>
      </c>
      <c r="Q20" s="72">
        <f t="shared" si="26"/>
        <v>0</v>
      </c>
      <c r="R20" s="72">
        <f t="shared" si="27"/>
        <v>32.39</v>
      </c>
      <c r="S20" s="72">
        <f t="shared" si="28"/>
        <v>0</v>
      </c>
      <c r="T20" s="72">
        <f t="shared" si="29"/>
        <v>0</v>
      </c>
      <c r="U20" s="72">
        <f t="shared" si="30"/>
        <v>0</v>
      </c>
      <c r="V20" s="72">
        <f t="shared" si="5"/>
        <v>0</v>
      </c>
      <c r="W20" s="72">
        <f t="shared" si="5"/>
        <v>0</v>
      </c>
      <c r="X20" s="72">
        <f t="shared" si="5"/>
        <v>0</v>
      </c>
      <c r="Z20" s="72">
        <f t="shared" si="6"/>
        <v>0</v>
      </c>
      <c r="AA20" s="72">
        <f t="shared" si="7"/>
        <v>0</v>
      </c>
      <c r="AB20" s="72">
        <f t="shared" si="8"/>
        <v>0</v>
      </c>
      <c r="AC20" s="72">
        <f t="shared" si="9"/>
        <v>0</v>
      </c>
      <c r="AD20" s="72">
        <f t="shared" si="10"/>
        <v>0</v>
      </c>
      <c r="AE20" s="72">
        <f t="shared" si="11"/>
        <v>0</v>
      </c>
      <c r="AF20" s="72">
        <f t="shared" si="12"/>
        <v>0</v>
      </c>
      <c r="AG20" s="72">
        <f t="shared" si="13"/>
        <v>0</v>
      </c>
      <c r="AH20" s="72">
        <f t="shared" si="14"/>
        <v>0</v>
      </c>
      <c r="AI20" s="72">
        <f t="shared" si="15"/>
        <v>0</v>
      </c>
      <c r="AJ20" s="72">
        <f t="shared" si="16"/>
        <v>0</v>
      </c>
      <c r="AK20" s="72">
        <f t="shared" si="17"/>
        <v>0</v>
      </c>
      <c r="AL20" s="72">
        <f t="shared" si="18"/>
        <v>0</v>
      </c>
      <c r="AM20" s="72">
        <f t="shared" si="18"/>
        <v>0</v>
      </c>
      <c r="AN20" s="72">
        <f t="shared" si="18"/>
        <v>0</v>
      </c>
    </row>
    <row r="21" spans="2:52">
      <c r="B21" s="60">
        <v>45011</v>
      </c>
      <c r="C21" s="62" t="s">
        <v>339</v>
      </c>
      <c r="D21" s="79" t="s">
        <v>53</v>
      </c>
      <c r="E21" s="56">
        <v>136.05000000000001</v>
      </c>
      <c r="F21" s="76" t="s">
        <v>66</v>
      </c>
      <c r="G21" s="77">
        <f t="shared" si="34"/>
        <v>68.025000000000006</v>
      </c>
      <c r="H21" s="78">
        <f t="shared" si="35"/>
        <v>68.025000000000006</v>
      </c>
      <c r="I21" s="481"/>
      <c r="J21" s="72">
        <f t="shared" si="19"/>
        <v>0</v>
      </c>
      <c r="K21" s="72">
        <f t="shared" si="20"/>
        <v>0</v>
      </c>
      <c r="L21" s="72">
        <f t="shared" si="21"/>
        <v>0</v>
      </c>
      <c r="M21" s="72">
        <f t="shared" si="22"/>
        <v>0</v>
      </c>
      <c r="N21" s="72">
        <f t="shared" si="23"/>
        <v>0</v>
      </c>
      <c r="O21" s="72">
        <f t="shared" si="24"/>
        <v>68.025000000000006</v>
      </c>
      <c r="P21" s="72">
        <f t="shared" si="25"/>
        <v>0</v>
      </c>
      <c r="Q21" s="72">
        <f t="shared" si="26"/>
        <v>0</v>
      </c>
      <c r="R21" s="72">
        <f t="shared" si="27"/>
        <v>0</v>
      </c>
      <c r="S21" s="72">
        <f t="shared" si="28"/>
        <v>0</v>
      </c>
      <c r="T21" s="72">
        <f t="shared" si="29"/>
        <v>0</v>
      </c>
      <c r="U21" s="72">
        <f t="shared" si="30"/>
        <v>0</v>
      </c>
      <c r="V21" s="72">
        <f t="shared" si="5"/>
        <v>0</v>
      </c>
      <c r="W21" s="72">
        <f t="shared" si="5"/>
        <v>0</v>
      </c>
      <c r="X21" s="72">
        <f t="shared" si="5"/>
        <v>0</v>
      </c>
      <c r="Z21" s="72">
        <f t="shared" si="6"/>
        <v>0</v>
      </c>
      <c r="AA21" s="72">
        <f t="shared" si="7"/>
        <v>0</v>
      </c>
      <c r="AB21" s="72">
        <f t="shared" si="8"/>
        <v>0</v>
      </c>
      <c r="AC21" s="72">
        <f t="shared" si="9"/>
        <v>0</v>
      </c>
      <c r="AD21" s="72">
        <f t="shared" si="10"/>
        <v>0</v>
      </c>
      <c r="AE21" s="72">
        <f t="shared" si="11"/>
        <v>68.025000000000006</v>
      </c>
      <c r="AF21" s="72">
        <f t="shared" si="12"/>
        <v>0</v>
      </c>
      <c r="AG21" s="72">
        <f t="shared" si="13"/>
        <v>0</v>
      </c>
      <c r="AH21" s="72">
        <f t="shared" si="14"/>
        <v>0</v>
      </c>
      <c r="AI21" s="72">
        <f t="shared" si="15"/>
        <v>0</v>
      </c>
      <c r="AJ21" s="72">
        <f t="shared" si="16"/>
        <v>0</v>
      </c>
      <c r="AK21" s="72">
        <f t="shared" si="17"/>
        <v>0</v>
      </c>
      <c r="AL21" s="72">
        <f t="shared" si="18"/>
        <v>0</v>
      </c>
      <c r="AM21" s="72">
        <f t="shared" si="18"/>
        <v>0</v>
      </c>
      <c r="AN21" s="72">
        <f t="shared" si="18"/>
        <v>0</v>
      </c>
    </row>
    <row r="22" spans="2:52">
      <c r="B22" s="60">
        <v>45011</v>
      </c>
      <c r="C22" s="62" t="s">
        <v>340</v>
      </c>
      <c r="D22" s="79" t="s">
        <v>36</v>
      </c>
      <c r="E22" s="56">
        <v>70</v>
      </c>
      <c r="F22" s="76" t="s">
        <v>66</v>
      </c>
      <c r="G22" s="77">
        <f t="shared" si="34"/>
        <v>35</v>
      </c>
      <c r="H22" s="78">
        <f t="shared" si="35"/>
        <v>35</v>
      </c>
      <c r="I22" s="482"/>
      <c r="J22" s="72">
        <f t="shared" si="19"/>
        <v>0</v>
      </c>
      <c r="K22" s="72">
        <f t="shared" si="20"/>
        <v>0</v>
      </c>
      <c r="L22" s="72">
        <f t="shared" si="21"/>
        <v>0</v>
      </c>
      <c r="M22" s="72">
        <f t="shared" si="22"/>
        <v>35</v>
      </c>
      <c r="N22" s="72">
        <f t="shared" si="23"/>
        <v>0</v>
      </c>
      <c r="O22" s="72">
        <f t="shared" si="24"/>
        <v>0</v>
      </c>
      <c r="P22" s="72">
        <f t="shared" si="25"/>
        <v>0</v>
      </c>
      <c r="Q22" s="72">
        <f t="shared" si="26"/>
        <v>0</v>
      </c>
      <c r="R22" s="72">
        <f t="shared" si="27"/>
        <v>0</v>
      </c>
      <c r="S22" s="72">
        <f t="shared" si="28"/>
        <v>0</v>
      </c>
      <c r="T22" s="72">
        <f t="shared" si="29"/>
        <v>0</v>
      </c>
      <c r="U22" s="72">
        <f t="shared" si="30"/>
        <v>0</v>
      </c>
      <c r="V22" s="72">
        <f t="shared" si="5"/>
        <v>0</v>
      </c>
      <c r="W22" s="72">
        <f t="shared" si="5"/>
        <v>0</v>
      </c>
      <c r="X22" s="72">
        <f t="shared" si="5"/>
        <v>0</v>
      </c>
      <c r="Y22" s="61"/>
      <c r="Z22" s="72">
        <f t="shared" si="6"/>
        <v>0</v>
      </c>
      <c r="AA22" s="72">
        <f t="shared" si="7"/>
        <v>0</v>
      </c>
      <c r="AB22" s="72">
        <f t="shared" si="8"/>
        <v>0</v>
      </c>
      <c r="AC22" s="72">
        <f t="shared" si="9"/>
        <v>35</v>
      </c>
      <c r="AD22" s="72">
        <f t="shared" si="10"/>
        <v>0</v>
      </c>
      <c r="AE22" s="72">
        <f t="shared" si="11"/>
        <v>0</v>
      </c>
      <c r="AF22" s="72">
        <f t="shared" si="12"/>
        <v>0</v>
      </c>
      <c r="AG22" s="72">
        <f t="shared" si="13"/>
        <v>0</v>
      </c>
      <c r="AH22" s="72">
        <f t="shared" si="14"/>
        <v>0</v>
      </c>
      <c r="AI22" s="72">
        <f t="shared" si="15"/>
        <v>0</v>
      </c>
      <c r="AJ22" s="72">
        <f t="shared" si="16"/>
        <v>0</v>
      </c>
      <c r="AK22" s="72">
        <f t="shared" si="17"/>
        <v>0</v>
      </c>
      <c r="AL22" s="72">
        <f t="shared" si="18"/>
        <v>0</v>
      </c>
      <c r="AM22" s="72">
        <f t="shared" si="18"/>
        <v>0</v>
      </c>
      <c r="AN22" s="72">
        <f t="shared" si="18"/>
        <v>0</v>
      </c>
      <c r="AO22" s="61"/>
      <c r="AP22" s="61"/>
    </row>
    <row r="23" spans="2:52" ht="17.25" thickBot="1">
      <c r="B23" s="60">
        <v>45011</v>
      </c>
      <c r="C23" s="62" t="s">
        <v>341</v>
      </c>
      <c r="D23" s="79" t="s">
        <v>56</v>
      </c>
      <c r="E23" s="56">
        <v>81.8</v>
      </c>
      <c r="F23" s="76" t="s">
        <v>66</v>
      </c>
      <c r="G23" s="77">
        <f t="shared" si="34"/>
        <v>40.9</v>
      </c>
      <c r="H23" s="78">
        <f t="shared" si="35"/>
        <v>40.9</v>
      </c>
      <c r="I23" s="481"/>
      <c r="J23" s="72">
        <f t="shared" si="19"/>
        <v>0</v>
      </c>
      <c r="K23" s="72">
        <f t="shared" si="20"/>
        <v>0</v>
      </c>
      <c r="L23" s="72">
        <f t="shared" si="21"/>
        <v>0</v>
      </c>
      <c r="M23" s="72">
        <f t="shared" si="22"/>
        <v>0</v>
      </c>
      <c r="N23" s="72">
        <f t="shared" si="23"/>
        <v>40.9</v>
      </c>
      <c r="O23" s="72">
        <f t="shared" si="24"/>
        <v>0</v>
      </c>
      <c r="P23" s="72">
        <f t="shared" si="25"/>
        <v>0</v>
      </c>
      <c r="Q23" s="72">
        <f t="shared" si="26"/>
        <v>0</v>
      </c>
      <c r="R23" s="72">
        <f t="shared" si="27"/>
        <v>0</v>
      </c>
      <c r="S23" s="72">
        <f t="shared" si="28"/>
        <v>0</v>
      </c>
      <c r="T23" s="72">
        <f t="shared" si="29"/>
        <v>0</v>
      </c>
      <c r="U23" s="72">
        <f t="shared" si="30"/>
        <v>0</v>
      </c>
      <c r="V23" s="72">
        <f t="shared" si="5"/>
        <v>0</v>
      </c>
      <c r="W23" s="72">
        <f t="shared" si="5"/>
        <v>0</v>
      </c>
      <c r="X23" s="72">
        <f t="shared" si="5"/>
        <v>0</v>
      </c>
      <c r="Z23" s="72">
        <f t="shared" si="6"/>
        <v>0</v>
      </c>
      <c r="AA23" s="72">
        <f t="shared" si="7"/>
        <v>0</v>
      </c>
      <c r="AB23" s="72">
        <f t="shared" si="8"/>
        <v>0</v>
      </c>
      <c r="AC23" s="72">
        <f t="shared" si="9"/>
        <v>0</v>
      </c>
      <c r="AD23" s="72">
        <f t="shared" si="10"/>
        <v>40.9</v>
      </c>
      <c r="AE23" s="72">
        <f t="shared" si="11"/>
        <v>0</v>
      </c>
      <c r="AF23" s="72">
        <f t="shared" si="12"/>
        <v>0</v>
      </c>
      <c r="AG23" s="72">
        <f t="shared" si="13"/>
        <v>0</v>
      </c>
      <c r="AH23" s="72">
        <f t="shared" si="14"/>
        <v>0</v>
      </c>
      <c r="AI23" s="72">
        <f t="shared" si="15"/>
        <v>0</v>
      </c>
      <c r="AJ23" s="72">
        <f t="shared" si="16"/>
        <v>0</v>
      </c>
      <c r="AK23" s="72">
        <f t="shared" si="17"/>
        <v>0</v>
      </c>
      <c r="AL23" s="72">
        <f t="shared" si="18"/>
        <v>0</v>
      </c>
      <c r="AM23" s="72">
        <f t="shared" si="18"/>
        <v>0</v>
      </c>
      <c r="AN23" s="72">
        <f t="shared" si="18"/>
        <v>0</v>
      </c>
      <c r="AV23" s="864" t="s">
        <v>134</v>
      </c>
      <c r="AW23" s="864"/>
      <c r="AY23" s="866" t="s">
        <v>133</v>
      </c>
      <c r="AZ23" s="866"/>
    </row>
    <row r="24" spans="2:52">
      <c r="B24" s="871" t="s">
        <v>267</v>
      </c>
      <c r="C24" s="872"/>
      <c r="D24" s="872"/>
      <c r="E24" s="872"/>
      <c r="F24" s="872"/>
      <c r="G24" s="872"/>
      <c r="H24" s="873"/>
      <c r="I24" s="481"/>
      <c r="J24" s="72">
        <f>IF($D24="ALIMENTAÇÃO",$H24,0)</f>
        <v>0</v>
      </c>
      <c r="K24" s="72">
        <f>IF($D24="ANIMAIS",$H24,0)</f>
        <v>0</v>
      </c>
      <c r="L24" s="72">
        <f>IF($D24="FILHO",$H24,0)</f>
        <v>0</v>
      </c>
      <c r="M24" s="72">
        <f>IF($D24="GASOLINA",$H24,0)</f>
        <v>0</v>
      </c>
      <c r="N24" s="72">
        <f>IF($D24="LAZER",$H24,0)</f>
        <v>0</v>
      </c>
      <c r="O24" s="72">
        <f>IF($D24="MANUT. IMÓVEL",$H24,0)</f>
        <v>0</v>
      </c>
      <c r="P24" s="72">
        <f>IF($D24="MANUT. VEICULAR",$H24,0)</f>
        <v>0</v>
      </c>
      <c r="Q24" s="72">
        <f>IF($D24="MÓVEIS",$H24,0)</f>
        <v>0</v>
      </c>
      <c r="R24" s="72">
        <f>IF($D24="OUTROS",$H24,0)</f>
        <v>0</v>
      </c>
      <c r="S24" s="72">
        <f>IF($D24="PLANOS",$H24,0)</f>
        <v>0</v>
      </c>
      <c r="T24" s="72">
        <f>IF($D24="SAÚDE",$H24,0)</f>
        <v>0</v>
      </c>
      <c r="U24" s="72">
        <f>IF($D24="TRANSPORTE",$H24,0)</f>
        <v>0</v>
      </c>
      <c r="V24" s="72">
        <f>IF($D24=V$2,$H24,0)</f>
        <v>0</v>
      </c>
      <c r="W24" s="72">
        <f>IF($D24=W$2,$H24,0)</f>
        <v>0</v>
      </c>
      <c r="X24" s="72">
        <f>IF($D24=X$2,$H24,0)</f>
        <v>0</v>
      </c>
      <c r="Z24" s="72">
        <f>IF($D24="ALIMENTAÇÃO",$G24,0)</f>
        <v>0</v>
      </c>
      <c r="AA24" s="72">
        <f>IF($D24="ANIMAIS",$G24,0)</f>
        <v>0</v>
      </c>
      <c r="AB24" s="72">
        <f>IF($D24="FILHO",$G24,0)</f>
        <v>0</v>
      </c>
      <c r="AC24" s="72">
        <f>IF($D24="GASOLINA",$G24,0)</f>
        <v>0</v>
      </c>
      <c r="AD24" s="72">
        <f>IF($D24="LAZER",$G24,0)</f>
        <v>0</v>
      </c>
      <c r="AE24" s="72">
        <f>IF($D24="MANUT. IMÓVEL",$G24,0)</f>
        <v>0</v>
      </c>
      <c r="AF24" s="72">
        <f>IF($D24="MANUT. VEICULAR",$G24,0)</f>
        <v>0</v>
      </c>
      <c r="AG24" s="72">
        <f>IF($D24="MÓVEIS",$G24,0)</f>
        <v>0</v>
      </c>
      <c r="AH24" s="72">
        <f>IF($D24="OUTROS",$G24,0)</f>
        <v>0</v>
      </c>
      <c r="AI24" s="72">
        <f>IF($D24="PLANOS",$G24,0)</f>
        <v>0</v>
      </c>
      <c r="AJ24" s="72">
        <f>IF($D24="SAÚDE",$G24,0)</f>
        <v>0</v>
      </c>
      <c r="AK24" s="72">
        <f>IF($D24="TRANSPORTE",$G24,0)</f>
        <v>0</v>
      </c>
      <c r="AL24" s="72">
        <f>IF($D24=AL$2,$G24,0)</f>
        <v>0</v>
      </c>
      <c r="AM24" s="72">
        <f>IF($D24=AM$2,$G24,0)</f>
        <v>0</v>
      </c>
      <c r="AN24" s="72">
        <f>IF($D24=AN$2,$G24,0)</f>
        <v>0</v>
      </c>
      <c r="AP24" s="491"/>
      <c r="AQ24" s="487" t="s">
        <v>350</v>
      </c>
      <c r="AR24" s="494">
        <f>AR17</f>
        <v>2019.2099999999998</v>
      </c>
      <c r="AV24" s="112" t="s">
        <v>75</v>
      </c>
      <c r="AW24" s="1">
        <v>0</v>
      </c>
      <c r="AY24" s="502" t="s">
        <v>130</v>
      </c>
      <c r="AZ24" s="503">
        <f>AS17</f>
        <v>657.32333333333327</v>
      </c>
    </row>
    <row r="25" spans="2:52">
      <c r="B25" s="874"/>
      <c r="C25" s="875"/>
      <c r="D25" s="875"/>
      <c r="E25" s="875"/>
      <c r="F25" s="875"/>
      <c r="G25" s="875"/>
      <c r="H25" s="876"/>
      <c r="I25" s="481"/>
      <c r="J25" s="72">
        <f t="shared" si="19"/>
        <v>0</v>
      </c>
      <c r="K25" s="72">
        <f t="shared" si="20"/>
        <v>0</v>
      </c>
      <c r="L25" s="72">
        <f t="shared" si="21"/>
        <v>0</v>
      </c>
      <c r="M25" s="72">
        <f t="shared" si="22"/>
        <v>0</v>
      </c>
      <c r="N25" s="72">
        <f t="shared" si="23"/>
        <v>0</v>
      </c>
      <c r="O25" s="72">
        <f t="shared" si="24"/>
        <v>0</v>
      </c>
      <c r="P25" s="72">
        <f t="shared" si="25"/>
        <v>0</v>
      </c>
      <c r="Q25" s="72">
        <f t="shared" si="26"/>
        <v>0</v>
      </c>
      <c r="R25" s="72">
        <f t="shared" si="27"/>
        <v>0</v>
      </c>
      <c r="S25" s="72">
        <f t="shared" si="28"/>
        <v>0</v>
      </c>
      <c r="T25" s="72">
        <f t="shared" si="29"/>
        <v>0</v>
      </c>
      <c r="U25" s="72">
        <f t="shared" si="30"/>
        <v>0</v>
      </c>
      <c r="V25" s="72">
        <f t="shared" si="5"/>
        <v>0</v>
      </c>
      <c r="W25" s="72">
        <f t="shared" si="5"/>
        <v>0</v>
      </c>
      <c r="X25" s="72">
        <f t="shared" si="5"/>
        <v>0</v>
      </c>
      <c r="Z25" s="72">
        <f t="shared" si="6"/>
        <v>0</v>
      </c>
      <c r="AA25" s="72">
        <f t="shared" si="7"/>
        <v>0</v>
      </c>
      <c r="AB25" s="72">
        <f t="shared" si="8"/>
        <v>0</v>
      </c>
      <c r="AC25" s="72">
        <f t="shared" si="9"/>
        <v>0</v>
      </c>
      <c r="AD25" s="72">
        <f t="shared" si="10"/>
        <v>0</v>
      </c>
      <c r="AE25" s="72">
        <f t="shared" si="11"/>
        <v>0</v>
      </c>
      <c r="AF25" s="72">
        <f t="shared" si="12"/>
        <v>0</v>
      </c>
      <c r="AG25" s="72">
        <f t="shared" si="13"/>
        <v>0</v>
      </c>
      <c r="AH25" s="72">
        <f t="shared" si="14"/>
        <v>0</v>
      </c>
      <c r="AI25" s="72">
        <f t="shared" si="15"/>
        <v>0</v>
      </c>
      <c r="AJ25" s="72">
        <f t="shared" si="16"/>
        <v>0</v>
      </c>
      <c r="AK25" s="72">
        <f t="shared" si="17"/>
        <v>0</v>
      </c>
      <c r="AL25" s="72">
        <f t="shared" si="18"/>
        <v>0</v>
      </c>
      <c r="AM25" s="72">
        <f t="shared" si="18"/>
        <v>0</v>
      </c>
      <c r="AN25" s="72">
        <f t="shared" si="18"/>
        <v>0</v>
      </c>
      <c r="AP25" s="492"/>
      <c r="AQ25" s="488" t="s">
        <v>349</v>
      </c>
      <c r="AR25" s="501">
        <f>SUM(AV3:AV7)</f>
        <v>585.04999999999995</v>
      </c>
      <c r="AS25" s="869" t="s">
        <v>356</v>
      </c>
      <c r="AT25" s="870"/>
      <c r="AV25" s="112" t="s">
        <v>76</v>
      </c>
      <c r="AW25" s="1">
        <v>224.39</v>
      </c>
      <c r="AY25" s="502" t="s">
        <v>131</v>
      </c>
      <c r="AZ25" s="504">
        <f>AR27</f>
        <v>421.73</v>
      </c>
    </row>
    <row r="26" spans="2:52">
      <c r="B26" s="874"/>
      <c r="C26" s="875"/>
      <c r="D26" s="875"/>
      <c r="E26" s="875"/>
      <c r="F26" s="875"/>
      <c r="G26" s="875"/>
      <c r="H26" s="876"/>
      <c r="I26" s="481"/>
      <c r="J26" s="72">
        <f t="shared" si="19"/>
        <v>0</v>
      </c>
      <c r="K26" s="72">
        <f t="shared" si="20"/>
        <v>0</v>
      </c>
      <c r="L26" s="72">
        <f t="shared" si="21"/>
        <v>0</v>
      </c>
      <c r="M26" s="72">
        <f t="shared" si="22"/>
        <v>0</v>
      </c>
      <c r="N26" s="72">
        <f t="shared" si="23"/>
        <v>0</v>
      </c>
      <c r="O26" s="72">
        <f t="shared" si="24"/>
        <v>0</v>
      </c>
      <c r="P26" s="72">
        <f t="shared" si="25"/>
        <v>0</v>
      </c>
      <c r="Q26" s="72">
        <f t="shared" si="26"/>
        <v>0</v>
      </c>
      <c r="R26" s="72">
        <f t="shared" si="27"/>
        <v>0</v>
      </c>
      <c r="S26" s="72">
        <f t="shared" si="28"/>
        <v>0</v>
      </c>
      <c r="T26" s="72">
        <f t="shared" si="29"/>
        <v>0</v>
      </c>
      <c r="U26" s="72">
        <f t="shared" si="30"/>
        <v>0</v>
      </c>
      <c r="V26" s="72">
        <f t="shared" si="5"/>
        <v>0</v>
      </c>
      <c r="W26" s="72">
        <f t="shared" si="5"/>
        <v>0</v>
      </c>
      <c r="X26" s="72">
        <f t="shared" si="5"/>
        <v>0</v>
      </c>
      <c r="Z26" s="72">
        <f t="shared" si="6"/>
        <v>0</v>
      </c>
      <c r="AA26" s="72">
        <f t="shared" si="7"/>
        <v>0</v>
      </c>
      <c r="AB26" s="72">
        <f t="shared" si="8"/>
        <v>0</v>
      </c>
      <c r="AC26" s="72">
        <f t="shared" si="9"/>
        <v>0</v>
      </c>
      <c r="AD26" s="72">
        <f t="shared" si="10"/>
        <v>0</v>
      </c>
      <c r="AE26" s="72">
        <f t="shared" si="11"/>
        <v>0</v>
      </c>
      <c r="AF26" s="72">
        <f t="shared" si="12"/>
        <v>0</v>
      </c>
      <c r="AG26" s="72">
        <f t="shared" si="13"/>
        <v>0</v>
      </c>
      <c r="AH26" s="72">
        <f t="shared" si="14"/>
        <v>0</v>
      </c>
      <c r="AI26" s="72">
        <f t="shared" si="15"/>
        <v>0</v>
      </c>
      <c r="AJ26" s="72">
        <f t="shared" si="16"/>
        <v>0</v>
      </c>
      <c r="AK26" s="72">
        <f t="shared" si="17"/>
        <v>0</v>
      </c>
      <c r="AL26" s="72">
        <f t="shared" si="18"/>
        <v>0</v>
      </c>
      <c r="AM26" s="72">
        <f t="shared" si="18"/>
        <v>0</v>
      </c>
      <c r="AN26" s="72">
        <f t="shared" si="18"/>
        <v>0</v>
      </c>
      <c r="AP26" s="492"/>
      <c r="AQ26" s="488" t="s">
        <v>353</v>
      </c>
      <c r="AR26" s="495">
        <f>AR24-AR25</f>
        <v>1434.1599999999999</v>
      </c>
      <c r="AV26" s="112" t="s">
        <v>77</v>
      </c>
      <c r="AW26" s="1">
        <v>700</v>
      </c>
      <c r="AY26" s="502" t="s">
        <v>134</v>
      </c>
      <c r="AZ26" s="505">
        <f>AW31</f>
        <v>601.125</v>
      </c>
    </row>
    <row r="27" spans="2:52">
      <c r="B27" s="874"/>
      <c r="C27" s="875"/>
      <c r="D27" s="875"/>
      <c r="E27" s="875"/>
      <c r="F27" s="875"/>
      <c r="G27" s="875"/>
      <c r="H27" s="876"/>
      <c r="I27" s="481"/>
      <c r="J27" s="72">
        <f t="shared" si="19"/>
        <v>0</v>
      </c>
      <c r="K27" s="72">
        <f t="shared" si="20"/>
        <v>0</v>
      </c>
      <c r="L27" s="72">
        <f t="shared" si="21"/>
        <v>0</v>
      </c>
      <c r="M27" s="72">
        <f t="shared" si="22"/>
        <v>0</v>
      </c>
      <c r="N27" s="72">
        <f t="shared" si="23"/>
        <v>0</v>
      </c>
      <c r="O27" s="72">
        <f t="shared" si="24"/>
        <v>0</v>
      </c>
      <c r="P27" s="72">
        <f t="shared" si="25"/>
        <v>0</v>
      </c>
      <c r="Q27" s="72">
        <f t="shared" si="26"/>
        <v>0</v>
      </c>
      <c r="R27" s="72">
        <f t="shared" si="27"/>
        <v>0</v>
      </c>
      <c r="S27" s="72">
        <f t="shared" si="28"/>
        <v>0</v>
      </c>
      <c r="T27" s="72">
        <f t="shared" si="29"/>
        <v>0</v>
      </c>
      <c r="U27" s="72">
        <f t="shared" si="30"/>
        <v>0</v>
      </c>
      <c r="V27" s="72">
        <f t="shared" si="5"/>
        <v>0</v>
      </c>
      <c r="W27" s="72">
        <f t="shared" si="5"/>
        <v>0</v>
      </c>
      <c r="X27" s="72">
        <f t="shared" si="5"/>
        <v>0</v>
      </c>
      <c r="Z27" s="72">
        <f t="shared" si="6"/>
        <v>0</v>
      </c>
      <c r="AA27" s="72">
        <f t="shared" si="7"/>
        <v>0</v>
      </c>
      <c r="AB27" s="72">
        <f t="shared" si="8"/>
        <v>0</v>
      </c>
      <c r="AC27" s="72">
        <f t="shared" si="9"/>
        <v>0</v>
      </c>
      <c r="AD27" s="72">
        <f t="shared" si="10"/>
        <v>0</v>
      </c>
      <c r="AE27" s="72">
        <f t="shared" si="11"/>
        <v>0</v>
      </c>
      <c r="AF27" s="72">
        <f t="shared" si="12"/>
        <v>0</v>
      </c>
      <c r="AG27" s="72">
        <f t="shared" si="13"/>
        <v>0</v>
      </c>
      <c r="AH27" s="72">
        <f t="shared" si="14"/>
        <v>0</v>
      </c>
      <c r="AI27" s="72">
        <f t="shared" si="15"/>
        <v>0</v>
      </c>
      <c r="AJ27" s="72">
        <f t="shared" si="16"/>
        <v>0</v>
      </c>
      <c r="AK27" s="72">
        <f t="shared" si="17"/>
        <v>0</v>
      </c>
      <c r="AL27" s="72">
        <f t="shared" si="18"/>
        <v>0</v>
      </c>
      <c r="AM27" s="72">
        <f t="shared" si="18"/>
        <v>0</v>
      </c>
      <c r="AN27" s="72">
        <f t="shared" si="18"/>
        <v>0</v>
      </c>
      <c r="AP27" s="492"/>
      <c r="AQ27" s="489" t="s">
        <v>351</v>
      </c>
      <c r="AR27" s="486">
        <v>421.73</v>
      </c>
      <c r="AS27" s="867" t="s">
        <v>357</v>
      </c>
      <c r="AT27" s="868"/>
      <c r="AV27" s="112" t="s">
        <v>78</v>
      </c>
      <c r="AW27" s="54">
        <v>277.86</v>
      </c>
      <c r="AY27" s="502" t="s">
        <v>355</v>
      </c>
      <c r="AZ27" s="165">
        <f>119.8/2</f>
        <v>59.9</v>
      </c>
    </row>
    <row r="28" spans="2:52" ht="17.25" thickBot="1">
      <c r="B28" s="874"/>
      <c r="C28" s="875"/>
      <c r="D28" s="875"/>
      <c r="E28" s="875"/>
      <c r="F28" s="875"/>
      <c r="G28" s="875"/>
      <c r="H28" s="876"/>
      <c r="I28" s="481"/>
      <c r="J28" s="72">
        <f t="shared" si="19"/>
        <v>0</v>
      </c>
      <c r="K28" s="72">
        <f t="shared" si="20"/>
        <v>0</v>
      </c>
      <c r="L28" s="72">
        <f t="shared" si="21"/>
        <v>0</v>
      </c>
      <c r="M28" s="72">
        <f t="shared" si="22"/>
        <v>0</v>
      </c>
      <c r="N28" s="72">
        <f t="shared" si="23"/>
        <v>0</v>
      </c>
      <c r="O28" s="72">
        <f t="shared" si="24"/>
        <v>0</v>
      </c>
      <c r="P28" s="72">
        <f t="shared" si="25"/>
        <v>0</v>
      </c>
      <c r="Q28" s="72">
        <f t="shared" si="26"/>
        <v>0</v>
      </c>
      <c r="R28" s="72">
        <f t="shared" si="27"/>
        <v>0</v>
      </c>
      <c r="S28" s="72">
        <f t="shared" si="28"/>
        <v>0</v>
      </c>
      <c r="T28" s="72">
        <f t="shared" si="29"/>
        <v>0</v>
      </c>
      <c r="U28" s="72">
        <f t="shared" si="30"/>
        <v>0</v>
      </c>
      <c r="V28" s="72">
        <f t="shared" si="5"/>
        <v>0</v>
      </c>
      <c r="W28" s="72">
        <f t="shared" si="5"/>
        <v>0</v>
      </c>
      <c r="X28" s="72">
        <f t="shared" si="5"/>
        <v>0</v>
      </c>
      <c r="Z28" s="72">
        <f t="shared" si="6"/>
        <v>0</v>
      </c>
      <c r="AA28" s="72">
        <f t="shared" si="7"/>
        <v>0</v>
      </c>
      <c r="AB28" s="72">
        <f t="shared" si="8"/>
        <v>0</v>
      </c>
      <c r="AC28" s="72">
        <f t="shared" si="9"/>
        <v>0</v>
      </c>
      <c r="AD28" s="72">
        <f t="shared" si="10"/>
        <v>0</v>
      </c>
      <c r="AE28" s="72">
        <f t="shared" si="11"/>
        <v>0</v>
      </c>
      <c r="AF28" s="72">
        <f t="shared" si="12"/>
        <v>0</v>
      </c>
      <c r="AG28" s="72">
        <f t="shared" si="13"/>
        <v>0</v>
      </c>
      <c r="AH28" s="72">
        <f t="shared" si="14"/>
        <v>0</v>
      </c>
      <c r="AI28" s="72">
        <f t="shared" si="15"/>
        <v>0</v>
      </c>
      <c r="AJ28" s="72">
        <f t="shared" si="16"/>
        <v>0</v>
      </c>
      <c r="AK28" s="72">
        <f t="shared" si="17"/>
        <v>0</v>
      </c>
      <c r="AL28" s="72">
        <f t="shared" si="18"/>
        <v>0</v>
      </c>
      <c r="AM28" s="72">
        <f t="shared" si="18"/>
        <v>0</v>
      </c>
      <c r="AN28" s="72">
        <f t="shared" si="18"/>
        <v>0</v>
      </c>
      <c r="AP28" s="493"/>
      <c r="AQ28" s="490" t="s">
        <v>352</v>
      </c>
      <c r="AR28" s="500">
        <f>AR27+AR26</f>
        <v>1855.8899999999999</v>
      </c>
      <c r="AS28" s="867"/>
      <c r="AT28" s="868"/>
      <c r="AV28" s="112" t="s">
        <v>45</v>
      </c>
      <c r="AW28" s="1">
        <f>+SUM(AW24:AW27)</f>
        <v>1202.25</v>
      </c>
      <c r="AY28" s="502" t="s">
        <v>45</v>
      </c>
      <c r="AZ28" s="166">
        <f>AZ24+AZ25+AZ26-AZ27</f>
        <v>1620.2783333333332</v>
      </c>
    </row>
    <row r="29" spans="2:52">
      <c r="B29" s="874"/>
      <c r="C29" s="875"/>
      <c r="D29" s="875"/>
      <c r="E29" s="875"/>
      <c r="F29" s="875"/>
      <c r="G29" s="875"/>
      <c r="H29" s="876"/>
      <c r="I29" s="481"/>
      <c r="J29" s="72">
        <f t="shared" si="19"/>
        <v>0</v>
      </c>
      <c r="K29" s="72">
        <f t="shared" si="20"/>
        <v>0</v>
      </c>
      <c r="L29" s="72">
        <f t="shared" si="21"/>
        <v>0</v>
      </c>
      <c r="M29" s="72">
        <f t="shared" si="22"/>
        <v>0</v>
      </c>
      <c r="N29" s="72">
        <f t="shared" si="23"/>
        <v>0</v>
      </c>
      <c r="O29" s="72">
        <f t="shared" si="24"/>
        <v>0</v>
      </c>
      <c r="P29" s="72">
        <f t="shared" si="25"/>
        <v>0</v>
      </c>
      <c r="Q29" s="72">
        <f t="shared" si="26"/>
        <v>0</v>
      </c>
      <c r="R29" s="72">
        <f t="shared" si="27"/>
        <v>0</v>
      </c>
      <c r="S29" s="72">
        <f t="shared" si="28"/>
        <v>0</v>
      </c>
      <c r="T29" s="72">
        <f t="shared" si="29"/>
        <v>0</v>
      </c>
      <c r="U29" s="72">
        <f t="shared" si="30"/>
        <v>0</v>
      </c>
      <c r="V29" s="72">
        <f t="shared" si="5"/>
        <v>0</v>
      </c>
      <c r="W29" s="72">
        <f t="shared" si="5"/>
        <v>0</v>
      </c>
      <c r="X29" s="72">
        <f t="shared" si="5"/>
        <v>0</v>
      </c>
      <c r="Z29" s="72">
        <f t="shared" si="6"/>
        <v>0</v>
      </c>
      <c r="AA29" s="72">
        <f t="shared" si="7"/>
        <v>0</v>
      </c>
      <c r="AB29" s="72">
        <f t="shared" si="8"/>
        <v>0</v>
      </c>
      <c r="AC29" s="72">
        <f t="shared" si="9"/>
        <v>0</v>
      </c>
      <c r="AD29" s="72">
        <f t="shared" si="10"/>
        <v>0</v>
      </c>
      <c r="AE29" s="72">
        <f t="shared" si="11"/>
        <v>0</v>
      </c>
      <c r="AF29" s="72">
        <f t="shared" si="12"/>
        <v>0</v>
      </c>
      <c r="AG29" s="72">
        <f t="shared" si="13"/>
        <v>0</v>
      </c>
      <c r="AH29" s="72">
        <f t="shared" si="14"/>
        <v>0</v>
      </c>
      <c r="AI29" s="72">
        <f t="shared" si="15"/>
        <v>0</v>
      </c>
      <c r="AJ29" s="72">
        <f t="shared" si="16"/>
        <v>0</v>
      </c>
      <c r="AK29" s="72">
        <f t="shared" si="17"/>
        <v>0</v>
      </c>
      <c r="AL29" s="72">
        <f t="shared" si="18"/>
        <v>0</v>
      </c>
      <c r="AM29" s="72">
        <f t="shared" si="18"/>
        <v>0</v>
      </c>
      <c r="AN29" s="72">
        <f t="shared" si="18"/>
        <v>0</v>
      </c>
      <c r="AR29" s="59"/>
      <c r="AV29" s="112"/>
      <c r="AW29" s="1"/>
    </row>
    <row r="30" spans="2:52" ht="17.25" thickBot="1">
      <c r="B30" s="874"/>
      <c r="C30" s="875"/>
      <c r="D30" s="875"/>
      <c r="E30" s="875"/>
      <c r="F30" s="875"/>
      <c r="G30" s="875"/>
      <c r="H30" s="876"/>
      <c r="I30" s="481"/>
      <c r="J30" s="72">
        <f t="shared" si="19"/>
        <v>0</v>
      </c>
      <c r="K30" s="72">
        <f t="shared" si="20"/>
        <v>0</v>
      </c>
      <c r="L30" s="72">
        <f t="shared" si="21"/>
        <v>0</v>
      </c>
      <c r="M30" s="72">
        <f t="shared" si="22"/>
        <v>0</v>
      </c>
      <c r="N30" s="72">
        <f t="shared" si="23"/>
        <v>0</v>
      </c>
      <c r="O30" s="72">
        <f t="shared" si="24"/>
        <v>0</v>
      </c>
      <c r="P30" s="72">
        <f t="shared" si="25"/>
        <v>0</v>
      </c>
      <c r="Q30" s="72">
        <f t="shared" si="26"/>
        <v>0</v>
      </c>
      <c r="R30" s="72">
        <f t="shared" si="27"/>
        <v>0</v>
      </c>
      <c r="S30" s="72">
        <f t="shared" si="28"/>
        <v>0</v>
      </c>
      <c r="T30" s="72">
        <f t="shared" si="29"/>
        <v>0</v>
      </c>
      <c r="U30" s="72">
        <f t="shared" si="30"/>
        <v>0</v>
      </c>
      <c r="V30" s="72">
        <f t="shared" si="5"/>
        <v>0</v>
      </c>
      <c r="W30" s="72">
        <f t="shared" si="5"/>
        <v>0</v>
      </c>
      <c r="X30" s="72">
        <f t="shared" si="5"/>
        <v>0</v>
      </c>
      <c r="Z30" s="72">
        <f t="shared" si="6"/>
        <v>0</v>
      </c>
      <c r="AA30" s="72">
        <f t="shared" si="7"/>
        <v>0</v>
      </c>
      <c r="AB30" s="72">
        <f t="shared" si="8"/>
        <v>0</v>
      </c>
      <c r="AC30" s="72">
        <f t="shared" si="9"/>
        <v>0</v>
      </c>
      <c r="AD30" s="72">
        <f t="shared" si="10"/>
        <v>0</v>
      </c>
      <c r="AE30" s="72">
        <f t="shared" si="11"/>
        <v>0</v>
      </c>
      <c r="AF30" s="72">
        <f t="shared" si="12"/>
        <v>0</v>
      </c>
      <c r="AG30" s="72">
        <f t="shared" si="13"/>
        <v>0</v>
      </c>
      <c r="AH30" s="72">
        <f t="shared" si="14"/>
        <v>0</v>
      </c>
      <c r="AI30" s="72">
        <f t="shared" si="15"/>
        <v>0</v>
      </c>
      <c r="AJ30" s="72">
        <f t="shared" si="16"/>
        <v>0</v>
      </c>
      <c r="AK30" s="72">
        <f t="shared" si="17"/>
        <v>0</v>
      </c>
      <c r="AL30" s="72">
        <f t="shared" si="18"/>
        <v>0</v>
      </c>
      <c r="AM30" s="72">
        <f t="shared" si="18"/>
        <v>0</v>
      </c>
      <c r="AN30" s="72">
        <f t="shared" si="18"/>
        <v>0</v>
      </c>
      <c r="AV30" s="1"/>
      <c r="AW30" s="1"/>
      <c r="AY30" s="485" t="s">
        <v>386</v>
      </c>
      <c r="AZ30" s="509">
        <f>AZ25+AZ24-AY6</f>
        <v>689.02333333333331</v>
      </c>
    </row>
    <row r="31" spans="2:52" ht="17.25" thickBot="1">
      <c r="B31" s="874"/>
      <c r="C31" s="875"/>
      <c r="D31" s="875"/>
      <c r="E31" s="875"/>
      <c r="F31" s="875"/>
      <c r="G31" s="875"/>
      <c r="H31" s="876"/>
      <c r="I31" s="481"/>
      <c r="J31" s="72">
        <f t="shared" si="19"/>
        <v>0</v>
      </c>
      <c r="K31" s="72">
        <f t="shared" si="20"/>
        <v>0</v>
      </c>
      <c r="L31" s="72">
        <f t="shared" si="21"/>
        <v>0</v>
      </c>
      <c r="M31" s="72">
        <f t="shared" si="22"/>
        <v>0</v>
      </c>
      <c r="N31" s="72">
        <f t="shared" si="23"/>
        <v>0</v>
      </c>
      <c r="O31" s="72">
        <f t="shared" si="24"/>
        <v>0</v>
      </c>
      <c r="P31" s="72">
        <f t="shared" si="25"/>
        <v>0</v>
      </c>
      <c r="Q31" s="72">
        <f t="shared" si="26"/>
        <v>0</v>
      </c>
      <c r="R31" s="72">
        <f t="shared" si="27"/>
        <v>0</v>
      </c>
      <c r="S31" s="72">
        <f t="shared" si="28"/>
        <v>0</v>
      </c>
      <c r="T31" s="72">
        <f t="shared" si="29"/>
        <v>0</v>
      </c>
      <c r="U31" s="72">
        <f t="shared" si="30"/>
        <v>0</v>
      </c>
      <c r="V31" s="72">
        <f t="shared" si="5"/>
        <v>0</v>
      </c>
      <c r="W31" s="72">
        <f t="shared" si="5"/>
        <v>0</v>
      </c>
      <c r="X31" s="72">
        <f t="shared" si="5"/>
        <v>0</v>
      </c>
      <c r="Z31" s="72">
        <f t="shared" si="6"/>
        <v>0</v>
      </c>
      <c r="AA31" s="72">
        <f t="shared" si="7"/>
        <v>0</v>
      </c>
      <c r="AB31" s="72">
        <f t="shared" si="8"/>
        <v>0</v>
      </c>
      <c r="AC31" s="72">
        <f t="shared" si="9"/>
        <v>0</v>
      </c>
      <c r="AD31" s="72">
        <f t="shared" si="10"/>
        <v>0</v>
      </c>
      <c r="AE31" s="72">
        <f t="shared" si="11"/>
        <v>0</v>
      </c>
      <c r="AF31" s="72">
        <f t="shared" si="12"/>
        <v>0</v>
      </c>
      <c r="AG31" s="72">
        <f t="shared" si="13"/>
        <v>0</v>
      </c>
      <c r="AH31" s="72">
        <f t="shared" si="14"/>
        <v>0</v>
      </c>
      <c r="AI31" s="72">
        <f t="shared" si="15"/>
        <v>0</v>
      </c>
      <c r="AJ31" s="72">
        <f t="shared" si="16"/>
        <v>0</v>
      </c>
      <c r="AK31" s="72">
        <f t="shared" si="17"/>
        <v>0</v>
      </c>
      <c r="AL31" s="72">
        <f t="shared" si="18"/>
        <v>0</v>
      </c>
      <c r="AM31" s="72">
        <f t="shared" si="18"/>
        <v>0</v>
      </c>
      <c r="AN31" s="72">
        <f t="shared" si="18"/>
        <v>0</v>
      </c>
      <c r="AQ31" s="485" t="s">
        <v>67</v>
      </c>
      <c r="AR31" s="496">
        <f>AR27+AS17</f>
        <v>1079.0533333333333</v>
      </c>
      <c r="AV31" s="112" t="s">
        <v>80</v>
      </c>
      <c r="AW31" s="113">
        <f>AW28/2</f>
        <v>601.125</v>
      </c>
    </row>
    <row r="32" spans="2:52">
      <c r="B32" s="874"/>
      <c r="C32" s="875"/>
      <c r="D32" s="875"/>
      <c r="E32" s="875"/>
      <c r="F32" s="875"/>
      <c r="G32" s="875"/>
      <c r="H32" s="876"/>
      <c r="I32" s="481"/>
      <c r="J32" s="72">
        <f t="shared" si="19"/>
        <v>0</v>
      </c>
      <c r="K32" s="72">
        <f t="shared" si="20"/>
        <v>0</v>
      </c>
      <c r="L32" s="72">
        <f t="shared" si="21"/>
        <v>0</v>
      </c>
      <c r="M32" s="72">
        <f t="shared" si="22"/>
        <v>0</v>
      </c>
      <c r="N32" s="72">
        <f t="shared" si="23"/>
        <v>0</v>
      </c>
      <c r="O32" s="72">
        <f t="shared" si="24"/>
        <v>0</v>
      </c>
      <c r="P32" s="72">
        <f t="shared" si="25"/>
        <v>0</v>
      </c>
      <c r="Q32" s="72">
        <f t="shared" si="26"/>
        <v>0</v>
      </c>
      <c r="R32" s="72">
        <f t="shared" si="27"/>
        <v>0</v>
      </c>
      <c r="S32" s="72">
        <f t="shared" si="28"/>
        <v>0</v>
      </c>
      <c r="T32" s="72">
        <f t="shared" si="29"/>
        <v>0</v>
      </c>
      <c r="U32" s="72">
        <f t="shared" si="30"/>
        <v>0</v>
      </c>
      <c r="V32" s="72">
        <f t="shared" si="5"/>
        <v>0</v>
      </c>
      <c r="W32" s="72">
        <f t="shared" si="5"/>
        <v>0</v>
      </c>
      <c r="X32" s="72">
        <f t="shared" si="5"/>
        <v>0</v>
      </c>
      <c r="Z32" s="72">
        <f t="shared" si="6"/>
        <v>0</v>
      </c>
      <c r="AA32" s="72">
        <f t="shared" si="7"/>
        <v>0</v>
      </c>
      <c r="AB32" s="72">
        <f t="shared" si="8"/>
        <v>0</v>
      </c>
      <c r="AC32" s="72">
        <f t="shared" si="9"/>
        <v>0</v>
      </c>
      <c r="AD32" s="72">
        <f t="shared" si="10"/>
        <v>0</v>
      </c>
      <c r="AE32" s="72">
        <f t="shared" si="11"/>
        <v>0</v>
      </c>
      <c r="AF32" s="72">
        <f t="shared" si="12"/>
        <v>0</v>
      </c>
      <c r="AG32" s="72">
        <f t="shared" si="13"/>
        <v>0</v>
      </c>
      <c r="AH32" s="72">
        <f t="shared" si="14"/>
        <v>0</v>
      </c>
      <c r="AI32" s="72">
        <f t="shared" si="15"/>
        <v>0</v>
      </c>
      <c r="AJ32" s="72">
        <f t="shared" si="16"/>
        <v>0</v>
      </c>
      <c r="AK32" s="72">
        <f t="shared" si="17"/>
        <v>0</v>
      </c>
      <c r="AL32" s="72">
        <f t="shared" si="18"/>
        <v>0</v>
      </c>
      <c r="AM32" s="72">
        <f t="shared" si="18"/>
        <v>0</v>
      </c>
      <c r="AN32" s="72">
        <f t="shared" si="18"/>
        <v>0</v>
      </c>
      <c r="AQ32" s="485" t="s">
        <v>65</v>
      </c>
      <c r="AR32" s="496">
        <f>AT17</f>
        <v>1361.8866666666665</v>
      </c>
      <c r="AY32" s="485" t="s">
        <v>389</v>
      </c>
      <c r="AZ32" s="509">
        <f>AT17-AY4</f>
        <v>1166.8666666666666</v>
      </c>
    </row>
    <row r="33" spans="2:52" ht="17.25" thickBot="1">
      <c r="B33" s="874"/>
      <c r="C33" s="875"/>
      <c r="D33" s="875"/>
      <c r="E33" s="875"/>
      <c r="F33" s="875"/>
      <c r="G33" s="875"/>
      <c r="H33" s="876"/>
      <c r="I33" s="481"/>
      <c r="J33" s="72">
        <f t="shared" si="19"/>
        <v>0</v>
      </c>
      <c r="K33" s="72">
        <f t="shared" si="20"/>
        <v>0</v>
      </c>
      <c r="L33" s="72">
        <f t="shared" si="21"/>
        <v>0</v>
      </c>
      <c r="M33" s="72">
        <f t="shared" si="22"/>
        <v>0</v>
      </c>
      <c r="N33" s="72">
        <f t="shared" si="23"/>
        <v>0</v>
      </c>
      <c r="O33" s="72">
        <f t="shared" si="24"/>
        <v>0</v>
      </c>
      <c r="P33" s="72">
        <f t="shared" si="25"/>
        <v>0</v>
      </c>
      <c r="Q33" s="72">
        <f t="shared" si="26"/>
        <v>0</v>
      </c>
      <c r="R33" s="72">
        <f t="shared" si="27"/>
        <v>0</v>
      </c>
      <c r="S33" s="72">
        <f t="shared" si="28"/>
        <v>0</v>
      </c>
      <c r="T33" s="72">
        <f t="shared" si="29"/>
        <v>0</v>
      </c>
      <c r="U33" s="72">
        <f t="shared" si="30"/>
        <v>0</v>
      </c>
      <c r="V33" s="72">
        <f t="shared" si="5"/>
        <v>0</v>
      </c>
      <c r="W33" s="72">
        <f t="shared" si="5"/>
        <v>0</v>
      </c>
      <c r="X33" s="72">
        <f t="shared" si="5"/>
        <v>0</v>
      </c>
      <c r="Z33" s="72">
        <f t="shared" si="6"/>
        <v>0</v>
      </c>
      <c r="AA33" s="72">
        <f t="shared" si="7"/>
        <v>0</v>
      </c>
      <c r="AB33" s="72">
        <f t="shared" si="8"/>
        <v>0</v>
      </c>
      <c r="AC33" s="72">
        <f t="shared" si="9"/>
        <v>0</v>
      </c>
      <c r="AD33" s="72">
        <f t="shared" si="10"/>
        <v>0</v>
      </c>
      <c r="AE33" s="72">
        <f t="shared" si="11"/>
        <v>0</v>
      </c>
      <c r="AF33" s="72">
        <f t="shared" si="12"/>
        <v>0</v>
      </c>
      <c r="AG33" s="72">
        <f t="shared" si="13"/>
        <v>0</v>
      </c>
      <c r="AH33" s="72">
        <f t="shared" si="14"/>
        <v>0</v>
      </c>
      <c r="AI33" s="72">
        <f t="shared" si="15"/>
        <v>0</v>
      </c>
      <c r="AJ33" s="72">
        <f t="shared" si="16"/>
        <v>0</v>
      </c>
      <c r="AK33" s="72">
        <f t="shared" si="17"/>
        <v>0</v>
      </c>
      <c r="AL33" s="72">
        <f t="shared" si="18"/>
        <v>0</v>
      </c>
      <c r="AM33" s="72">
        <f t="shared" si="18"/>
        <v>0</v>
      </c>
      <c r="AN33" s="72">
        <f t="shared" si="18"/>
        <v>0</v>
      </c>
      <c r="AR33" s="59"/>
    </row>
    <row r="34" spans="2:52" ht="17.25" thickBot="1">
      <c r="B34" s="877"/>
      <c r="C34" s="878"/>
      <c r="D34" s="878"/>
      <c r="E34" s="878"/>
      <c r="F34" s="878"/>
      <c r="G34" s="878"/>
      <c r="H34" s="879"/>
      <c r="I34" s="481"/>
      <c r="J34" s="72">
        <f t="shared" si="19"/>
        <v>0</v>
      </c>
      <c r="K34" s="72">
        <f t="shared" si="20"/>
        <v>0</v>
      </c>
      <c r="L34" s="72">
        <f t="shared" si="21"/>
        <v>0</v>
      </c>
      <c r="M34" s="72">
        <f t="shared" si="22"/>
        <v>0</v>
      </c>
      <c r="N34" s="72">
        <f t="shared" si="23"/>
        <v>0</v>
      </c>
      <c r="O34" s="72">
        <f t="shared" si="24"/>
        <v>0</v>
      </c>
      <c r="P34" s="72">
        <f t="shared" si="25"/>
        <v>0</v>
      </c>
      <c r="Q34" s="72">
        <f t="shared" si="26"/>
        <v>0</v>
      </c>
      <c r="R34" s="72">
        <f t="shared" si="27"/>
        <v>0</v>
      </c>
      <c r="S34" s="72">
        <f t="shared" si="28"/>
        <v>0</v>
      </c>
      <c r="T34" s="72">
        <f t="shared" si="29"/>
        <v>0</v>
      </c>
      <c r="U34" s="72">
        <f t="shared" si="30"/>
        <v>0</v>
      </c>
      <c r="V34" s="72">
        <f t="shared" si="5"/>
        <v>0</v>
      </c>
      <c r="W34" s="72">
        <f t="shared" si="5"/>
        <v>0</v>
      </c>
      <c r="X34" s="72">
        <f t="shared" si="5"/>
        <v>0</v>
      </c>
      <c r="Z34" s="72">
        <f t="shared" si="6"/>
        <v>0</v>
      </c>
      <c r="AA34" s="72">
        <f t="shared" si="7"/>
        <v>0</v>
      </c>
      <c r="AB34" s="72">
        <f t="shared" si="8"/>
        <v>0</v>
      </c>
      <c r="AC34" s="72">
        <f t="shared" si="9"/>
        <v>0</v>
      </c>
      <c r="AD34" s="72">
        <f t="shared" si="10"/>
        <v>0</v>
      </c>
      <c r="AE34" s="72">
        <f t="shared" si="11"/>
        <v>0</v>
      </c>
      <c r="AF34" s="72">
        <f t="shared" si="12"/>
        <v>0</v>
      </c>
      <c r="AG34" s="72">
        <f t="shared" si="13"/>
        <v>0</v>
      </c>
      <c r="AH34" s="72">
        <f t="shared" si="14"/>
        <v>0</v>
      </c>
      <c r="AI34" s="72">
        <f t="shared" si="15"/>
        <v>0</v>
      </c>
      <c r="AJ34" s="72">
        <f t="shared" si="16"/>
        <v>0</v>
      </c>
      <c r="AK34" s="72">
        <f t="shared" si="17"/>
        <v>0</v>
      </c>
      <c r="AL34" s="72">
        <f t="shared" si="18"/>
        <v>0</v>
      </c>
      <c r="AM34" s="72">
        <f t="shared" si="18"/>
        <v>0</v>
      </c>
      <c r="AN34" s="72">
        <f t="shared" si="18"/>
        <v>0</v>
      </c>
      <c r="AR34" s="497">
        <f>AR32+AR31</f>
        <v>2440.9399999999996</v>
      </c>
      <c r="AS34" s="498" t="s">
        <v>354</v>
      </c>
      <c r="AT34" s="499">
        <f>AR24+AR27</f>
        <v>2440.9399999999996</v>
      </c>
      <c r="AZ34" s="513">
        <f>AZ32+AZ30</f>
        <v>1855.8899999999999</v>
      </c>
    </row>
    <row r="35" spans="2:52" ht="17.25" thickBot="1">
      <c r="C35" s="853" t="s">
        <v>45</v>
      </c>
      <c r="D35" s="854"/>
      <c r="E35" s="63">
        <f>SUM(E3:E34)</f>
        <v>2019.21</v>
      </c>
      <c r="F35" s="69"/>
      <c r="G35" s="64">
        <f>SUM(G3:G34)</f>
        <v>657.32333333333327</v>
      </c>
      <c r="H35" s="65">
        <f>SUM(H3:H34)</f>
        <v>1361.886666666667</v>
      </c>
      <c r="I35" s="483"/>
      <c r="J35" s="73">
        <f t="shared" ref="J35:X35" si="36">SUM(J3:J34)</f>
        <v>0</v>
      </c>
      <c r="K35" s="73">
        <f t="shared" si="36"/>
        <v>0</v>
      </c>
      <c r="L35" s="73">
        <f t="shared" si="36"/>
        <v>331.95</v>
      </c>
      <c r="M35" s="73">
        <f t="shared" si="36"/>
        <v>35</v>
      </c>
      <c r="N35" s="73">
        <f t="shared" si="36"/>
        <v>235.91666666666666</v>
      </c>
      <c r="O35" s="73">
        <f t="shared" si="36"/>
        <v>68.025000000000006</v>
      </c>
      <c r="P35" s="73">
        <f t="shared" si="36"/>
        <v>211.3</v>
      </c>
      <c r="Q35" s="73">
        <f t="shared" si="36"/>
        <v>115.5</v>
      </c>
      <c r="R35" s="73">
        <f t="shared" si="36"/>
        <v>301.625</v>
      </c>
      <c r="S35" s="73">
        <f t="shared" si="36"/>
        <v>0</v>
      </c>
      <c r="T35" s="73">
        <f t="shared" si="36"/>
        <v>29.7</v>
      </c>
      <c r="U35" s="73">
        <f t="shared" si="36"/>
        <v>0</v>
      </c>
      <c r="V35" s="73">
        <f t="shared" si="36"/>
        <v>32.869999999999997</v>
      </c>
      <c r="W35" s="73">
        <f t="shared" si="36"/>
        <v>0</v>
      </c>
      <c r="X35" s="73">
        <f t="shared" si="36"/>
        <v>0</v>
      </c>
      <c r="Y35" s="73"/>
      <c r="Z35" s="73">
        <f t="shared" ref="Z35:AN35" si="37">SUM(Z3:Z34)</f>
        <v>0</v>
      </c>
      <c r="AA35" s="73">
        <f t="shared" si="37"/>
        <v>0</v>
      </c>
      <c r="AB35" s="73">
        <f t="shared" si="37"/>
        <v>0</v>
      </c>
      <c r="AC35" s="73">
        <f t="shared" si="37"/>
        <v>35</v>
      </c>
      <c r="AD35" s="73">
        <f t="shared" si="37"/>
        <v>430.93333333333328</v>
      </c>
      <c r="AE35" s="73">
        <f t="shared" si="37"/>
        <v>68.025000000000006</v>
      </c>
      <c r="AF35" s="73">
        <f t="shared" si="37"/>
        <v>0</v>
      </c>
      <c r="AG35" s="73">
        <f t="shared" si="37"/>
        <v>115.5</v>
      </c>
      <c r="AH35" s="73">
        <f t="shared" si="37"/>
        <v>7.8650000000000002</v>
      </c>
      <c r="AI35" s="73">
        <f t="shared" si="37"/>
        <v>0</v>
      </c>
      <c r="AJ35" s="73">
        <f t="shared" si="37"/>
        <v>0</v>
      </c>
      <c r="AK35" s="73">
        <f t="shared" si="37"/>
        <v>0</v>
      </c>
      <c r="AL35" s="73">
        <f t="shared" si="37"/>
        <v>0</v>
      </c>
      <c r="AM35" s="73">
        <f t="shared" si="37"/>
        <v>0</v>
      </c>
      <c r="AN35" s="73">
        <f t="shared" si="37"/>
        <v>0</v>
      </c>
      <c r="AO35" s="73"/>
      <c r="AP35" s="73"/>
    </row>
    <row r="36" spans="2:52">
      <c r="H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</row>
    <row r="42" spans="2:52">
      <c r="E42" s="59"/>
      <c r="F42" s="70"/>
    </row>
  </sheetData>
  <mergeCells count="7">
    <mergeCell ref="AR18:AT18"/>
    <mergeCell ref="AV23:AW23"/>
    <mergeCell ref="AY23:AZ23"/>
    <mergeCell ref="C35:D35"/>
    <mergeCell ref="AS27:AT28"/>
    <mergeCell ref="AS25:AT25"/>
    <mergeCell ref="B24:H34"/>
  </mergeCells>
  <dataValidations disablePrompts="1" count="4">
    <dataValidation type="list" allowBlank="1" showInputMessage="1" showErrorMessage="1" sqref="D18:D23">
      <formula1>$AQ$2:$AQ$16</formula1>
    </dataValidation>
    <dataValidation type="list" allowBlank="1" showInputMessage="1" showErrorMessage="1" sqref="F3:F23">
      <formula1>$AQ$17:$AQ$19</formula1>
    </dataValidation>
    <dataValidation type="list" allowBlank="1" showInputMessage="1" showErrorMessage="1" sqref="D8:D17">
      <formula1>$AQ$2:$AQ$12</formula1>
    </dataValidation>
    <dataValidation type="list" allowBlank="1" showInputMessage="1" showErrorMessage="1" sqref="D3:D7">
      <formula1>$AH$2:$AH$12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B1:AZ70"/>
  <sheetViews>
    <sheetView workbookViewId="0">
      <selection activeCell="B23" sqref="B23:H34"/>
    </sheetView>
  </sheetViews>
  <sheetFormatPr defaultRowHeight="16.5"/>
  <cols>
    <col min="1" max="1" width="1" style="55" customWidth="1"/>
    <col min="2" max="2" width="6.5703125" style="134" bestFit="1" customWidth="1"/>
    <col min="3" max="3" width="16.7109375" style="55" customWidth="1"/>
    <col min="4" max="4" width="17.5703125" style="55" customWidth="1"/>
    <col min="5" max="5" width="13.7109375" style="55" customWidth="1"/>
    <col min="6" max="6" width="13.7109375" style="134" customWidth="1"/>
    <col min="7" max="8" width="13.7109375" style="55" customWidth="1"/>
    <col min="9" max="9" width="8.42578125" style="479" customWidth="1"/>
    <col min="10" max="10" width="13.5703125" style="55" hidden="1" customWidth="1"/>
    <col min="11" max="11" width="7.85546875" style="55" hidden="1" customWidth="1"/>
    <col min="12" max="12" width="7.42578125" style="55" hidden="1" customWidth="1"/>
    <col min="13" max="13" width="9.7109375" style="55" hidden="1" customWidth="1"/>
    <col min="14" max="14" width="7.42578125" style="55" hidden="1" customWidth="1"/>
    <col min="15" max="15" width="14.5703125" style="55" hidden="1" customWidth="1"/>
    <col min="16" max="16" width="16.85546875" style="55" hidden="1" customWidth="1"/>
    <col min="17" max="17" width="7.7109375" style="55" hidden="1" customWidth="1"/>
    <col min="18" max="18" width="8.85546875" style="55" hidden="1" customWidth="1"/>
    <col min="19" max="19" width="8" style="55" hidden="1" customWidth="1"/>
    <col min="20" max="20" width="7.42578125" style="55" hidden="1" customWidth="1"/>
    <col min="21" max="21" width="2" style="55" hidden="1" customWidth="1"/>
    <col min="22" max="22" width="9.7109375" style="55" hidden="1" customWidth="1"/>
    <col min="23" max="24" width="7.42578125" style="55" hidden="1" customWidth="1"/>
    <col min="25" max="25" width="1.7109375" style="55" hidden="1" customWidth="1"/>
    <col min="26" max="26" width="13.5703125" style="55" hidden="1" customWidth="1"/>
    <col min="27" max="27" width="7.85546875" style="55" hidden="1" customWidth="1"/>
    <col min="28" max="28" width="7.42578125" style="55" hidden="1" customWidth="1"/>
    <col min="29" max="29" width="9.7109375" style="55" hidden="1" customWidth="1"/>
    <col min="30" max="30" width="7.42578125" style="55" hidden="1" customWidth="1"/>
    <col min="31" max="31" width="14.5703125" style="55" hidden="1" customWidth="1"/>
    <col min="32" max="32" width="16.85546875" style="55" hidden="1" customWidth="1"/>
    <col min="33" max="33" width="7.7109375" style="55" hidden="1" customWidth="1"/>
    <col min="34" max="34" width="8.85546875" style="55" hidden="1" customWidth="1"/>
    <col min="35" max="35" width="8" style="55" hidden="1" customWidth="1"/>
    <col min="36" max="36" width="7.42578125" style="55" hidden="1" customWidth="1"/>
    <col min="37" max="37" width="13.42578125" style="55" hidden="1" customWidth="1"/>
    <col min="38" max="38" width="10.28515625" style="450" hidden="1" customWidth="1"/>
    <col min="39" max="40" width="7.42578125" style="55" hidden="1" customWidth="1"/>
    <col min="41" max="41" width="4" style="55" hidden="1" customWidth="1"/>
    <col min="42" max="42" width="4.42578125" style="55" customWidth="1"/>
    <col min="43" max="43" width="16.85546875" style="55" bestFit="1" customWidth="1"/>
    <col min="44" max="47" width="12.7109375" style="55" customWidth="1"/>
    <col min="48" max="48" width="8.28515625" style="55" bestFit="1" customWidth="1"/>
    <col min="49" max="49" width="10.5703125" style="55" bestFit="1" customWidth="1"/>
    <col min="50" max="50" width="3.28515625" style="55" customWidth="1"/>
    <col min="51" max="51" width="18.42578125" style="55" bestFit="1" customWidth="1"/>
    <col min="52" max="52" width="11.7109375" style="55" bestFit="1" customWidth="1"/>
    <col min="53" max="16384" width="9.140625" style="55"/>
  </cols>
  <sheetData>
    <row r="1" spans="2:51" ht="17.25" thickBot="1">
      <c r="AR1" s="134" t="s">
        <v>66</v>
      </c>
      <c r="AS1" s="134" t="s">
        <v>67</v>
      </c>
      <c r="AT1" s="81" t="s">
        <v>65</v>
      </c>
      <c r="AV1" s="134"/>
    </row>
    <row r="2" spans="2:51" ht="17.25" thickBot="1">
      <c r="B2" s="68" t="s">
        <v>1</v>
      </c>
      <c r="C2" s="66" t="s">
        <v>0</v>
      </c>
      <c r="D2" s="66" t="s">
        <v>63</v>
      </c>
      <c r="E2" s="66" t="s">
        <v>2</v>
      </c>
      <c r="F2" s="66" t="s">
        <v>64</v>
      </c>
      <c r="G2" s="66" t="s">
        <v>3</v>
      </c>
      <c r="H2" s="67" t="s">
        <v>4</v>
      </c>
      <c r="I2" s="480"/>
      <c r="J2" s="75" t="s">
        <v>57</v>
      </c>
      <c r="K2" s="74" t="s">
        <v>51</v>
      </c>
      <c r="L2" s="74" t="s">
        <v>120</v>
      </c>
      <c r="M2" s="74" t="s">
        <v>36</v>
      </c>
      <c r="N2" s="74" t="s">
        <v>56</v>
      </c>
      <c r="O2" s="74" t="s">
        <v>125</v>
      </c>
      <c r="P2" s="74" t="s">
        <v>54</v>
      </c>
      <c r="Q2" s="74" t="s">
        <v>59</v>
      </c>
      <c r="R2" s="74" t="s">
        <v>40</v>
      </c>
      <c r="S2" s="74" t="s">
        <v>55</v>
      </c>
      <c r="T2" s="74" t="s">
        <v>58</v>
      </c>
      <c r="U2" s="74" t="s">
        <v>52</v>
      </c>
      <c r="V2" s="451" t="str">
        <f>AQ14</f>
        <v>ESTUDOS</v>
      </c>
      <c r="W2" s="74">
        <f>AQ15</f>
        <v>0</v>
      </c>
      <c r="X2" s="74">
        <f>AQ16</f>
        <v>0</v>
      </c>
      <c r="Z2" s="75" t="s">
        <v>57</v>
      </c>
      <c r="AA2" s="74" t="s">
        <v>51</v>
      </c>
      <c r="AB2" s="74" t="s">
        <v>120</v>
      </c>
      <c r="AC2" s="74" t="s">
        <v>36</v>
      </c>
      <c r="AD2" s="74" t="s">
        <v>56</v>
      </c>
      <c r="AE2" s="74" t="s">
        <v>125</v>
      </c>
      <c r="AF2" s="74" t="s">
        <v>54</v>
      </c>
      <c r="AG2" s="74" t="s">
        <v>59</v>
      </c>
      <c r="AH2" s="74" t="s">
        <v>40</v>
      </c>
      <c r="AI2" s="74" t="s">
        <v>55</v>
      </c>
      <c r="AJ2" s="74" t="s">
        <v>58</v>
      </c>
      <c r="AK2" s="74" t="s">
        <v>52</v>
      </c>
      <c r="AL2" s="451" t="str">
        <f>AQ14</f>
        <v>ESTUDOS</v>
      </c>
      <c r="AM2" s="74">
        <f>AQ15</f>
        <v>0</v>
      </c>
      <c r="AN2" s="74">
        <f>AQ16</f>
        <v>0</v>
      </c>
      <c r="AO2" s="74"/>
      <c r="AP2" s="74"/>
      <c r="AQ2" s="71" t="s">
        <v>57</v>
      </c>
      <c r="AR2" s="97">
        <f t="shared" ref="AR2:AR16" si="0">AT2+AS2</f>
        <v>111</v>
      </c>
      <c r="AS2" s="58">
        <f>Z63</f>
        <v>0</v>
      </c>
      <c r="AT2" s="58">
        <f>J63</f>
        <v>111</v>
      </c>
    </row>
    <row r="3" spans="2:51">
      <c r="B3" s="60">
        <v>44834</v>
      </c>
      <c r="C3" s="62" t="s">
        <v>83</v>
      </c>
      <c r="D3" s="79" t="s">
        <v>40</v>
      </c>
      <c r="E3" s="56">
        <v>37.979999999999997</v>
      </c>
      <c r="F3" s="76" t="s">
        <v>65</v>
      </c>
      <c r="G3" s="157">
        <f>IF(F3="MARCIA",E3,IF(F3="AMBOS",E3/2,0))</f>
        <v>0</v>
      </c>
      <c r="H3" s="158">
        <f>IF(F3="LUCIANO",E3,IF(F3="AMBOS",E3/2,0))</f>
        <v>37.979999999999997</v>
      </c>
      <c r="I3" s="481" t="s">
        <v>68</v>
      </c>
      <c r="J3" s="72">
        <f>IF($D3="ALIMENTAÇÃO",$H3,0)</f>
        <v>0</v>
      </c>
      <c r="K3" s="72">
        <f>IF($D3="ANIMAIS",$H3,0)</f>
        <v>0</v>
      </c>
      <c r="L3" s="72">
        <f>IF($D3="FILHO",$H3,0)</f>
        <v>0</v>
      </c>
      <c r="M3" s="72">
        <f>IF($D3="GASOLINA",$H3,0)</f>
        <v>0</v>
      </c>
      <c r="N3" s="72">
        <f>IF($D3="LAZER",$H3,0)</f>
        <v>0</v>
      </c>
      <c r="O3" s="72">
        <f>IF($D3="MANUT. IMÓVEL",$H3,0)</f>
        <v>0</v>
      </c>
      <c r="P3" s="72">
        <f>IF($D3="MANUT. VEICULAR",$H3,0)</f>
        <v>0</v>
      </c>
      <c r="Q3" s="72">
        <f>IF($D3="MÓVEIS",$H3,0)</f>
        <v>0</v>
      </c>
      <c r="R3" s="72">
        <f>IF($D3="OUTROS",$H3,0)</f>
        <v>37.979999999999997</v>
      </c>
      <c r="S3" s="72">
        <f>IF($D3="PLANOS",$H3,0)</f>
        <v>0</v>
      </c>
      <c r="T3" s="72">
        <f>IF($D3="SAÚDE",$H3,0)</f>
        <v>0</v>
      </c>
      <c r="U3" s="72">
        <f>IF($D3="TRANSPORTE",$H3,0)</f>
        <v>0</v>
      </c>
      <c r="V3" s="72">
        <f>IF($D3=V$2,$H3,0)</f>
        <v>0</v>
      </c>
      <c r="W3" s="72">
        <f t="shared" ref="W3:X18" si="1">IF($D3=W$2,$H3,0)</f>
        <v>0</v>
      </c>
      <c r="X3" s="72">
        <f t="shared" si="1"/>
        <v>0</v>
      </c>
      <c r="Z3" s="72">
        <f>IF($D3="ALIMENTAÇÃO",$G3,0)</f>
        <v>0</v>
      </c>
      <c r="AA3" s="72">
        <f>IF($D3="ANIMAIS",$G3,0)</f>
        <v>0</v>
      </c>
      <c r="AB3" s="72">
        <f>IF($D3="FILHO",$G3,0)</f>
        <v>0</v>
      </c>
      <c r="AC3" s="72">
        <f>IF($D3="GASOLINA",$G3,0)</f>
        <v>0</v>
      </c>
      <c r="AD3" s="72">
        <f>IF($D3="LAZER",$G3,0)</f>
        <v>0</v>
      </c>
      <c r="AE3" s="72">
        <f>IF($D3="MANUT. IMÓVEL",$G3,0)</f>
        <v>0</v>
      </c>
      <c r="AF3" s="72">
        <f>IF($D3="MANUT. VEICULAR",$G3,0)</f>
        <v>0</v>
      </c>
      <c r="AG3" s="72">
        <f>IF($D3="MÓVEIS",$G3,0)</f>
        <v>0</v>
      </c>
      <c r="AH3" s="72">
        <f>IF($D3="OUTROS",$G3,0)</f>
        <v>0</v>
      </c>
      <c r="AI3" s="72">
        <f>IF($D3="PLANOS",$G3,0)</f>
        <v>0</v>
      </c>
      <c r="AJ3" s="72">
        <f>IF($D3="SAÚDE",$G3,0)</f>
        <v>0</v>
      </c>
      <c r="AK3" s="72">
        <f>IF($D3="TRANSPORTE",$G3,0)</f>
        <v>0</v>
      </c>
      <c r="AL3" s="72">
        <f>IF($D3=AL$2,$G3,0)</f>
        <v>0</v>
      </c>
      <c r="AM3" s="72">
        <f t="shared" ref="AM3:AN18" si="2">IF($D3=AM$2,$G3,0)</f>
        <v>0</v>
      </c>
      <c r="AN3" s="72">
        <f t="shared" si="2"/>
        <v>0</v>
      </c>
      <c r="AQ3" s="71" t="s">
        <v>51</v>
      </c>
      <c r="AR3" s="97">
        <f t="shared" si="0"/>
        <v>125</v>
      </c>
      <c r="AS3" s="58">
        <f>AA63</f>
        <v>62.5</v>
      </c>
      <c r="AT3" s="58">
        <f>K63</f>
        <v>62.5</v>
      </c>
      <c r="AV3" s="173">
        <v>175.97</v>
      </c>
      <c r="AY3" s="511" t="s">
        <v>388</v>
      </c>
    </row>
    <row r="4" spans="2:51">
      <c r="B4" s="60">
        <v>44861</v>
      </c>
      <c r="C4" s="62" t="s">
        <v>108</v>
      </c>
      <c r="D4" s="79" t="s">
        <v>40</v>
      </c>
      <c r="E4" s="56">
        <v>15.73</v>
      </c>
      <c r="F4" s="76" t="s">
        <v>66</v>
      </c>
      <c r="G4" s="77">
        <f t="shared" ref="G4:G22" si="3">IF(F4="MARCIA",E4,IF(F4="AMBOS",E4/2,0))</f>
        <v>7.8650000000000002</v>
      </c>
      <c r="H4" s="78">
        <f t="shared" ref="H4:H22" si="4">IF(F4="LUCIANO",E4,IF(F4="AMBOS",E4/2,0))</f>
        <v>7.8650000000000002</v>
      </c>
      <c r="I4" s="481" t="s">
        <v>358</v>
      </c>
      <c r="J4" s="72">
        <f>IF($D4="ALIMENTAÇÃO",$H4,0)</f>
        <v>0</v>
      </c>
      <c r="K4" s="72">
        <f>IF($D4="ANIMAIS",$H4,0)</f>
        <v>0</v>
      </c>
      <c r="L4" s="72">
        <f>IF($D4="FILHO",$H4,0)</f>
        <v>0</v>
      </c>
      <c r="M4" s="72">
        <f>IF($D4="GASOLINA",$H4,0)</f>
        <v>0</v>
      </c>
      <c r="N4" s="72">
        <f>IF($D4="LAZER",$H4,0)</f>
        <v>0</v>
      </c>
      <c r="O4" s="72">
        <f>IF($D4="MANUT. IMÓVEL",$H4,0)</f>
        <v>0</v>
      </c>
      <c r="P4" s="72">
        <f>IF($D4="MANUT. VEICULAR",$H4,0)</f>
        <v>0</v>
      </c>
      <c r="Q4" s="72">
        <f>IF($D4="MÓVEIS",$H4,0)</f>
        <v>0</v>
      </c>
      <c r="R4" s="72">
        <f>IF($D4="OUTROS",$H4,0)</f>
        <v>7.8650000000000002</v>
      </c>
      <c r="S4" s="72">
        <f>IF($D4="PLANOS",$H4,0)</f>
        <v>0</v>
      </c>
      <c r="T4" s="72">
        <f>IF($D4="SAÚDE",$H4,0)</f>
        <v>0</v>
      </c>
      <c r="U4" s="72">
        <f>IF($D4="TRANSPORTE",$H4,0)</f>
        <v>0</v>
      </c>
      <c r="V4" s="72">
        <f t="shared" ref="V4:X35" si="5">IF($D4=V$2,$H4,0)</f>
        <v>0</v>
      </c>
      <c r="W4" s="72">
        <f t="shared" si="1"/>
        <v>0</v>
      </c>
      <c r="X4" s="72">
        <f t="shared" si="1"/>
        <v>0</v>
      </c>
      <c r="Z4" s="72">
        <f t="shared" ref="Z4:Z62" si="6">IF($D4="ALIMENTAÇÃO",$G4,0)</f>
        <v>0</v>
      </c>
      <c r="AA4" s="72">
        <f t="shared" ref="AA4:AA62" si="7">IF($D4="ANIMAIS",$G4,0)</f>
        <v>0</v>
      </c>
      <c r="AB4" s="72">
        <f t="shared" ref="AB4:AB62" si="8">IF($D4="FILHO",$G4,0)</f>
        <v>0</v>
      </c>
      <c r="AC4" s="72">
        <f t="shared" ref="AC4:AC62" si="9">IF($D4="GASOLINA",$G4,0)</f>
        <v>0</v>
      </c>
      <c r="AD4" s="72">
        <f t="shared" ref="AD4:AD62" si="10">IF($D4="LAZER",$G4,0)</f>
        <v>0</v>
      </c>
      <c r="AE4" s="72">
        <f t="shared" ref="AE4:AE62" si="11">IF($D4="MANUT. IMÓVEL",$G4,0)</f>
        <v>0</v>
      </c>
      <c r="AF4" s="72">
        <f t="shared" ref="AF4:AF62" si="12">IF($D4="MANUT. VEICULAR",$G4,0)</f>
        <v>0</v>
      </c>
      <c r="AG4" s="72">
        <f t="shared" ref="AG4:AG62" si="13">IF($D4="MÓVEIS",$G4,0)</f>
        <v>0</v>
      </c>
      <c r="AH4" s="72">
        <f t="shared" ref="AH4:AH62" si="14">IF($D4="OUTROS",$G4,0)</f>
        <v>7.8650000000000002</v>
      </c>
      <c r="AI4" s="72">
        <f t="shared" ref="AI4:AI62" si="15">IF($D4="PLANOS",$G4,0)</f>
        <v>0</v>
      </c>
      <c r="AJ4" s="72">
        <f t="shared" ref="AJ4:AJ62" si="16">IF($D4="SAÚDE",$G4,0)</f>
        <v>0</v>
      </c>
      <c r="AK4" s="72">
        <f t="shared" ref="AK4:AK62" si="17">IF($D4="TRANSPORTE",$G4,0)</f>
        <v>0</v>
      </c>
      <c r="AL4" s="72">
        <f t="shared" ref="AL4:AN62" si="18">IF($D4=AL$2,$G4,0)</f>
        <v>0</v>
      </c>
      <c r="AM4" s="72">
        <f t="shared" si="2"/>
        <v>0</v>
      </c>
      <c r="AN4" s="72">
        <f t="shared" si="2"/>
        <v>0</v>
      </c>
      <c r="AQ4" s="71" t="s">
        <v>120</v>
      </c>
      <c r="AR4" s="97">
        <f t="shared" si="0"/>
        <v>248.99</v>
      </c>
      <c r="AS4" s="58">
        <f>AB63</f>
        <v>0</v>
      </c>
      <c r="AT4" s="58">
        <f>L63</f>
        <v>248.99</v>
      </c>
      <c r="AV4" s="173">
        <v>409.08</v>
      </c>
      <c r="AY4" s="512">
        <v>195.02</v>
      </c>
    </row>
    <row r="5" spans="2:51">
      <c r="B5" s="60">
        <v>44857</v>
      </c>
      <c r="C5" s="62" t="s">
        <v>109</v>
      </c>
      <c r="D5" s="79" t="s">
        <v>40</v>
      </c>
      <c r="E5" s="56">
        <v>119.9</v>
      </c>
      <c r="F5" s="76" t="s">
        <v>65</v>
      </c>
      <c r="G5" s="77">
        <f t="shared" si="3"/>
        <v>0</v>
      </c>
      <c r="H5" s="78">
        <f t="shared" si="4"/>
        <v>119.9</v>
      </c>
      <c r="I5" s="481" t="s">
        <v>61</v>
      </c>
      <c r="J5" s="72">
        <f t="shared" ref="J5:J62" si="19">IF($D5="ALIMENTAÇÃO",$H5,0)</f>
        <v>0</v>
      </c>
      <c r="K5" s="72">
        <f t="shared" ref="K5:K62" si="20">IF($D5="ANIMAIS",$H5,0)</f>
        <v>0</v>
      </c>
      <c r="L5" s="72">
        <f t="shared" ref="L5:L62" si="21">IF($D5="FILHO",$H5,0)</f>
        <v>0</v>
      </c>
      <c r="M5" s="72">
        <f t="shared" ref="M5:M62" si="22">IF($D5="GASOLINA",$H5,0)</f>
        <v>0</v>
      </c>
      <c r="N5" s="72">
        <f t="shared" ref="N5:N62" si="23">IF($D5="LAZER",$H5,0)</f>
        <v>0</v>
      </c>
      <c r="O5" s="72">
        <f t="shared" ref="O5:O62" si="24">IF($D5="MANUT. IMÓVEL",$H5,0)</f>
        <v>0</v>
      </c>
      <c r="P5" s="72">
        <f t="shared" ref="P5:P62" si="25">IF($D5="MANUT. VEICULAR",$H5,0)</f>
        <v>0</v>
      </c>
      <c r="Q5" s="72">
        <f t="shared" ref="Q5:Q62" si="26">IF($D5="MÓVEIS",$H5,0)</f>
        <v>0</v>
      </c>
      <c r="R5" s="72">
        <f t="shared" ref="R5:R62" si="27">IF($D5="OUTROS",$H5,0)</f>
        <v>119.9</v>
      </c>
      <c r="S5" s="72">
        <f t="shared" ref="S5:S62" si="28">IF($D5="PLANOS",$H5,0)</f>
        <v>0</v>
      </c>
      <c r="T5" s="72">
        <f t="shared" ref="T5:T62" si="29">IF($D5="SAÚDE",$H5,0)</f>
        <v>0</v>
      </c>
      <c r="U5" s="72">
        <f t="shared" ref="U5:U62" si="30">IF($D5="TRANSPORTE",$H5,0)</f>
        <v>0</v>
      </c>
      <c r="V5" s="72">
        <f t="shared" si="5"/>
        <v>0</v>
      </c>
      <c r="W5" s="72">
        <f t="shared" si="1"/>
        <v>0</v>
      </c>
      <c r="X5" s="72">
        <f t="shared" si="1"/>
        <v>0</v>
      </c>
      <c r="Z5" s="72">
        <f t="shared" si="6"/>
        <v>0</v>
      </c>
      <c r="AA5" s="72">
        <f t="shared" si="7"/>
        <v>0</v>
      </c>
      <c r="AB5" s="72">
        <f t="shared" si="8"/>
        <v>0</v>
      </c>
      <c r="AC5" s="72">
        <f t="shared" si="9"/>
        <v>0</v>
      </c>
      <c r="AD5" s="72">
        <f t="shared" si="10"/>
        <v>0</v>
      </c>
      <c r="AE5" s="72">
        <f t="shared" si="11"/>
        <v>0</v>
      </c>
      <c r="AF5" s="72">
        <f t="shared" si="12"/>
        <v>0</v>
      </c>
      <c r="AG5" s="72">
        <f t="shared" si="13"/>
        <v>0</v>
      </c>
      <c r="AH5" s="72">
        <f t="shared" si="14"/>
        <v>0</v>
      </c>
      <c r="AI5" s="72">
        <f t="shared" si="15"/>
        <v>0</v>
      </c>
      <c r="AJ5" s="72">
        <f t="shared" si="16"/>
        <v>0</v>
      </c>
      <c r="AK5" s="72">
        <f t="shared" si="17"/>
        <v>0</v>
      </c>
      <c r="AL5" s="72">
        <f t="shared" si="18"/>
        <v>0</v>
      </c>
      <c r="AM5" s="72">
        <f t="shared" si="2"/>
        <v>0</v>
      </c>
      <c r="AN5" s="72">
        <f t="shared" si="2"/>
        <v>0</v>
      </c>
      <c r="AQ5" s="71" t="s">
        <v>36</v>
      </c>
      <c r="AR5" s="97">
        <f t="shared" si="0"/>
        <v>80</v>
      </c>
      <c r="AS5" s="58">
        <f>AC63</f>
        <v>0</v>
      </c>
      <c r="AT5" s="58">
        <f>M63</f>
        <v>80</v>
      </c>
      <c r="AV5" s="173"/>
      <c r="AY5" s="511" t="s">
        <v>387</v>
      </c>
    </row>
    <row r="6" spans="2:51">
      <c r="B6" s="172">
        <v>44929</v>
      </c>
      <c r="C6" s="173" t="s">
        <v>145</v>
      </c>
      <c r="D6" s="79" t="s">
        <v>56</v>
      </c>
      <c r="E6" s="56">
        <v>175.97</v>
      </c>
      <c r="F6" s="76" t="s">
        <v>66</v>
      </c>
      <c r="G6" s="77">
        <f>(E6/3)*2</f>
        <v>117.31333333333333</v>
      </c>
      <c r="H6" s="78">
        <f>E6/3</f>
        <v>58.656666666666666</v>
      </c>
      <c r="I6" s="481" t="s">
        <v>72</v>
      </c>
      <c r="J6" s="72">
        <f t="shared" si="19"/>
        <v>0</v>
      </c>
      <c r="K6" s="72">
        <f t="shared" si="20"/>
        <v>0</v>
      </c>
      <c r="L6" s="72">
        <f t="shared" si="21"/>
        <v>0</v>
      </c>
      <c r="M6" s="72">
        <f t="shared" si="22"/>
        <v>0</v>
      </c>
      <c r="N6" s="72">
        <f t="shared" si="23"/>
        <v>58.656666666666666</v>
      </c>
      <c r="O6" s="72">
        <f t="shared" si="24"/>
        <v>0</v>
      </c>
      <c r="P6" s="72">
        <f t="shared" si="25"/>
        <v>0</v>
      </c>
      <c r="Q6" s="72">
        <f t="shared" si="26"/>
        <v>0</v>
      </c>
      <c r="R6" s="72">
        <f t="shared" si="27"/>
        <v>0</v>
      </c>
      <c r="S6" s="72">
        <f t="shared" si="28"/>
        <v>0</v>
      </c>
      <c r="T6" s="72">
        <f t="shared" si="29"/>
        <v>0</v>
      </c>
      <c r="U6" s="72">
        <f t="shared" si="30"/>
        <v>0</v>
      </c>
      <c r="V6" s="72">
        <f t="shared" si="5"/>
        <v>0</v>
      </c>
      <c r="W6" s="72">
        <f t="shared" si="1"/>
        <v>0</v>
      </c>
      <c r="X6" s="72">
        <f t="shared" si="1"/>
        <v>0</v>
      </c>
      <c r="Z6" s="72">
        <f t="shared" si="6"/>
        <v>0</v>
      </c>
      <c r="AA6" s="72">
        <f t="shared" si="7"/>
        <v>0</v>
      </c>
      <c r="AB6" s="72">
        <f t="shared" si="8"/>
        <v>0</v>
      </c>
      <c r="AC6" s="72">
        <f t="shared" si="9"/>
        <v>0</v>
      </c>
      <c r="AD6" s="72">
        <f t="shared" si="10"/>
        <v>117.31333333333333</v>
      </c>
      <c r="AE6" s="72">
        <f t="shared" si="11"/>
        <v>0</v>
      </c>
      <c r="AF6" s="72">
        <f t="shared" si="12"/>
        <v>0</v>
      </c>
      <c r="AG6" s="72">
        <f t="shared" si="13"/>
        <v>0</v>
      </c>
      <c r="AH6" s="72">
        <f t="shared" si="14"/>
        <v>0</v>
      </c>
      <c r="AI6" s="72">
        <f t="shared" si="15"/>
        <v>0</v>
      </c>
      <c r="AJ6" s="72">
        <f t="shared" si="16"/>
        <v>0</v>
      </c>
      <c r="AK6" s="72">
        <f t="shared" si="17"/>
        <v>0</v>
      </c>
      <c r="AL6" s="72">
        <f t="shared" si="18"/>
        <v>0</v>
      </c>
      <c r="AM6" s="72">
        <f t="shared" si="2"/>
        <v>0</v>
      </c>
      <c r="AN6" s="72">
        <f t="shared" si="2"/>
        <v>0</v>
      </c>
      <c r="AQ6" s="71" t="s">
        <v>56</v>
      </c>
      <c r="AR6" s="97">
        <f t="shared" si="0"/>
        <v>727.6099999999999</v>
      </c>
      <c r="AS6" s="58">
        <f>AD63</f>
        <v>490.59333333333331</v>
      </c>
      <c r="AT6" s="58">
        <f>N63</f>
        <v>237.01666666666665</v>
      </c>
      <c r="AV6" s="173"/>
      <c r="AY6" s="512">
        <v>390.03</v>
      </c>
    </row>
    <row r="7" spans="2:51">
      <c r="B7" s="172">
        <v>44929</v>
      </c>
      <c r="C7" s="173" t="s">
        <v>146</v>
      </c>
      <c r="D7" s="79" t="s">
        <v>56</v>
      </c>
      <c r="E7" s="56">
        <v>409.08</v>
      </c>
      <c r="F7" s="76" t="s">
        <v>66</v>
      </c>
      <c r="G7" s="77">
        <f>(E7/3)*2</f>
        <v>272.71999999999997</v>
      </c>
      <c r="H7" s="78">
        <f>E7/3</f>
        <v>136.35999999999999</v>
      </c>
      <c r="I7" s="481" t="s">
        <v>140</v>
      </c>
      <c r="J7" s="72">
        <f t="shared" si="19"/>
        <v>0</v>
      </c>
      <c r="K7" s="72">
        <f t="shared" si="20"/>
        <v>0</v>
      </c>
      <c r="L7" s="72">
        <f t="shared" si="21"/>
        <v>0</v>
      </c>
      <c r="M7" s="72">
        <f t="shared" si="22"/>
        <v>0</v>
      </c>
      <c r="N7" s="72">
        <f t="shared" si="23"/>
        <v>136.35999999999999</v>
      </c>
      <c r="O7" s="72">
        <f t="shared" si="24"/>
        <v>0</v>
      </c>
      <c r="P7" s="72">
        <f t="shared" si="25"/>
        <v>0</v>
      </c>
      <c r="Q7" s="72">
        <f t="shared" si="26"/>
        <v>0</v>
      </c>
      <c r="R7" s="72">
        <f t="shared" si="27"/>
        <v>0</v>
      </c>
      <c r="S7" s="72">
        <f t="shared" si="28"/>
        <v>0</v>
      </c>
      <c r="T7" s="72">
        <f t="shared" si="29"/>
        <v>0</v>
      </c>
      <c r="U7" s="72">
        <f t="shared" si="30"/>
        <v>0</v>
      </c>
      <c r="V7" s="72">
        <f t="shared" si="5"/>
        <v>0</v>
      </c>
      <c r="W7" s="72">
        <f t="shared" si="1"/>
        <v>0</v>
      </c>
      <c r="X7" s="72">
        <f t="shared" si="1"/>
        <v>0</v>
      </c>
      <c r="Z7" s="72">
        <f t="shared" si="6"/>
        <v>0</v>
      </c>
      <c r="AA7" s="72">
        <f t="shared" si="7"/>
        <v>0</v>
      </c>
      <c r="AB7" s="72">
        <f t="shared" si="8"/>
        <v>0</v>
      </c>
      <c r="AC7" s="72">
        <f t="shared" si="9"/>
        <v>0</v>
      </c>
      <c r="AD7" s="72">
        <f t="shared" si="10"/>
        <v>272.71999999999997</v>
      </c>
      <c r="AE7" s="72">
        <f t="shared" si="11"/>
        <v>0</v>
      </c>
      <c r="AF7" s="72">
        <f t="shared" si="12"/>
        <v>0</v>
      </c>
      <c r="AG7" s="72">
        <f t="shared" si="13"/>
        <v>0</v>
      </c>
      <c r="AH7" s="72">
        <f t="shared" si="14"/>
        <v>0</v>
      </c>
      <c r="AI7" s="72">
        <f t="shared" si="15"/>
        <v>0</v>
      </c>
      <c r="AJ7" s="72">
        <f t="shared" si="16"/>
        <v>0</v>
      </c>
      <c r="AK7" s="72">
        <f t="shared" si="17"/>
        <v>0</v>
      </c>
      <c r="AL7" s="72">
        <f t="shared" si="18"/>
        <v>0</v>
      </c>
      <c r="AM7" s="72">
        <f t="shared" si="2"/>
        <v>0</v>
      </c>
      <c r="AN7" s="72">
        <f t="shared" si="2"/>
        <v>0</v>
      </c>
      <c r="AQ7" s="71" t="s">
        <v>53</v>
      </c>
      <c r="AR7" s="97">
        <f t="shared" si="0"/>
        <v>0</v>
      </c>
      <c r="AS7" s="58">
        <f>AE63</f>
        <v>0</v>
      </c>
      <c r="AT7" s="58">
        <f>O63</f>
        <v>0</v>
      </c>
      <c r="AV7" s="173"/>
    </row>
    <row r="8" spans="2:51">
      <c r="B8" s="60">
        <v>44939</v>
      </c>
      <c r="C8" s="62" t="s">
        <v>153</v>
      </c>
      <c r="D8" s="79" t="s">
        <v>120</v>
      </c>
      <c r="E8" s="56">
        <v>58.4</v>
      </c>
      <c r="F8" s="76" t="s">
        <v>65</v>
      </c>
      <c r="G8" s="77">
        <f t="shared" si="3"/>
        <v>0</v>
      </c>
      <c r="H8" s="78">
        <f t="shared" si="4"/>
        <v>58.4</v>
      </c>
      <c r="I8" s="481" t="s">
        <v>359</v>
      </c>
      <c r="J8" s="72">
        <f t="shared" si="19"/>
        <v>0</v>
      </c>
      <c r="K8" s="72">
        <f t="shared" si="20"/>
        <v>0</v>
      </c>
      <c r="L8" s="72">
        <f t="shared" si="21"/>
        <v>58.4</v>
      </c>
      <c r="M8" s="72">
        <f t="shared" si="22"/>
        <v>0</v>
      </c>
      <c r="N8" s="72">
        <f t="shared" si="23"/>
        <v>0</v>
      </c>
      <c r="O8" s="72">
        <f t="shared" si="24"/>
        <v>0</v>
      </c>
      <c r="P8" s="72">
        <f t="shared" si="25"/>
        <v>0</v>
      </c>
      <c r="Q8" s="72">
        <f t="shared" si="26"/>
        <v>0</v>
      </c>
      <c r="R8" s="72">
        <f t="shared" si="27"/>
        <v>0</v>
      </c>
      <c r="S8" s="72">
        <f t="shared" si="28"/>
        <v>0</v>
      </c>
      <c r="T8" s="72">
        <f t="shared" si="29"/>
        <v>0</v>
      </c>
      <c r="U8" s="72">
        <f t="shared" si="30"/>
        <v>0</v>
      </c>
      <c r="V8" s="72">
        <f t="shared" si="5"/>
        <v>0</v>
      </c>
      <c r="W8" s="72">
        <f t="shared" si="1"/>
        <v>0</v>
      </c>
      <c r="X8" s="72">
        <f t="shared" si="1"/>
        <v>0</v>
      </c>
      <c r="Z8" s="72">
        <f t="shared" si="6"/>
        <v>0</v>
      </c>
      <c r="AA8" s="72">
        <f t="shared" si="7"/>
        <v>0</v>
      </c>
      <c r="AB8" s="72">
        <f t="shared" si="8"/>
        <v>0</v>
      </c>
      <c r="AC8" s="72">
        <f t="shared" si="9"/>
        <v>0</v>
      </c>
      <c r="AD8" s="72">
        <f t="shared" si="10"/>
        <v>0</v>
      </c>
      <c r="AE8" s="72">
        <f t="shared" si="11"/>
        <v>0</v>
      </c>
      <c r="AF8" s="72">
        <f t="shared" si="12"/>
        <v>0</v>
      </c>
      <c r="AG8" s="72">
        <f t="shared" si="13"/>
        <v>0</v>
      </c>
      <c r="AH8" s="72">
        <f t="shared" si="14"/>
        <v>0</v>
      </c>
      <c r="AI8" s="72">
        <f t="shared" si="15"/>
        <v>0</v>
      </c>
      <c r="AJ8" s="72">
        <f t="shared" si="16"/>
        <v>0</v>
      </c>
      <c r="AK8" s="72">
        <f t="shared" si="17"/>
        <v>0</v>
      </c>
      <c r="AL8" s="72">
        <f t="shared" si="18"/>
        <v>0</v>
      </c>
      <c r="AM8" s="72">
        <f t="shared" si="2"/>
        <v>0</v>
      </c>
      <c r="AN8" s="72">
        <f t="shared" si="2"/>
        <v>0</v>
      </c>
      <c r="AQ8" s="71" t="s">
        <v>54</v>
      </c>
      <c r="AR8" s="97">
        <f t="shared" si="0"/>
        <v>0</v>
      </c>
      <c r="AS8" s="58">
        <f>AF63</f>
        <v>0</v>
      </c>
      <c r="AT8" s="58">
        <f>P63</f>
        <v>0</v>
      </c>
    </row>
    <row r="9" spans="2:51">
      <c r="B9" s="60">
        <v>44952</v>
      </c>
      <c r="C9" s="62" t="s">
        <v>159</v>
      </c>
      <c r="D9" s="79" t="s">
        <v>120</v>
      </c>
      <c r="E9" s="56">
        <v>77</v>
      </c>
      <c r="F9" s="76" t="s">
        <v>65</v>
      </c>
      <c r="G9" s="77">
        <f t="shared" si="3"/>
        <v>0</v>
      </c>
      <c r="H9" s="78">
        <f t="shared" si="4"/>
        <v>77</v>
      </c>
      <c r="I9" s="481" t="s">
        <v>72</v>
      </c>
      <c r="J9" s="72">
        <f t="shared" si="19"/>
        <v>0</v>
      </c>
      <c r="K9" s="72">
        <f t="shared" si="20"/>
        <v>0</v>
      </c>
      <c r="L9" s="72">
        <f t="shared" si="21"/>
        <v>77</v>
      </c>
      <c r="M9" s="72">
        <f t="shared" si="22"/>
        <v>0</v>
      </c>
      <c r="N9" s="72">
        <f t="shared" si="23"/>
        <v>0</v>
      </c>
      <c r="O9" s="72">
        <f t="shared" si="24"/>
        <v>0</v>
      </c>
      <c r="P9" s="72">
        <f t="shared" si="25"/>
        <v>0</v>
      </c>
      <c r="Q9" s="72">
        <f t="shared" si="26"/>
        <v>0</v>
      </c>
      <c r="R9" s="72">
        <f t="shared" si="27"/>
        <v>0</v>
      </c>
      <c r="S9" s="72">
        <f t="shared" si="28"/>
        <v>0</v>
      </c>
      <c r="T9" s="72">
        <f t="shared" si="29"/>
        <v>0</v>
      </c>
      <c r="U9" s="72">
        <f t="shared" si="30"/>
        <v>0</v>
      </c>
      <c r="V9" s="72">
        <f t="shared" si="5"/>
        <v>0</v>
      </c>
      <c r="W9" s="72">
        <f t="shared" si="1"/>
        <v>0</v>
      </c>
      <c r="X9" s="72">
        <f t="shared" si="1"/>
        <v>0</v>
      </c>
      <c r="Z9" s="72">
        <f t="shared" si="6"/>
        <v>0</v>
      </c>
      <c r="AA9" s="72">
        <f t="shared" si="7"/>
        <v>0</v>
      </c>
      <c r="AB9" s="72">
        <f t="shared" si="8"/>
        <v>0</v>
      </c>
      <c r="AC9" s="72">
        <f t="shared" si="9"/>
        <v>0</v>
      </c>
      <c r="AD9" s="72">
        <f t="shared" si="10"/>
        <v>0</v>
      </c>
      <c r="AE9" s="72">
        <f t="shared" si="11"/>
        <v>0</v>
      </c>
      <c r="AF9" s="72">
        <f t="shared" si="12"/>
        <v>0</v>
      </c>
      <c r="AG9" s="72">
        <f t="shared" si="13"/>
        <v>0</v>
      </c>
      <c r="AH9" s="72">
        <f t="shared" si="14"/>
        <v>0</v>
      </c>
      <c r="AI9" s="72">
        <f t="shared" si="15"/>
        <v>0</v>
      </c>
      <c r="AJ9" s="72">
        <f t="shared" si="16"/>
        <v>0</v>
      </c>
      <c r="AK9" s="72">
        <f t="shared" si="17"/>
        <v>0</v>
      </c>
      <c r="AL9" s="72">
        <f t="shared" si="18"/>
        <v>0</v>
      </c>
      <c r="AM9" s="72">
        <f t="shared" si="2"/>
        <v>0</v>
      </c>
      <c r="AN9" s="72">
        <f t="shared" si="2"/>
        <v>0</v>
      </c>
      <c r="AQ9" s="71" t="s">
        <v>59</v>
      </c>
      <c r="AR9" s="97">
        <f t="shared" si="0"/>
        <v>0</v>
      </c>
      <c r="AS9" s="58">
        <f>AG63</f>
        <v>0</v>
      </c>
      <c r="AT9" s="58">
        <f>Q63</f>
        <v>0</v>
      </c>
    </row>
    <row r="10" spans="2:51">
      <c r="B10" s="60">
        <v>44966</v>
      </c>
      <c r="C10" s="62" t="s">
        <v>261</v>
      </c>
      <c r="D10" s="79" t="s">
        <v>120</v>
      </c>
      <c r="E10" s="56">
        <v>84.76</v>
      </c>
      <c r="F10" s="76" t="s">
        <v>65</v>
      </c>
      <c r="G10" s="77">
        <f t="shared" si="3"/>
        <v>0</v>
      </c>
      <c r="H10" s="78">
        <f t="shared" si="4"/>
        <v>84.76</v>
      </c>
      <c r="I10" s="481" t="s">
        <v>70</v>
      </c>
      <c r="J10" s="72">
        <f t="shared" si="19"/>
        <v>0</v>
      </c>
      <c r="K10" s="72">
        <f t="shared" si="20"/>
        <v>0</v>
      </c>
      <c r="L10" s="72">
        <f t="shared" si="21"/>
        <v>84.76</v>
      </c>
      <c r="M10" s="72">
        <f t="shared" si="22"/>
        <v>0</v>
      </c>
      <c r="N10" s="72">
        <f t="shared" si="23"/>
        <v>0</v>
      </c>
      <c r="O10" s="72">
        <f t="shared" si="24"/>
        <v>0</v>
      </c>
      <c r="P10" s="72">
        <f t="shared" si="25"/>
        <v>0</v>
      </c>
      <c r="Q10" s="72">
        <f t="shared" si="26"/>
        <v>0</v>
      </c>
      <c r="R10" s="72">
        <f t="shared" si="27"/>
        <v>0</v>
      </c>
      <c r="S10" s="72">
        <f t="shared" si="28"/>
        <v>0</v>
      </c>
      <c r="T10" s="72">
        <f t="shared" si="29"/>
        <v>0</v>
      </c>
      <c r="U10" s="72">
        <f t="shared" si="30"/>
        <v>0</v>
      </c>
      <c r="V10" s="72">
        <f t="shared" si="5"/>
        <v>0</v>
      </c>
      <c r="W10" s="72">
        <f t="shared" si="1"/>
        <v>0</v>
      </c>
      <c r="X10" s="72">
        <f t="shared" si="1"/>
        <v>0</v>
      </c>
      <c r="Z10" s="72">
        <f t="shared" si="6"/>
        <v>0</v>
      </c>
      <c r="AA10" s="72">
        <f t="shared" si="7"/>
        <v>0</v>
      </c>
      <c r="AB10" s="72">
        <f t="shared" si="8"/>
        <v>0</v>
      </c>
      <c r="AC10" s="72">
        <f t="shared" si="9"/>
        <v>0</v>
      </c>
      <c r="AD10" s="72">
        <f t="shared" si="10"/>
        <v>0</v>
      </c>
      <c r="AE10" s="72">
        <f t="shared" si="11"/>
        <v>0</v>
      </c>
      <c r="AF10" s="72">
        <f t="shared" si="12"/>
        <v>0</v>
      </c>
      <c r="AG10" s="72">
        <f t="shared" si="13"/>
        <v>0</v>
      </c>
      <c r="AH10" s="72">
        <f t="shared" si="14"/>
        <v>0</v>
      </c>
      <c r="AI10" s="72">
        <f t="shared" si="15"/>
        <v>0</v>
      </c>
      <c r="AJ10" s="72">
        <f t="shared" si="16"/>
        <v>0</v>
      </c>
      <c r="AK10" s="72">
        <f t="shared" si="17"/>
        <v>0</v>
      </c>
      <c r="AL10" s="72">
        <f t="shared" si="18"/>
        <v>0</v>
      </c>
      <c r="AM10" s="72">
        <f t="shared" si="2"/>
        <v>0</v>
      </c>
      <c r="AN10" s="72">
        <f t="shared" si="2"/>
        <v>0</v>
      </c>
      <c r="AQ10" s="71" t="s">
        <v>40</v>
      </c>
      <c r="AR10" s="97">
        <f t="shared" si="0"/>
        <v>344.97999999999996</v>
      </c>
      <c r="AS10" s="58">
        <f>AH63</f>
        <v>7.8650000000000002</v>
      </c>
      <c r="AT10" s="58">
        <f>R63</f>
        <v>337.11499999999995</v>
      </c>
    </row>
    <row r="11" spans="2:51">
      <c r="B11" s="60">
        <v>44981</v>
      </c>
      <c r="C11" s="62" t="s">
        <v>265</v>
      </c>
      <c r="D11" s="79" t="s">
        <v>120</v>
      </c>
      <c r="E11" s="56">
        <v>28.83</v>
      </c>
      <c r="F11" s="76" t="s">
        <v>65</v>
      </c>
      <c r="G11" s="77">
        <f t="shared" si="3"/>
        <v>0</v>
      </c>
      <c r="H11" s="78">
        <f t="shared" si="4"/>
        <v>28.83</v>
      </c>
      <c r="I11" s="481" t="s">
        <v>346</v>
      </c>
      <c r="J11" s="72">
        <f t="shared" si="19"/>
        <v>0</v>
      </c>
      <c r="K11" s="72">
        <f t="shared" si="20"/>
        <v>0</v>
      </c>
      <c r="L11" s="72">
        <f t="shared" si="21"/>
        <v>28.83</v>
      </c>
      <c r="M11" s="72">
        <f t="shared" si="22"/>
        <v>0</v>
      </c>
      <c r="N11" s="72">
        <f t="shared" si="23"/>
        <v>0</v>
      </c>
      <c r="O11" s="72">
        <f t="shared" si="24"/>
        <v>0</v>
      </c>
      <c r="P11" s="72">
        <f t="shared" si="25"/>
        <v>0</v>
      </c>
      <c r="Q11" s="72">
        <f t="shared" si="26"/>
        <v>0</v>
      </c>
      <c r="R11" s="72">
        <f t="shared" si="27"/>
        <v>0</v>
      </c>
      <c r="S11" s="72">
        <f t="shared" si="28"/>
        <v>0</v>
      </c>
      <c r="T11" s="72">
        <f t="shared" si="29"/>
        <v>0</v>
      </c>
      <c r="U11" s="72">
        <f t="shared" si="30"/>
        <v>0</v>
      </c>
      <c r="V11" s="72">
        <f t="shared" si="5"/>
        <v>0</v>
      </c>
      <c r="W11" s="72">
        <f t="shared" si="1"/>
        <v>0</v>
      </c>
      <c r="X11" s="72">
        <f t="shared" si="1"/>
        <v>0</v>
      </c>
      <c r="Z11" s="72">
        <f t="shared" si="6"/>
        <v>0</v>
      </c>
      <c r="AA11" s="72">
        <f t="shared" si="7"/>
        <v>0</v>
      </c>
      <c r="AB11" s="72">
        <f t="shared" si="8"/>
        <v>0</v>
      </c>
      <c r="AC11" s="72">
        <f t="shared" si="9"/>
        <v>0</v>
      </c>
      <c r="AD11" s="72">
        <f t="shared" si="10"/>
        <v>0</v>
      </c>
      <c r="AE11" s="72">
        <f t="shared" si="11"/>
        <v>0</v>
      </c>
      <c r="AF11" s="72">
        <f t="shared" si="12"/>
        <v>0</v>
      </c>
      <c r="AG11" s="72">
        <f t="shared" si="13"/>
        <v>0</v>
      </c>
      <c r="AH11" s="72">
        <f t="shared" si="14"/>
        <v>0</v>
      </c>
      <c r="AI11" s="72">
        <f t="shared" si="15"/>
        <v>0</v>
      </c>
      <c r="AJ11" s="72">
        <f t="shared" si="16"/>
        <v>0</v>
      </c>
      <c r="AK11" s="72">
        <f t="shared" si="17"/>
        <v>0</v>
      </c>
      <c r="AL11" s="72">
        <f t="shared" si="18"/>
        <v>0</v>
      </c>
      <c r="AM11" s="72">
        <f t="shared" si="2"/>
        <v>0</v>
      </c>
      <c r="AN11" s="72">
        <f t="shared" si="2"/>
        <v>0</v>
      </c>
      <c r="AQ11" s="71" t="s">
        <v>55</v>
      </c>
      <c r="AR11" s="97">
        <f t="shared" si="0"/>
        <v>0</v>
      </c>
      <c r="AS11" s="58">
        <f>AI63</f>
        <v>0</v>
      </c>
      <c r="AT11" s="58">
        <f>S63</f>
        <v>0</v>
      </c>
    </row>
    <row r="12" spans="2:51">
      <c r="B12" s="60">
        <v>45002</v>
      </c>
      <c r="C12" s="62" t="s">
        <v>306</v>
      </c>
      <c r="D12" s="79" t="s">
        <v>58</v>
      </c>
      <c r="E12" s="56">
        <v>29.7</v>
      </c>
      <c r="F12" s="76" t="s">
        <v>65</v>
      </c>
      <c r="G12" s="77">
        <f t="shared" si="3"/>
        <v>0</v>
      </c>
      <c r="H12" s="78">
        <f t="shared" si="4"/>
        <v>29.7</v>
      </c>
      <c r="I12" s="481" t="s">
        <v>262</v>
      </c>
      <c r="J12" s="72">
        <f t="shared" si="19"/>
        <v>0</v>
      </c>
      <c r="K12" s="72">
        <f t="shared" si="20"/>
        <v>0</v>
      </c>
      <c r="L12" s="72">
        <f t="shared" si="21"/>
        <v>0</v>
      </c>
      <c r="M12" s="72">
        <f t="shared" si="22"/>
        <v>0</v>
      </c>
      <c r="N12" s="72">
        <f t="shared" si="23"/>
        <v>0</v>
      </c>
      <c r="O12" s="72">
        <f t="shared" si="24"/>
        <v>0</v>
      </c>
      <c r="P12" s="72">
        <f t="shared" si="25"/>
        <v>0</v>
      </c>
      <c r="Q12" s="72">
        <f t="shared" si="26"/>
        <v>0</v>
      </c>
      <c r="R12" s="72">
        <f t="shared" si="27"/>
        <v>0</v>
      </c>
      <c r="S12" s="72">
        <f t="shared" si="28"/>
        <v>0</v>
      </c>
      <c r="T12" s="72">
        <f t="shared" si="29"/>
        <v>29.7</v>
      </c>
      <c r="U12" s="72">
        <f t="shared" si="30"/>
        <v>0</v>
      </c>
      <c r="V12" s="72">
        <f t="shared" si="5"/>
        <v>0</v>
      </c>
      <c r="W12" s="72">
        <f t="shared" si="1"/>
        <v>0</v>
      </c>
      <c r="X12" s="72">
        <f t="shared" si="1"/>
        <v>0</v>
      </c>
      <c r="Z12" s="72">
        <f t="shared" si="6"/>
        <v>0</v>
      </c>
      <c r="AA12" s="72">
        <f t="shared" si="7"/>
        <v>0</v>
      </c>
      <c r="AB12" s="72">
        <f t="shared" si="8"/>
        <v>0</v>
      </c>
      <c r="AC12" s="72">
        <f t="shared" si="9"/>
        <v>0</v>
      </c>
      <c r="AD12" s="72">
        <f t="shared" si="10"/>
        <v>0</v>
      </c>
      <c r="AE12" s="72">
        <f t="shared" si="11"/>
        <v>0</v>
      </c>
      <c r="AF12" s="72">
        <f t="shared" si="12"/>
        <v>0</v>
      </c>
      <c r="AG12" s="72">
        <f t="shared" si="13"/>
        <v>0</v>
      </c>
      <c r="AH12" s="72">
        <f t="shared" si="14"/>
        <v>0</v>
      </c>
      <c r="AI12" s="72">
        <f t="shared" si="15"/>
        <v>0</v>
      </c>
      <c r="AJ12" s="72">
        <f t="shared" si="16"/>
        <v>0</v>
      </c>
      <c r="AK12" s="72">
        <f t="shared" si="17"/>
        <v>0</v>
      </c>
      <c r="AL12" s="72">
        <f t="shared" si="18"/>
        <v>0</v>
      </c>
      <c r="AM12" s="72">
        <f t="shared" si="2"/>
        <v>0</v>
      </c>
      <c r="AN12" s="72">
        <f t="shared" si="2"/>
        <v>0</v>
      </c>
      <c r="AQ12" s="71" t="s">
        <v>58</v>
      </c>
      <c r="AR12" s="97">
        <f t="shared" si="0"/>
        <v>54.59</v>
      </c>
      <c r="AS12" s="58">
        <f>AJ63</f>
        <v>0</v>
      </c>
      <c r="AT12" s="58">
        <f>T63</f>
        <v>54.59</v>
      </c>
      <c r="AY12" s="59"/>
    </row>
    <row r="13" spans="2:51">
      <c r="B13" s="60">
        <v>45003</v>
      </c>
      <c r="C13" s="62" t="s">
        <v>307</v>
      </c>
      <c r="D13" s="79" t="s">
        <v>143</v>
      </c>
      <c r="E13" s="56">
        <v>32.869999999999997</v>
      </c>
      <c r="F13" s="76" t="s">
        <v>65</v>
      </c>
      <c r="G13" s="77">
        <f t="shared" si="3"/>
        <v>0</v>
      </c>
      <c r="H13" s="78">
        <f t="shared" si="4"/>
        <v>32.869999999999997</v>
      </c>
      <c r="I13" s="481" t="s">
        <v>141</v>
      </c>
      <c r="J13" s="72">
        <f t="shared" si="19"/>
        <v>0</v>
      </c>
      <c r="K13" s="72">
        <f t="shared" si="20"/>
        <v>0</v>
      </c>
      <c r="L13" s="72">
        <f t="shared" si="21"/>
        <v>0</v>
      </c>
      <c r="M13" s="72">
        <f t="shared" si="22"/>
        <v>0</v>
      </c>
      <c r="N13" s="72">
        <f t="shared" si="23"/>
        <v>0</v>
      </c>
      <c r="O13" s="72">
        <f t="shared" si="24"/>
        <v>0</v>
      </c>
      <c r="P13" s="72">
        <f t="shared" si="25"/>
        <v>0</v>
      </c>
      <c r="Q13" s="72">
        <f t="shared" si="26"/>
        <v>0</v>
      </c>
      <c r="R13" s="72">
        <f t="shared" si="27"/>
        <v>0</v>
      </c>
      <c r="S13" s="72">
        <f t="shared" si="28"/>
        <v>0</v>
      </c>
      <c r="T13" s="72">
        <f t="shared" si="29"/>
        <v>0</v>
      </c>
      <c r="U13" s="72">
        <f t="shared" si="30"/>
        <v>0</v>
      </c>
      <c r="V13" s="72">
        <f t="shared" si="5"/>
        <v>32.869999999999997</v>
      </c>
      <c r="W13" s="72">
        <f t="shared" si="1"/>
        <v>0</v>
      </c>
      <c r="X13" s="72">
        <f t="shared" si="1"/>
        <v>0</v>
      </c>
      <c r="Z13" s="72">
        <f t="shared" si="6"/>
        <v>0</v>
      </c>
      <c r="AA13" s="72">
        <f t="shared" si="7"/>
        <v>0</v>
      </c>
      <c r="AB13" s="72">
        <f t="shared" si="8"/>
        <v>0</v>
      </c>
      <c r="AC13" s="72">
        <f t="shared" si="9"/>
        <v>0</v>
      </c>
      <c r="AD13" s="72">
        <f t="shared" si="10"/>
        <v>0</v>
      </c>
      <c r="AE13" s="72">
        <f t="shared" si="11"/>
        <v>0</v>
      </c>
      <c r="AF13" s="72">
        <f t="shared" si="12"/>
        <v>0</v>
      </c>
      <c r="AG13" s="72">
        <f t="shared" si="13"/>
        <v>0</v>
      </c>
      <c r="AH13" s="72">
        <f t="shared" si="14"/>
        <v>0</v>
      </c>
      <c r="AI13" s="72">
        <f t="shared" si="15"/>
        <v>0</v>
      </c>
      <c r="AJ13" s="72">
        <f t="shared" si="16"/>
        <v>0</v>
      </c>
      <c r="AK13" s="72">
        <f t="shared" si="17"/>
        <v>0</v>
      </c>
      <c r="AL13" s="72">
        <f t="shared" si="18"/>
        <v>0</v>
      </c>
      <c r="AM13" s="72">
        <f t="shared" si="2"/>
        <v>0</v>
      </c>
      <c r="AN13" s="72">
        <f t="shared" si="2"/>
        <v>0</v>
      </c>
      <c r="AQ13" s="71" t="s">
        <v>52</v>
      </c>
      <c r="AR13" s="97">
        <f t="shared" si="0"/>
        <v>0</v>
      </c>
      <c r="AS13" s="58">
        <f>AK63</f>
        <v>0</v>
      </c>
      <c r="AT13" s="58">
        <f>U63</f>
        <v>0</v>
      </c>
    </row>
    <row r="14" spans="2:51">
      <c r="B14" s="60">
        <v>45007</v>
      </c>
      <c r="C14" s="62" t="s">
        <v>309</v>
      </c>
      <c r="D14" s="79" t="s">
        <v>40</v>
      </c>
      <c r="E14" s="56">
        <v>32.39</v>
      </c>
      <c r="F14" s="76" t="s">
        <v>65</v>
      </c>
      <c r="G14" s="77">
        <f t="shared" si="3"/>
        <v>0</v>
      </c>
      <c r="H14" s="78">
        <f t="shared" si="4"/>
        <v>32.39</v>
      </c>
      <c r="I14" s="481" t="s">
        <v>156</v>
      </c>
      <c r="J14" s="72">
        <f t="shared" si="19"/>
        <v>0</v>
      </c>
      <c r="K14" s="72">
        <f t="shared" si="20"/>
        <v>0</v>
      </c>
      <c r="L14" s="72">
        <f t="shared" si="21"/>
        <v>0</v>
      </c>
      <c r="M14" s="72">
        <f t="shared" si="22"/>
        <v>0</v>
      </c>
      <c r="N14" s="72">
        <f t="shared" si="23"/>
        <v>0</v>
      </c>
      <c r="O14" s="72">
        <f t="shared" si="24"/>
        <v>0</v>
      </c>
      <c r="P14" s="72">
        <f t="shared" si="25"/>
        <v>0</v>
      </c>
      <c r="Q14" s="72">
        <f t="shared" si="26"/>
        <v>0</v>
      </c>
      <c r="R14" s="72">
        <f t="shared" si="27"/>
        <v>32.39</v>
      </c>
      <c r="S14" s="72">
        <f t="shared" si="28"/>
        <v>0</v>
      </c>
      <c r="T14" s="72">
        <f t="shared" si="29"/>
        <v>0</v>
      </c>
      <c r="U14" s="72">
        <f t="shared" si="30"/>
        <v>0</v>
      </c>
      <c r="V14" s="72">
        <f t="shared" si="5"/>
        <v>0</v>
      </c>
      <c r="W14" s="72">
        <f t="shared" si="1"/>
        <v>0</v>
      </c>
      <c r="X14" s="72">
        <f t="shared" si="1"/>
        <v>0</v>
      </c>
      <c r="Z14" s="72">
        <f t="shared" si="6"/>
        <v>0</v>
      </c>
      <c r="AA14" s="72">
        <f t="shared" si="7"/>
        <v>0</v>
      </c>
      <c r="AB14" s="72">
        <f t="shared" si="8"/>
        <v>0</v>
      </c>
      <c r="AC14" s="72">
        <f t="shared" si="9"/>
        <v>0</v>
      </c>
      <c r="AD14" s="72">
        <f t="shared" si="10"/>
        <v>0</v>
      </c>
      <c r="AE14" s="72">
        <f t="shared" si="11"/>
        <v>0</v>
      </c>
      <c r="AF14" s="72">
        <f t="shared" si="12"/>
        <v>0</v>
      </c>
      <c r="AG14" s="72">
        <f t="shared" si="13"/>
        <v>0</v>
      </c>
      <c r="AH14" s="72">
        <f t="shared" si="14"/>
        <v>0</v>
      </c>
      <c r="AI14" s="72">
        <f t="shared" si="15"/>
        <v>0</v>
      </c>
      <c r="AJ14" s="72">
        <f t="shared" si="16"/>
        <v>0</v>
      </c>
      <c r="AK14" s="72">
        <f t="shared" si="17"/>
        <v>0</v>
      </c>
      <c r="AL14" s="72">
        <f t="shared" si="18"/>
        <v>0</v>
      </c>
      <c r="AM14" s="72">
        <f t="shared" si="2"/>
        <v>0</v>
      </c>
      <c r="AN14" s="72">
        <f t="shared" si="2"/>
        <v>0</v>
      </c>
      <c r="AQ14" s="71" t="s">
        <v>143</v>
      </c>
      <c r="AR14" s="97">
        <f t="shared" si="0"/>
        <v>32.869999999999997</v>
      </c>
      <c r="AS14" s="58">
        <f>AL63</f>
        <v>0</v>
      </c>
      <c r="AT14" s="58">
        <f>V63</f>
        <v>32.869999999999997</v>
      </c>
    </row>
    <row r="15" spans="2:51">
      <c r="B15" s="60">
        <v>45032</v>
      </c>
      <c r="C15" s="62" t="s">
        <v>405</v>
      </c>
      <c r="D15" s="79" t="s">
        <v>58</v>
      </c>
      <c r="E15" s="56">
        <v>24.89</v>
      </c>
      <c r="F15" s="76" t="s">
        <v>65</v>
      </c>
      <c r="G15" s="77">
        <f t="shared" ref="G15:G17" si="31">IF(F15="MARCIA",E15,IF(F15="AMBOS",E15/2,0))</f>
        <v>0</v>
      </c>
      <c r="H15" s="78">
        <f t="shared" ref="H15:H17" si="32">IF(F15="LUCIANO",E15,IF(F15="AMBOS",E15/2,0))</f>
        <v>24.89</v>
      </c>
      <c r="I15" s="481"/>
      <c r="J15" s="72">
        <f t="shared" si="19"/>
        <v>0</v>
      </c>
      <c r="K15" s="72">
        <f t="shared" si="20"/>
        <v>0</v>
      </c>
      <c r="L15" s="72">
        <f t="shared" si="21"/>
        <v>0</v>
      </c>
      <c r="M15" s="72">
        <f t="shared" si="22"/>
        <v>0</v>
      </c>
      <c r="N15" s="72">
        <f t="shared" si="23"/>
        <v>0</v>
      </c>
      <c r="O15" s="72">
        <f t="shared" si="24"/>
        <v>0</v>
      </c>
      <c r="P15" s="72">
        <f t="shared" si="25"/>
        <v>0</v>
      </c>
      <c r="Q15" s="72">
        <f t="shared" si="26"/>
        <v>0</v>
      </c>
      <c r="R15" s="72">
        <f t="shared" si="27"/>
        <v>0</v>
      </c>
      <c r="S15" s="72">
        <f t="shared" si="28"/>
        <v>0</v>
      </c>
      <c r="T15" s="72">
        <f t="shared" si="29"/>
        <v>24.89</v>
      </c>
      <c r="U15" s="72">
        <f t="shared" si="30"/>
        <v>0</v>
      </c>
      <c r="V15" s="72">
        <f t="shared" si="5"/>
        <v>0</v>
      </c>
      <c r="W15" s="72">
        <f t="shared" si="1"/>
        <v>0</v>
      </c>
      <c r="X15" s="72">
        <f t="shared" si="1"/>
        <v>0</v>
      </c>
      <c r="Z15" s="72">
        <f t="shared" si="6"/>
        <v>0</v>
      </c>
      <c r="AA15" s="72">
        <f t="shared" si="7"/>
        <v>0</v>
      </c>
      <c r="AB15" s="72">
        <f t="shared" si="8"/>
        <v>0</v>
      </c>
      <c r="AC15" s="72">
        <f t="shared" si="9"/>
        <v>0</v>
      </c>
      <c r="AD15" s="72">
        <f t="shared" si="10"/>
        <v>0</v>
      </c>
      <c r="AE15" s="72">
        <f t="shared" si="11"/>
        <v>0</v>
      </c>
      <c r="AF15" s="72">
        <f t="shared" si="12"/>
        <v>0</v>
      </c>
      <c r="AG15" s="72">
        <f t="shared" si="13"/>
        <v>0</v>
      </c>
      <c r="AH15" s="72">
        <f t="shared" si="14"/>
        <v>0</v>
      </c>
      <c r="AI15" s="72">
        <f t="shared" si="15"/>
        <v>0</v>
      </c>
      <c r="AJ15" s="72">
        <f t="shared" si="16"/>
        <v>0</v>
      </c>
      <c r="AK15" s="72">
        <f t="shared" si="17"/>
        <v>0</v>
      </c>
      <c r="AL15" s="72">
        <f t="shared" si="18"/>
        <v>0</v>
      </c>
      <c r="AM15" s="72">
        <f t="shared" si="2"/>
        <v>0</v>
      </c>
      <c r="AN15" s="72">
        <f t="shared" si="2"/>
        <v>0</v>
      </c>
      <c r="AQ15" s="71"/>
      <c r="AR15" s="97">
        <f t="shared" si="0"/>
        <v>0</v>
      </c>
      <c r="AS15" s="58">
        <f>AM63</f>
        <v>0</v>
      </c>
      <c r="AT15" s="58">
        <f>W63</f>
        <v>0</v>
      </c>
      <c r="AY15" s="59"/>
    </row>
    <row r="16" spans="2:51">
      <c r="B16" s="60">
        <v>45032</v>
      </c>
      <c r="C16" s="62" t="s">
        <v>406</v>
      </c>
      <c r="D16" s="79" t="s">
        <v>36</v>
      </c>
      <c r="E16" s="56">
        <v>80</v>
      </c>
      <c r="F16" s="76" t="s">
        <v>65</v>
      </c>
      <c r="G16" s="77">
        <f t="shared" si="31"/>
        <v>0</v>
      </c>
      <c r="H16" s="78">
        <f t="shared" si="32"/>
        <v>80</v>
      </c>
      <c r="I16" s="481"/>
      <c r="J16" s="72">
        <f t="shared" si="19"/>
        <v>0</v>
      </c>
      <c r="K16" s="72">
        <f t="shared" si="20"/>
        <v>0</v>
      </c>
      <c r="L16" s="72">
        <f t="shared" si="21"/>
        <v>0</v>
      </c>
      <c r="M16" s="72">
        <f t="shared" si="22"/>
        <v>80</v>
      </c>
      <c r="N16" s="72">
        <f t="shared" si="23"/>
        <v>0</v>
      </c>
      <c r="O16" s="72">
        <f t="shared" si="24"/>
        <v>0</v>
      </c>
      <c r="P16" s="72">
        <f t="shared" si="25"/>
        <v>0</v>
      </c>
      <c r="Q16" s="72">
        <f t="shared" si="26"/>
        <v>0</v>
      </c>
      <c r="R16" s="72">
        <f t="shared" si="27"/>
        <v>0</v>
      </c>
      <c r="S16" s="72">
        <f t="shared" si="28"/>
        <v>0</v>
      </c>
      <c r="T16" s="72">
        <f t="shared" si="29"/>
        <v>0</v>
      </c>
      <c r="U16" s="72">
        <f t="shared" si="30"/>
        <v>0</v>
      </c>
      <c r="V16" s="72">
        <f t="shared" si="5"/>
        <v>0</v>
      </c>
      <c r="W16" s="72">
        <f t="shared" si="1"/>
        <v>0</v>
      </c>
      <c r="X16" s="72">
        <f t="shared" si="1"/>
        <v>0</v>
      </c>
      <c r="Z16" s="72">
        <f t="shared" si="6"/>
        <v>0</v>
      </c>
      <c r="AA16" s="72">
        <f t="shared" si="7"/>
        <v>0</v>
      </c>
      <c r="AB16" s="72">
        <f t="shared" si="8"/>
        <v>0</v>
      </c>
      <c r="AC16" s="72">
        <f t="shared" si="9"/>
        <v>0</v>
      </c>
      <c r="AD16" s="72">
        <f t="shared" si="10"/>
        <v>0</v>
      </c>
      <c r="AE16" s="72">
        <f t="shared" si="11"/>
        <v>0</v>
      </c>
      <c r="AF16" s="72">
        <f t="shared" si="12"/>
        <v>0</v>
      </c>
      <c r="AG16" s="72">
        <f t="shared" si="13"/>
        <v>0</v>
      </c>
      <c r="AH16" s="72">
        <f t="shared" si="14"/>
        <v>0</v>
      </c>
      <c r="AI16" s="72">
        <f t="shared" si="15"/>
        <v>0</v>
      </c>
      <c r="AJ16" s="72">
        <f t="shared" si="16"/>
        <v>0</v>
      </c>
      <c r="AK16" s="72">
        <f t="shared" si="17"/>
        <v>0</v>
      </c>
      <c r="AL16" s="72">
        <f t="shared" si="18"/>
        <v>0</v>
      </c>
      <c r="AM16" s="72">
        <f t="shared" si="2"/>
        <v>0</v>
      </c>
      <c r="AN16" s="72">
        <f t="shared" si="2"/>
        <v>0</v>
      </c>
      <c r="AQ16" s="71"/>
      <c r="AR16" s="97">
        <f t="shared" si="0"/>
        <v>0</v>
      </c>
      <c r="AS16" s="95">
        <f>AN63</f>
        <v>0</v>
      </c>
      <c r="AT16" s="95">
        <f>X63</f>
        <v>0</v>
      </c>
      <c r="AU16" s="59"/>
    </row>
    <row r="17" spans="2:52">
      <c r="B17" s="60">
        <v>45032</v>
      </c>
      <c r="C17" s="62" t="s">
        <v>407</v>
      </c>
      <c r="D17" s="79" t="s">
        <v>57</v>
      </c>
      <c r="E17" s="56">
        <v>111</v>
      </c>
      <c r="F17" s="76" t="s">
        <v>65</v>
      </c>
      <c r="G17" s="77">
        <f t="shared" si="31"/>
        <v>0</v>
      </c>
      <c r="H17" s="78">
        <f t="shared" si="32"/>
        <v>111</v>
      </c>
      <c r="I17" s="481"/>
      <c r="J17" s="72">
        <f t="shared" si="19"/>
        <v>111</v>
      </c>
      <c r="K17" s="72">
        <f t="shared" si="20"/>
        <v>0</v>
      </c>
      <c r="L17" s="72">
        <f t="shared" si="21"/>
        <v>0</v>
      </c>
      <c r="M17" s="72">
        <f t="shared" si="22"/>
        <v>0</v>
      </c>
      <c r="N17" s="72">
        <f t="shared" si="23"/>
        <v>0</v>
      </c>
      <c r="O17" s="72">
        <f t="shared" si="24"/>
        <v>0</v>
      </c>
      <c r="P17" s="72">
        <f t="shared" si="25"/>
        <v>0</v>
      </c>
      <c r="Q17" s="72">
        <f t="shared" si="26"/>
        <v>0</v>
      </c>
      <c r="R17" s="72">
        <f t="shared" si="27"/>
        <v>0</v>
      </c>
      <c r="S17" s="72">
        <f t="shared" si="28"/>
        <v>0</v>
      </c>
      <c r="T17" s="72">
        <f t="shared" si="29"/>
        <v>0</v>
      </c>
      <c r="U17" s="72">
        <f t="shared" si="30"/>
        <v>0</v>
      </c>
      <c r="V17" s="72">
        <f t="shared" si="5"/>
        <v>0</v>
      </c>
      <c r="W17" s="72">
        <f t="shared" si="1"/>
        <v>0</v>
      </c>
      <c r="X17" s="72">
        <f t="shared" si="1"/>
        <v>0</v>
      </c>
      <c r="Z17" s="72">
        <f t="shared" si="6"/>
        <v>0</v>
      </c>
      <c r="AA17" s="72">
        <f t="shared" si="7"/>
        <v>0</v>
      </c>
      <c r="AB17" s="72">
        <f t="shared" si="8"/>
        <v>0</v>
      </c>
      <c r="AC17" s="72">
        <f t="shared" si="9"/>
        <v>0</v>
      </c>
      <c r="AD17" s="72">
        <f t="shared" si="10"/>
        <v>0</v>
      </c>
      <c r="AE17" s="72">
        <f t="shared" si="11"/>
        <v>0</v>
      </c>
      <c r="AF17" s="72">
        <f t="shared" si="12"/>
        <v>0</v>
      </c>
      <c r="AG17" s="72">
        <f t="shared" si="13"/>
        <v>0</v>
      </c>
      <c r="AH17" s="72">
        <f t="shared" si="14"/>
        <v>0</v>
      </c>
      <c r="AI17" s="72">
        <f t="shared" si="15"/>
        <v>0</v>
      </c>
      <c r="AJ17" s="72">
        <f t="shared" si="16"/>
        <v>0</v>
      </c>
      <c r="AK17" s="72">
        <f t="shared" si="17"/>
        <v>0</v>
      </c>
      <c r="AL17" s="72">
        <f t="shared" si="18"/>
        <v>0</v>
      </c>
      <c r="AM17" s="72">
        <f t="shared" si="2"/>
        <v>0</v>
      </c>
      <c r="AN17" s="72">
        <f t="shared" si="2"/>
        <v>0</v>
      </c>
      <c r="AQ17" s="87" t="s">
        <v>67</v>
      </c>
      <c r="AR17" s="96">
        <f>SUM(AR2:AR16)</f>
        <v>1725.0399999999997</v>
      </c>
      <c r="AS17" s="88">
        <f>SUM(AS2:AS16)</f>
        <v>560.95833333333326</v>
      </c>
      <c r="AT17" s="88">
        <f>SUM(AT2:AT16)</f>
        <v>1164.0816666666665</v>
      </c>
    </row>
    <row r="18" spans="2:52">
      <c r="B18" s="60">
        <v>45030</v>
      </c>
      <c r="C18" s="62" t="s">
        <v>408</v>
      </c>
      <c r="D18" s="79" t="s">
        <v>40</v>
      </c>
      <c r="E18" s="56">
        <v>40</v>
      </c>
      <c r="F18" s="76" t="s">
        <v>65</v>
      </c>
      <c r="G18" s="77">
        <f t="shared" si="3"/>
        <v>0</v>
      </c>
      <c r="H18" s="78">
        <f t="shared" si="4"/>
        <v>40</v>
      </c>
      <c r="I18" s="481" t="s">
        <v>409</v>
      </c>
      <c r="J18" s="72">
        <f t="shared" si="19"/>
        <v>0</v>
      </c>
      <c r="K18" s="72">
        <f t="shared" si="20"/>
        <v>0</v>
      </c>
      <c r="L18" s="72">
        <f t="shared" si="21"/>
        <v>0</v>
      </c>
      <c r="M18" s="72">
        <f t="shared" si="22"/>
        <v>0</v>
      </c>
      <c r="N18" s="72">
        <f t="shared" si="23"/>
        <v>0</v>
      </c>
      <c r="O18" s="72">
        <f t="shared" si="24"/>
        <v>0</v>
      </c>
      <c r="P18" s="72">
        <f t="shared" si="25"/>
        <v>0</v>
      </c>
      <c r="Q18" s="72">
        <f t="shared" si="26"/>
        <v>0</v>
      </c>
      <c r="R18" s="72">
        <f t="shared" si="27"/>
        <v>40</v>
      </c>
      <c r="S18" s="72">
        <f t="shared" si="28"/>
        <v>0</v>
      </c>
      <c r="T18" s="72">
        <f t="shared" si="29"/>
        <v>0</v>
      </c>
      <c r="U18" s="72">
        <f t="shared" si="30"/>
        <v>0</v>
      </c>
      <c r="V18" s="72">
        <f t="shared" si="5"/>
        <v>0</v>
      </c>
      <c r="W18" s="72">
        <f t="shared" si="1"/>
        <v>0</v>
      </c>
      <c r="X18" s="72">
        <f t="shared" si="1"/>
        <v>0</v>
      </c>
      <c r="Z18" s="72">
        <f t="shared" si="6"/>
        <v>0</v>
      </c>
      <c r="AA18" s="72">
        <f t="shared" si="7"/>
        <v>0</v>
      </c>
      <c r="AB18" s="72">
        <f t="shared" si="8"/>
        <v>0</v>
      </c>
      <c r="AC18" s="72">
        <f t="shared" si="9"/>
        <v>0</v>
      </c>
      <c r="AD18" s="72">
        <f t="shared" si="10"/>
        <v>0</v>
      </c>
      <c r="AE18" s="72">
        <f t="shared" si="11"/>
        <v>0</v>
      </c>
      <c r="AF18" s="72">
        <f t="shared" si="12"/>
        <v>0</v>
      </c>
      <c r="AG18" s="72">
        <f t="shared" si="13"/>
        <v>0</v>
      </c>
      <c r="AH18" s="72">
        <f t="shared" si="14"/>
        <v>0</v>
      </c>
      <c r="AI18" s="72">
        <f t="shared" si="15"/>
        <v>0</v>
      </c>
      <c r="AJ18" s="72">
        <f t="shared" si="16"/>
        <v>0</v>
      </c>
      <c r="AK18" s="72">
        <f t="shared" si="17"/>
        <v>0</v>
      </c>
      <c r="AL18" s="72">
        <f t="shared" si="18"/>
        <v>0</v>
      </c>
      <c r="AM18" s="72">
        <f t="shared" si="2"/>
        <v>0</v>
      </c>
      <c r="AN18" s="72">
        <f t="shared" si="2"/>
        <v>0</v>
      </c>
      <c r="AQ18" s="80" t="s">
        <v>65</v>
      </c>
      <c r="AR18" s="850" t="s">
        <v>45</v>
      </c>
      <c r="AS18" s="851"/>
      <c r="AT18" s="852"/>
      <c r="AU18" s="99"/>
      <c r="AV18" s="98"/>
    </row>
    <row r="19" spans="2:52">
      <c r="B19" s="60">
        <v>45033</v>
      </c>
      <c r="C19" s="62" t="s">
        <v>413</v>
      </c>
      <c r="D19" s="79" t="s">
        <v>40</v>
      </c>
      <c r="E19" s="56">
        <v>69.28</v>
      </c>
      <c r="F19" s="76" t="s">
        <v>65</v>
      </c>
      <c r="G19" s="77">
        <f t="shared" si="3"/>
        <v>0</v>
      </c>
      <c r="H19" s="78">
        <f t="shared" si="4"/>
        <v>69.28</v>
      </c>
      <c r="I19" s="481"/>
      <c r="J19" s="72">
        <f t="shared" si="19"/>
        <v>0</v>
      </c>
      <c r="K19" s="72">
        <f t="shared" si="20"/>
        <v>0</v>
      </c>
      <c r="L19" s="72">
        <f t="shared" si="21"/>
        <v>0</v>
      </c>
      <c r="M19" s="72">
        <f t="shared" si="22"/>
        <v>0</v>
      </c>
      <c r="N19" s="72">
        <f t="shared" si="23"/>
        <v>0</v>
      </c>
      <c r="O19" s="72">
        <f t="shared" si="24"/>
        <v>0</v>
      </c>
      <c r="P19" s="72">
        <f t="shared" si="25"/>
        <v>0</v>
      </c>
      <c r="Q19" s="72">
        <f t="shared" si="26"/>
        <v>0</v>
      </c>
      <c r="R19" s="72">
        <f t="shared" si="27"/>
        <v>69.28</v>
      </c>
      <c r="S19" s="72">
        <f t="shared" si="28"/>
        <v>0</v>
      </c>
      <c r="T19" s="72">
        <f t="shared" si="29"/>
        <v>0</v>
      </c>
      <c r="U19" s="72">
        <f t="shared" si="30"/>
        <v>0</v>
      </c>
      <c r="V19" s="72">
        <f t="shared" si="5"/>
        <v>0</v>
      </c>
      <c r="W19" s="72">
        <f t="shared" si="5"/>
        <v>0</v>
      </c>
      <c r="X19" s="72">
        <f t="shared" si="5"/>
        <v>0</v>
      </c>
      <c r="Z19" s="72">
        <f t="shared" si="6"/>
        <v>0</v>
      </c>
      <c r="AA19" s="72">
        <f t="shared" si="7"/>
        <v>0</v>
      </c>
      <c r="AB19" s="72">
        <f t="shared" si="8"/>
        <v>0</v>
      </c>
      <c r="AC19" s="72">
        <f t="shared" si="9"/>
        <v>0</v>
      </c>
      <c r="AD19" s="72">
        <f t="shared" si="10"/>
        <v>0</v>
      </c>
      <c r="AE19" s="72">
        <f t="shared" si="11"/>
        <v>0</v>
      </c>
      <c r="AF19" s="72">
        <f t="shared" si="12"/>
        <v>0</v>
      </c>
      <c r="AG19" s="72">
        <f t="shared" si="13"/>
        <v>0</v>
      </c>
      <c r="AH19" s="72">
        <f t="shared" si="14"/>
        <v>0</v>
      </c>
      <c r="AI19" s="72">
        <f t="shared" si="15"/>
        <v>0</v>
      </c>
      <c r="AJ19" s="72">
        <f t="shared" si="16"/>
        <v>0</v>
      </c>
      <c r="AK19" s="72">
        <f t="shared" si="17"/>
        <v>0</v>
      </c>
      <c r="AL19" s="72">
        <f t="shared" si="18"/>
        <v>0</v>
      </c>
      <c r="AM19" s="72">
        <f t="shared" si="18"/>
        <v>0</v>
      </c>
      <c r="AN19" s="72">
        <f t="shared" si="18"/>
        <v>0</v>
      </c>
      <c r="AQ19" s="80" t="s">
        <v>66</v>
      </c>
      <c r="AU19" s="98"/>
    </row>
    <row r="20" spans="2:52">
      <c r="B20" s="60">
        <v>45035</v>
      </c>
      <c r="C20" s="62" t="s">
        <v>418</v>
      </c>
      <c r="D20" s="79" t="s">
        <v>51</v>
      </c>
      <c r="E20" s="56">
        <v>125</v>
      </c>
      <c r="F20" s="76" t="s">
        <v>66</v>
      </c>
      <c r="G20" s="77">
        <f t="shared" si="3"/>
        <v>62.5</v>
      </c>
      <c r="H20" s="78">
        <f t="shared" si="4"/>
        <v>62.5</v>
      </c>
      <c r="I20" s="481"/>
      <c r="J20" s="72">
        <f t="shared" si="19"/>
        <v>0</v>
      </c>
      <c r="K20" s="72">
        <f t="shared" si="20"/>
        <v>62.5</v>
      </c>
      <c r="L20" s="72">
        <f t="shared" si="21"/>
        <v>0</v>
      </c>
      <c r="M20" s="72">
        <f t="shared" si="22"/>
        <v>0</v>
      </c>
      <c r="N20" s="72">
        <f t="shared" si="23"/>
        <v>0</v>
      </c>
      <c r="O20" s="72">
        <f t="shared" si="24"/>
        <v>0</v>
      </c>
      <c r="P20" s="72">
        <f t="shared" si="25"/>
        <v>0</v>
      </c>
      <c r="Q20" s="72">
        <f t="shared" si="26"/>
        <v>0</v>
      </c>
      <c r="R20" s="72">
        <f t="shared" si="27"/>
        <v>0</v>
      </c>
      <c r="S20" s="72">
        <f t="shared" si="28"/>
        <v>0</v>
      </c>
      <c r="T20" s="72">
        <f t="shared" si="29"/>
        <v>0</v>
      </c>
      <c r="U20" s="72">
        <f t="shared" si="30"/>
        <v>0</v>
      </c>
      <c r="V20" s="72">
        <f t="shared" si="5"/>
        <v>0</v>
      </c>
      <c r="W20" s="72">
        <f t="shared" si="5"/>
        <v>0</v>
      </c>
      <c r="X20" s="72">
        <f t="shared" si="5"/>
        <v>0</v>
      </c>
      <c r="Z20" s="72">
        <f t="shared" si="6"/>
        <v>0</v>
      </c>
      <c r="AA20" s="72">
        <f t="shared" si="7"/>
        <v>62.5</v>
      </c>
      <c r="AB20" s="72">
        <f t="shared" si="8"/>
        <v>0</v>
      </c>
      <c r="AC20" s="72">
        <f t="shared" si="9"/>
        <v>0</v>
      </c>
      <c r="AD20" s="72">
        <f t="shared" si="10"/>
        <v>0</v>
      </c>
      <c r="AE20" s="72">
        <f t="shared" si="11"/>
        <v>0</v>
      </c>
      <c r="AF20" s="72">
        <f t="shared" si="12"/>
        <v>0</v>
      </c>
      <c r="AG20" s="72">
        <f t="shared" si="13"/>
        <v>0</v>
      </c>
      <c r="AH20" s="72">
        <f t="shared" si="14"/>
        <v>0</v>
      </c>
      <c r="AI20" s="72">
        <f t="shared" si="15"/>
        <v>0</v>
      </c>
      <c r="AJ20" s="72">
        <f t="shared" si="16"/>
        <v>0</v>
      </c>
      <c r="AK20" s="72">
        <f t="shared" si="17"/>
        <v>0</v>
      </c>
      <c r="AL20" s="72">
        <f t="shared" si="18"/>
        <v>0</v>
      </c>
      <c r="AM20" s="72">
        <f t="shared" si="18"/>
        <v>0</v>
      </c>
      <c r="AN20" s="72">
        <f t="shared" si="18"/>
        <v>0</v>
      </c>
    </row>
    <row r="21" spans="2:52">
      <c r="B21" s="60">
        <v>45039</v>
      </c>
      <c r="C21" s="62" t="s">
        <v>422</v>
      </c>
      <c r="D21" s="79" t="s">
        <v>56</v>
      </c>
      <c r="E21" s="56">
        <v>142.56</v>
      </c>
      <c r="F21" s="76" t="s">
        <v>66</v>
      </c>
      <c r="G21" s="77">
        <f>E21-H21</f>
        <v>100.56</v>
      </c>
      <c r="H21" s="78">
        <v>42</v>
      </c>
      <c r="I21" s="481"/>
      <c r="J21" s="72">
        <f t="shared" si="19"/>
        <v>0</v>
      </c>
      <c r="K21" s="72">
        <f t="shared" si="20"/>
        <v>0</v>
      </c>
      <c r="L21" s="72">
        <f t="shared" si="21"/>
        <v>0</v>
      </c>
      <c r="M21" s="72">
        <f t="shared" si="22"/>
        <v>0</v>
      </c>
      <c r="N21" s="72">
        <f t="shared" si="23"/>
        <v>42</v>
      </c>
      <c r="O21" s="72">
        <f t="shared" si="24"/>
        <v>0</v>
      </c>
      <c r="P21" s="72">
        <f t="shared" si="25"/>
        <v>0</v>
      </c>
      <c r="Q21" s="72">
        <f t="shared" si="26"/>
        <v>0</v>
      </c>
      <c r="R21" s="72">
        <f t="shared" si="27"/>
        <v>0</v>
      </c>
      <c r="S21" s="72">
        <f t="shared" si="28"/>
        <v>0</v>
      </c>
      <c r="T21" s="72">
        <f t="shared" si="29"/>
        <v>0</v>
      </c>
      <c r="U21" s="72">
        <f t="shared" si="30"/>
        <v>0</v>
      </c>
      <c r="V21" s="72">
        <f t="shared" si="5"/>
        <v>0</v>
      </c>
      <c r="W21" s="72">
        <f t="shared" si="5"/>
        <v>0</v>
      </c>
      <c r="X21" s="72">
        <f t="shared" si="5"/>
        <v>0</v>
      </c>
      <c r="Z21" s="72">
        <f t="shared" si="6"/>
        <v>0</v>
      </c>
      <c r="AA21" s="72">
        <f t="shared" si="7"/>
        <v>0</v>
      </c>
      <c r="AB21" s="72">
        <f t="shared" si="8"/>
        <v>0</v>
      </c>
      <c r="AC21" s="72">
        <f t="shared" si="9"/>
        <v>0</v>
      </c>
      <c r="AD21" s="72">
        <f t="shared" si="10"/>
        <v>100.56</v>
      </c>
      <c r="AE21" s="72">
        <f t="shared" si="11"/>
        <v>0</v>
      </c>
      <c r="AF21" s="72">
        <f t="shared" si="12"/>
        <v>0</v>
      </c>
      <c r="AG21" s="72">
        <f t="shared" si="13"/>
        <v>0</v>
      </c>
      <c r="AH21" s="72">
        <f t="shared" si="14"/>
        <v>0</v>
      </c>
      <c r="AI21" s="72">
        <f t="shared" si="15"/>
        <v>0</v>
      </c>
      <c r="AJ21" s="72">
        <f t="shared" si="16"/>
        <v>0</v>
      </c>
      <c r="AK21" s="72">
        <f t="shared" si="17"/>
        <v>0</v>
      </c>
      <c r="AL21" s="72">
        <f t="shared" si="18"/>
        <v>0</v>
      </c>
      <c r="AM21" s="72">
        <f t="shared" si="18"/>
        <v>0</v>
      </c>
      <c r="AN21" s="72">
        <f t="shared" si="18"/>
        <v>0</v>
      </c>
    </row>
    <row r="22" spans="2:52">
      <c r="B22" s="60">
        <v>45036</v>
      </c>
      <c r="C22" s="62" t="s">
        <v>423</v>
      </c>
      <c r="D22" s="79" t="s">
        <v>40</v>
      </c>
      <c r="E22" s="56">
        <v>29.7</v>
      </c>
      <c r="F22" s="76" t="s">
        <v>65</v>
      </c>
      <c r="G22" s="77">
        <f t="shared" si="3"/>
        <v>0</v>
      </c>
      <c r="H22" s="78">
        <f t="shared" si="4"/>
        <v>29.7</v>
      </c>
      <c r="I22" s="482"/>
      <c r="J22" s="72">
        <f t="shared" si="19"/>
        <v>0</v>
      </c>
      <c r="K22" s="72">
        <f t="shared" si="20"/>
        <v>0</v>
      </c>
      <c r="L22" s="72">
        <f t="shared" si="21"/>
        <v>0</v>
      </c>
      <c r="M22" s="72">
        <f t="shared" si="22"/>
        <v>0</v>
      </c>
      <c r="N22" s="72">
        <f t="shared" si="23"/>
        <v>0</v>
      </c>
      <c r="O22" s="72">
        <f t="shared" si="24"/>
        <v>0</v>
      </c>
      <c r="P22" s="72">
        <f t="shared" si="25"/>
        <v>0</v>
      </c>
      <c r="Q22" s="72">
        <f t="shared" si="26"/>
        <v>0</v>
      </c>
      <c r="R22" s="72">
        <f t="shared" si="27"/>
        <v>29.7</v>
      </c>
      <c r="S22" s="72">
        <f t="shared" si="28"/>
        <v>0</v>
      </c>
      <c r="T22" s="72">
        <f t="shared" si="29"/>
        <v>0</v>
      </c>
      <c r="U22" s="72">
        <f t="shared" si="30"/>
        <v>0</v>
      </c>
      <c r="V22" s="72">
        <f t="shared" si="5"/>
        <v>0</v>
      </c>
      <c r="W22" s="72">
        <f t="shared" si="5"/>
        <v>0</v>
      </c>
      <c r="X22" s="72">
        <f t="shared" si="5"/>
        <v>0</v>
      </c>
      <c r="Y22" s="61"/>
      <c r="Z22" s="72">
        <f t="shared" si="6"/>
        <v>0</v>
      </c>
      <c r="AA22" s="72">
        <f t="shared" si="7"/>
        <v>0</v>
      </c>
      <c r="AB22" s="72">
        <f t="shared" si="8"/>
        <v>0</v>
      </c>
      <c r="AC22" s="72">
        <f t="shared" si="9"/>
        <v>0</v>
      </c>
      <c r="AD22" s="72">
        <f t="shared" si="10"/>
        <v>0</v>
      </c>
      <c r="AE22" s="72">
        <f t="shared" si="11"/>
        <v>0</v>
      </c>
      <c r="AF22" s="72">
        <f t="shared" si="12"/>
        <v>0</v>
      </c>
      <c r="AG22" s="72">
        <f t="shared" si="13"/>
        <v>0</v>
      </c>
      <c r="AH22" s="72">
        <f t="shared" si="14"/>
        <v>0</v>
      </c>
      <c r="AI22" s="72">
        <f t="shared" si="15"/>
        <v>0</v>
      </c>
      <c r="AJ22" s="72">
        <f t="shared" si="16"/>
        <v>0</v>
      </c>
      <c r="AK22" s="72">
        <f t="shared" si="17"/>
        <v>0</v>
      </c>
      <c r="AL22" s="72">
        <f t="shared" si="18"/>
        <v>0</v>
      </c>
      <c r="AM22" s="72">
        <f t="shared" si="18"/>
        <v>0</v>
      </c>
      <c r="AN22" s="72">
        <f t="shared" si="18"/>
        <v>0</v>
      </c>
      <c r="AO22" s="61"/>
      <c r="AP22" s="61"/>
    </row>
    <row r="23" spans="2:52" ht="17.25" customHeight="1" thickBot="1">
      <c r="B23" s="871" t="s">
        <v>267</v>
      </c>
      <c r="C23" s="872"/>
      <c r="D23" s="872"/>
      <c r="E23" s="872"/>
      <c r="F23" s="872"/>
      <c r="G23" s="872"/>
      <c r="H23" s="873"/>
      <c r="I23" s="481"/>
      <c r="J23" s="72">
        <f t="shared" si="19"/>
        <v>0</v>
      </c>
      <c r="K23" s="72">
        <f t="shared" si="20"/>
        <v>0</v>
      </c>
      <c r="L23" s="72">
        <f t="shared" si="21"/>
        <v>0</v>
      </c>
      <c r="M23" s="72">
        <f t="shared" si="22"/>
        <v>0</v>
      </c>
      <c r="N23" s="72">
        <f t="shared" si="23"/>
        <v>0</v>
      </c>
      <c r="O23" s="72">
        <f t="shared" si="24"/>
        <v>0</v>
      </c>
      <c r="P23" s="72">
        <f t="shared" si="25"/>
        <v>0</v>
      </c>
      <c r="Q23" s="72">
        <f t="shared" si="26"/>
        <v>0</v>
      </c>
      <c r="R23" s="72">
        <f t="shared" si="27"/>
        <v>0</v>
      </c>
      <c r="S23" s="72">
        <f t="shared" si="28"/>
        <v>0</v>
      </c>
      <c r="T23" s="72">
        <f t="shared" si="29"/>
        <v>0</v>
      </c>
      <c r="U23" s="72">
        <f t="shared" si="30"/>
        <v>0</v>
      </c>
      <c r="V23" s="72">
        <f t="shared" si="5"/>
        <v>0</v>
      </c>
      <c r="W23" s="72">
        <f t="shared" si="5"/>
        <v>0</v>
      </c>
      <c r="X23" s="72">
        <f t="shared" si="5"/>
        <v>0</v>
      </c>
      <c r="Z23" s="72">
        <f t="shared" si="6"/>
        <v>0</v>
      </c>
      <c r="AA23" s="72">
        <f t="shared" si="7"/>
        <v>0</v>
      </c>
      <c r="AB23" s="72">
        <f t="shared" si="8"/>
        <v>0</v>
      </c>
      <c r="AC23" s="72">
        <f t="shared" si="9"/>
        <v>0</v>
      </c>
      <c r="AD23" s="72">
        <f t="shared" si="10"/>
        <v>0</v>
      </c>
      <c r="AE23" s="72">
        <f t="shared" si="11"/>
        <v>0</v>
      </c>
      <c r="AF23" s="72">
        <f t="shared" si="12"/>
        <v>0</v>
      </c>
      <c r="AG23" s="72">
        <f t="shared" si="13"/>
        <v>0</v>
      </c>
      <c r="AH23" s="72">
        <f t="shared" si="14"/>
        <v>0</v>
      </c>
      <c r="AI23" s="72">
        <f t="shared" si="15"/>
        <v>0</v>
      </c>
      <c r="AJ23" s="72">
        <f t="shared" si="16"/>
        <v>0</v>
      </c>
      <c r="AK23" s="72">
        <f t="shared" si="17"/>
        <v>0</v>
      </c>
      <c r="AL23" s="72">
        <f t="shared" si="18"/>
        <v>0</v>
      </c>
      <c r="AM23" s="72">
        <f t="shared" si="18"/>
        <v>0</v>
      </c>
      <c r="AN23" s="72">
        <f t="shared" si="18"/>
        <v>0</v>
      </c>
      <c r="AV23" s="864" t="s">
        <v>134</v>
      </c>
      <c r="AW23" s="864"/>
      <c r="AY23" s="866" t="s">
        <v>133</v>
      </c>
      <c r="AZ23" s="866"/>
    </row>
    <row r="24" spans="2:52" ht="16.5" customHeight="1">
      <c r="B24" s="874"/>
      <c r="C24" s="875"/>
      <c r="D24" s="875"/>
      <c r="E24" s="875"/>
      <c r="F24" s="875"/>
      <c r="G24" s="875"/>
      <c r="H24" s="876"/>
      <c r="I24" s="481"/>
      <c r="J24" s="72">
        <f t="shared" si="19"/>
        <v>0</v>
      </c>
      <c r="K24" s="72">
        <f t="shared" si="20"/>
        <v>0</v>
      </c>
      <c r="L24" s="72">
        <f t="shared" si="21"/>
        <v>0</v>
      </c>
      <c r="M24" s="72">
        <f t="shared" si="22"/>
        <v>0</v>
      </c>
      <c r="N24" s="72">
        <f t="shared" si="23"/>
        <v>0</v>
      </c>
      <c r="O24" s="72">
        <f t="shared" si="24"/>
        <v>0</v>
      </c>
      <c r="P24" s="72">
        <f t="shared" si="25"/>
        <v>0</v>
      </c>
      <c r="Q24" s="72">
        <f t="shared" si="26"/>
        <v>0</v>
      </c>
      <c r="R24" s="72">
        <f t="shared" si="27"/>
        <v>0</v>
      </c>
      <c r="S24" s="72">
        <f t="shared" si="28"/>
        <v>0</v>
      </c>
      <c r="T24" s="72">
        <f t="shared" si="29"/>
        <v>0</v>
      </c>
      <c r="U24" s="72">
        <f t="shared" si="30"/>
        <v>0</v>
      </c>
      <c r="V24" s="72">
        <f t="shared" si="5"/>
        <v>0</v>
      </c>
      <c r="W24" s="72">
        <f t="shared" si="5"/>
        <v>0</v>
      </c>
      <c r="X24" s="72">
        <f t="shared" si="5"/>
        <v>0</v>
      </c>
      <c r="Z24" s="72">
        <f t="shared" si="6"/>
        <v>0</v>
      </c>
      <c r="AA24" s="72">
        <f t="shared" si="7"/>
        <v>0</v>
      </c>
      <c r="AB24" s="72">
        <f t="shared" si="8"/>
        <v>0</v>
      </c>
      <c r="AC24" s="72">
        <f t="shared" si="9"/>
        <v>0</v>
      </c>
      <c r="AD24" s="72">
        <f t="shared" si="10"/>
        <v>0</v>
      </c>
      <c r="AE24" s="72">
        <f t="shared" si="11"/>
        <v>0</v>
      </c>
      <c r="AF24" s="72">
        <f t="shared" si="12"/>
        <v>0</v>
      </c>
      <c r="AG24" s="72">
        <f t="shared" si="13"/>
        <v>0</v>
      </c>
      <c r="AH24" s="72">
        <f t="shared" si="14"/>
        <v>0</v>
      </c>
      <c r="AI24" s="72">
        <f t="shared" si="15"/>
        <v>0</v>
      </c>
      <c r="AJ24" s="72">
        <f t="shared" si="16"/>
        <v>0</v>
      </c>
      <c r="AK24" s="72">
        <f t="shared" si="17"/>
        <v>0</v>
      </c>
      <c r="AL24" s="72">
        <f t="shared" si="18"/>
        <v>0</v>
      </c>
      <c r="AM24" s="72">
        <f t="shared" si="18"/>
        <v>0</v>
      </c>
      <c r="AN24" s="72">
        <f t="shared" si="18"/>
        <v>0</v>
      </c>
      <c r="AP24" s="491"/>
      <c r="AQ24" s="487" t="s">
        <v>350</v>
      </c>
      <c r="AR24" s="494">
        <f>AR17</f>
        <v>1725.0399999999997</v>
      </c>
      <c r="AV24" s="112" t="s">
        <v>75</v>
      </c>
      <c r="AW24" s="1">
        <v>119.8</v>
      </c>
      <c r="AY24" s="502" t="s">
        <v>130</v>
      </c>
      <c r="AZ24" s="503">
        <f>AS17</f>
        <v>560.95833333333326</v>
      </c>
    </row>
    <row r="25" spans="2:52" ht="16.5" customHeight="1">
      <c r="B25" s="874"/>
      <c r="C25" s="875"/>
      <c r="D25" s="875"/>
      <c r="E25" s="875"/>
      <c r="F25" s="875"/>
      <c r="G25" s="875"/>
      <c r="H25" s="876"/>
      <c r="I25" s="481"/>
      <c r="J25" s="72">
        <f t="shared" si="19"/>
        <v>0</v>
      </c>
      <c r="K25" s="72">
        <f t="shared" si="20"/>
        <v>0</v>
      </c>
      <c r="L25" s="72">
        <f t="shared" si="21"/>
        <v>0</v>
      </c>
      <c r="M25" s="72">
        <f t="shared" si="22"/>
        <v>0</v>
      </c>
      <c r="N25" s="72">
        <f t="shared" si="23"/>
        <v>0</v>
      </c>
      <c r="O25" s="72">
        <f t="shared" si="24"/>
        <v>0</v>
      </c>
      <c r="P25" s="72">
        <f t="shared" si="25"/>
        <v>0</v>
      </c>
      <c r="Q25" s="72">
        <f t="shared" si="26"/>
        <v>0</v>
      </c>
      <c r="R25" s="72">
        <f t="shared" si="27"/>
        <v>0</v>
      </c>
      <c r="S25" s="72">
        <f t="shared" si="28"/>
        <v>0</v>
      </c>
      <c r="T25" s="72">
        <f t="shared" si="29"/>
        <v>0</v>
      </c>
      <c r="U25" s="72">
        <f t="shared" si="30"/>
        <v>0</v>
      </c>
      <c r="V25" s="72">
        <f t="shared" si="5"/>
        <v>0</v>
      </c>
      <c r="W25" s="72">
        <f t="shared" si="5"/>
        <v>0</v>
      </c>
      <c r="X25" s="72">
        <f t="shared" si="5"/>
        <v>0</v>
      </c>
      <c r="Z25" s="72">
        <f t="shared" si="6"/>
        <v>0</v>
      </c>
      <c r="AA25" s="72">
        <f t="shared" si="7"/>
        <v>0</v>
      </c>
      <c r="AB25" s="72">
        <f t="shared" si="8"/>
        <v>0</v>
      </c>
      <c r="AC25" s="72">
        <f t="shared" si="9"/>
        <v>0</v>
      </c>
      <c r="AD25" s="72">
        <f t="shared" si="10"/>
        <v>0</v>
      </c>
      <c r="AE25" s="72">
        <f t="shared" si="11"/>
        <v>0</v>
      </c>
      <c r="AF25" s="72">
        <f t="shared" si="12"/>
        <v>0</v>
      </c>
      <c r="AG25" s="72">
        <f t="shared" si="13"/>
        <v>0</v>
      </c>
      <c r="AH25" s="72">
        <f t="shared" si="14"/>
        <v>0</v>
      </c>
      <c r="AI25" s="72">
        <f t="shared" si="15"/>
        <v>0</v>
      </c>
      <c r="AJ25" s="72">
        <f t="shared" si="16"/>
        <v>0</v>
      </c>
      <c r="AK25" s="72">
        <f t="shared" si="17"/>
        <v>0</v>
      </c>
      <c r="AL25" s="72">
        <f t="shared" si="18"/>
        <v>0</v>
      </c>
      <c r="AM25" s="72">
        <f t="shared" si="18"/>
        <v>0</v>
      </c>
      <c r="AN25" s="72">
        <f t="shared" si="18"/>
        <v>0</v>
      </c>
      <c r="AP25" s="492"/>
      <c r="AQ25" s="488" t="s">
        <v>349</v>
      </c>
      <c r="AR25" s="501">
        <f>SUM(AV3:AV7)</f>
        <v>585.04999999999995</v>
      </c>
      <c r="AS25" s="869" t="s">
        <v>356</v>
      </c>
      <c r="AT25" s="870"/>
      <c r="AV25" s="112" t="s">
        <v>76</v>
      </c>
      <c r="AW25" s="1">
        <v>187.33</v>
      </c>
      <c r="AY25" s="502" t="s">
        <v>131</v>
      </c>
      <c r="AZ25" s="504">
        <f>AR27</f>
        <v>89.69</v>
      </c>
    </row>
    <row r="26" spans="2:52" ht="16.5" customHeight="1">
      <c r="B26" s="874"/>
      <c r="C26" s="875"/>
      <c r="D26" s="875"/>
      <c r="E26" s="875"/>
      <c r="F26" s="875"/>
      <c r="G26" s="875"/>
      <c r="H26" s="876"/>
      <c r="I26" s="481"/>
      <c r="J26" s="72">
        <f t="shared" si="19"/>
        <v>0</v>
      </c>
      <c r="K26" s="72">
        <f t="shared" si="20"/>
        <v>0</v>
      </c>
      <c r="L26" s="72">
        <f t="shared" si="21"/>
        <v>0</v>
      </c>
      <c r="M26" s="72">
        <f t="shared" si="22"/>
        <v>0</v>
      </c>
      <c r="N26" s="72">
        <f t="shared" si="23"/>
        <v>0</v>
      </c>
      <c r="O26" s="72">
        <f t="shared" si="24"/>
        <v>0</v>
      </c>
      <c r="P26" s="72">
        <f t="shared" si="25"/>
        <v>0</v>
      </c>
      <c r="Q26" s="72">
        <f t="shared" si="26"/>
        <v>0</v>
      </c>
      <c r="R26" s="72">
        <f t="shared" si="27"/>
        <v>0</v>
      </c>
      <c r="S26" s="72">
        <f t="shared" si="28"/>
        <v>0</v>
      </c>
      <c r="T26" s="72">
        <f t="shared" si="29"/>
        <v>0</v>
      </c>
      <c r="U26" s="72">
        <f t="shared" si="30"/>
        <v>0</v>
      </c>
      <c r="V26" s="72">
        <f t="shared" si="5"/>
        <v>0</v>
      </c>
      <c r="W26" s="72">
        <f t="shared" si="5"/>
        <v>0</v>
      </c>
      <c r="X26" s="72">
        <f t="shared" si="5"/>
        <v>0</v>
      </c>
      <c r="Z26" s="72">
        <f t="shared" si="6"/>
        <v>0</v>
      </c>
      <c r="AA26" s="72">
        <f t="shared" si="7"/>
        <v>0</v>
      </c>
      <c r="AB26" s="72">
        <f t="shared" si="8"/>
        <v>0</v>
      </c>
      <c r="AC26" s="72">
        <f t="shared" si="9"/>
        <v>0</v>
      </c>
      <c r="AD26" s="72">
        <f t="shared" si="10"/>
        <v>0</v>
      </c>
      <c r="AE26" s="72">
        <f t="shared" si="11"/>
        <v>0</v>
      </c>
      <c r="AF26" s="72">
        <f t="shared" si="12"/>
        <v>0</v>
      </c>
      <c r="AG26" s="72">
        <f t="shared" si="13"/>
        <v>0</v>
      </c>
      <c r="AH26" s="72">
        <f t="shared" si="14"/>
        <v>0</v>
      </c>
      <c r="AI26" s="72">
        <f t="shared" si="15"/>
        <v>0</v>
      </c>
      <c r="AJ26" s="72">
        <f t="shared" si="16"/>
        <v>0</v>
      </c>
      <c r="AK26" s="72">
        <f t="shared" si="17"/>
        <v>0</v>
      </c>
      <c r="AL26" s="72">
        <f t="shared" si="18"/>
        <v>0</v>
      </c>
      <c r="AM26" s="72">
        <f t="shared" si="18"/>
        <v>0</v>
      </c>
      <c r="AN26" s="72">
        <f t="shared" si="18"/>
        <v>0</v>
      </c>
      <c r="AP26" s="492"/>
      <c r="AQ26" s="488" t="s">
        <v>353</v>
      </c>
      <c r="AR26" s="495">
        <f>AR24-AR25</f>
        <v>1139.9899999999998</v>
      </c>
      <c r="AV26" s="112" t="s">
        <v>77</v>
      </c>
      <c r="AW26" s="1">
        <v>700</v>
      </c>
      <c r="AY26" s="502" t="s">
        <v>134</v>
      </c>
      <c r="AZ26" s="505">
        <f>AW31</f>
        <v>676.5</v>
      </c>
    </row>
    <row r="27" spans="2:52" ht="16.5" customHeight="1">
      <c r="B27" s="874"/>
      <c r="C27" s="875"/>
      <c r="D27" s="875"/>
      <c r="E27" s="875"/>
      <c r="F27" s="875"/>
      <c r="G27" s="875"/>
      <c r="H27" s="876"/>
      <c r="I27" s="481"/>
      <c r="J27" s="72">
        <f t="shared" si="19"/>
        <v>0</v>
      </c>
      <c r="K27" s="72">
        <f t="shared" si="20"/>
        <v>0</v>
      </c>
      <c r="L27" s="72">
        <f t="shared" si="21"/>
        <v>0</v>
      </c>
      <c r="M27" s="72">
        <f t="shared" si="22"/>
        <v>0</v>
      </c>
      <c r="N27" s="72">
        <f t="shared" si="23"/>
        <v>0</v>
      </c>
      <c r="O27" s="72">
        <f t="shared" si="24"/>
        <v>0</v>
      </c>
      <c r="P27" s="72">
        <f t="shared" si="25"/>
        <v>0</v>
      </c>
      <c r="Q27" s="72">
        <f t="shared" si="26"/>
        <v>0</v>
      </c>
      <c r="R27" s="72">
        <f t="shared" si="27"/>
        <v>0</v>
      </c>
      <c r="S27" s="72">
        <f t="shared" si="28"/>
        <v>0</v>
      </c>
      <c r="T27" s="72">
        <f t="shared" si="29"/>
        <v>0</v>
      </c>
      <c r="U27" s="72">
        <f t="shared" si="30"/>
        <v>0</v>
      </c>
      <c r="V27" s="72">
        <f t="shared" si="5"/>
        <v>0</v>
      </c>
      <c r="W27" s="72">
        <f t="shared" si="5"/>
        <v>0</v>
      </c>
      <c r="X27" s="72">
        <f t="shared" si="5"/>
        <v>0</v>
      </c>
      <c r="Z27" s="72">
        <f t="shared" si="6"/>
        <v>0</v>
      </c>
      <c r="AA27" s="72">
        <f t="shared" si="7"/>
        <v>0</v>
      </c>
      <c r="AB27" s="72">
        <f t="shared" si="8"/>
        <v>0</v>
      </c>
      <c r="AC27" s="72">
        <f t="shared" si="9"/>
        <v>0</v>
      </c>
      <c r="AD27" s="72">
        <f t="shared" si="10"/>
        <v>0</v>
      </c>
      <c r="AE27" s="72">
        <f t="shared" si="11"/>
        <v>0</v>
      </c>
      <c r="AF27" s="72">
        <f t="shared" si="12"/>
        <v>0</v>
      </c>
      <c r="AG27" s="72">
        <f t="shared" si="13"/>
        <v>0</v>
      </c>
      <c r="AH27" s="72">
        <f t="shared" si="14"/>
        <v>0</v>
      </c>
      <c r="AI27" s="72">
        <f t="shared" si="15"/>
        <v>0</v>
      </c>
      <c r="AJ27" s="72">
        <f t="shared" si="16"/>
        <v>0</v>
      </c>
      <c r="AK27" s="72">
        <f t="shared" si="17"/>
        <v>0</v>
      </c>
      <c r="AL27" s="72">
        <f t="shared" si="18"/>
        <v>0</v>
      </c>
      <c r="AM27" s="72">
        <f t="shared" si="18"/>
        <v>0</v>
      </c>
      <c r="AN27" s="72">
        <f t="shared" si="18"/>
        <v>0</v>
      </c>
      <c r="AP27" s="492"/>
      <c r="AQ27" s="489" t="s">
        <v>351</v>
      </c>
      <c r="AR27" s="486">
        <v>89.69</v>
      </c>
      <c r="AS27" s="867" t="s">
        <v>357</v>
      </c>
      <c r="AT27" s="868"/>
      <c r="AV27" s="112" t="s">
        <v>78</v>
      </c>
      <c r="AW27" s="54">
        <v>345.87</v>
      </c>
      <c r="AY27" s="502" t="s">
        <v>438</v>
      </c>
      <c r="AZ27" s="165">
        <v>55</v>
      </c>
    </row>
    <row r="28" spans="2:52" ht="17.25" customHeight="1" thickBot="1">
      <c r="B28" s="874"/>
      <c r="C28" s="875"/>
      <c r="D28" s="875"/>
      <c r="E28" s="875"/>
      <c r="F28" s="875"/>
      <c r="G28" s="875"/>
      <c r="H28" s="876"/>
      <c r="I28" s="481"/>
      <c r="J28" s="72">
        <f t="shared" si="19"/>
        <v>0</v>
      </c>
      <c r="K28" s="72">
        <f t="shared" si="20"/>
        <v>0</v>
      </c>
      <c r="L28" s="72">
        <f t="shared" si="21"/>
        <v>0</v>
      </c>
      <c r="M28" s="72">
        <f t="shared" si="22"/>
        <v>0</v>
      </c>
      <c r="N28" s="72">
        <f t="shared" si="23"/>
        <v>0</v>
      </c>
      <c r="O28" s="72">
        <f t="shared" si="24"/>
        <v>0</v>
      </c>
      <c r="P28" s="72">
        <f t="shared" si="25"/>
        <v>0</v>
      </c>
      <c r="Q28" s="72">
        <f t="shared" si="26"/>
        <v>0</v>
      </c>
      <c r="R28" s="72">
        <f t="shared" si="27"/>
        <v>0</v>
      </c>
      <c r="S28" s="72">
        <f t="shared" si="28"/>
        <v>0</v>
      </c>
      <c r="T28" s="72">
        <f t="shared" si="29"/>
        <v>0</v>
      </c>
      <c r="U28" s="72">
        <f t="shared" si="30"/>
        <v>0</v>
      </c>
      <c r="V28" s="72">
        <f t="shared" si="5"/>
        <v>0</v>
      </c>
      <c r="W28" s="72">
        <f t="shared" si="5"/>
        <v>0</v>
      </c>
      <c r="X28" s="72">
        <f t="shared" si="5"/>
        <v>0</v>
      </c>
      <c r="Z28" s="72">
        <f t="shared" si="6"/>
        <v>0</v>
      </c>
      <c r="AA28" s="72">
        <f t="shared" si="7"/>
        <v>0</v>
      </c>
      <c r="AB28" s="72">
        <f t="shared" si="8"/>
        <v>0</v>
      </c>
      <c r="AC28" s="72">
        <f t="shared" si="9"/>
        <v>0</v>
      </c>
      <c r="AD28" s="72">
        <f t="shared" si="10"/>
        <v>0</v>
      </c>
      <c r="AE28" s="72">
        <f t="shared" si="11"/>
        <v>0</v>
      </c>
      <c r="AF28" s="72">
        <f t="shared" si="12"/>
        <v>0</v>
      </c>
      <c r="AG28" s="72">
        <f t="shared" si="13"/>
        <v>0</v>
      </c>
      <c r="AH28" s="72">
        <f t="shared" si="14"/>
        <v>0</v>
      </c>
      <c r="AI28" s="72">
        <f t="shared" si="15"/>
        <v>0</v>
      </c>
      <c r="AJ28" s="72">
        <f t="shared" si="16"/>
        <v>0</v>
      </c>
      <c r="AK28" s="72">
        <f t="shared" si="17"/>
        <v>0</v>
      </c>
      <c r="AL28" s="72">
        <f t="shared" si="18"/>
        <v>0</v>
      </c>
      <c r="AM28" s="72">
        <f t="shared" si="18"/>
        <v>0</v>
      </c>
      <c r="AN28" s="72">
        <f t="shared" si="18"/>
        <v>0</v>
      </c>
      <c r="AP28" s="493"/>
      <c r="AQ28" s="490" t="s">
        <v>352</v>
      </c>
      <c r="AR28" s="500">
        <f>AR27+AR26</f>
        <v>1229.6799999999998</v>
      </c>
      <c r="AS28" s="867"/>
      <c r="AT28" s="868"/>
      <c r="AV28" s="112" t="s">
        <v>45</v>
      </c>
      <c r="AW28" s="1">
        <f>+SUM(AW24:AW27)</f>
        <v>1353</v>
      </c>
      <c r="AY28" s="502" t="s">
        <v>45</v>
      </c>
      <c r="AZ28" s="166">
        <f>AZ24+AZ25+AZ26-AZ27</f>
        <v>1272.1483333333333</v>
      </c>
    </row>
    <row r="29" spans="2:52" ht="16.5" customHeight="1">
      <c r="B29" s="874"/>
      <c r="C29" s="875"/>
      <c r="D29" s="875"/>
      <c r="E29" s="875"/>
      <c r="F29" s="875"/>
      <c r="G29" s="875"/>
      <c r="H29" s="876"/>
      <c r="I29" s="481"/>
      <c r="J29" s="72">
        <f t="shared" si="19"/>
        <v>0</v>
      </c>
      <c r="K29" s="72">
        <f t="shared" si="20"/>
        <v>0</v>
      </c>
      <c r="L29" s="72">
        <f t="shared" si="21"/>
        <v>0</v>
      </c>
      <c r="M29" s="72">
        <f t="shared" si="22"/>
        <v>0</v>
      </c>
      <c r="N29" s="72">
        <f t="shared" si="23"/>
        <v>0</v>
      </c>
      <c r="O29" s="72">
        <f t="shared" si="24"/>
        <v>0</v>
      </c>
      <c r="P29" s="72">
        <f t="shared" si="25"/>
        <v>0</v>
      </c>
      <c r="Q29" s="72">
        <f t="shared" si="26"/>
        <v>0</v>
      </c>
      <c r="R29" s="72">
        <f t="shared" si="27"/>
        <v>0</v>
      </c>
      <c r="S29" s="72">
        <f t="shared" si="28"/>
        <v>0</v>
      </c>
      <c r="T29" s="72">
        <f t="shared" si="29"/>
        <v>0</v>
      </c>
      <c r="U29" s="72">
        <f t="shared" si="30"/>
        <v>0</v>
      </c>
      <c r="V29" s="72">
        <f t="shared" si="5"/>
        <v>0</v>
      </c>
      <c r="W29" s="72">
        <f t="shared" si="5"/>
        <v>0</v>
      </c>
      <c r="X29" s="72">
        <f t="shared" si="5"/>
        <v>0</v>
      </c>
      <c r="Z29" s="72">
        <f t="shared" si="6"/>
        <v>0</v>
      </c>
      <c r="AA29" s="72">
        <f t="shared" si="7"/>
        <v>0</v>
      </c>
      <c r="AB29" s="72">
        <f t="shared" si="8"/>
        <v>0</v>
      </c>
      <c r="AC29" s="72">
        <f t="shared" si="9"/>
        <v>0</v>
      </c>
      <c r="AD29" s="72">
        <f t="shared" si="10"/>
        <v>0</v>
      </c>
      <c r="AE29" s="72">
        <f t="shared" si="11"/>
        <v>0</v>
      </c>
      <c r="AF29" s="72">
        <f t="shared" si="12"/>
        <v>0</v>
      </c>
      <c r="AG29" s="72">
        <f t="shared" si="13"/>
        <v>0</v>
      </c>
      <c r="AH29" s="72">
        <f t="shared" si="14"/>
        <v>0</v>
      </c>
      <c r="AI29" s="72">
        <f t="shared" si="15"/>
        <v>0</v>
      </c>
      <c r="AJ29" s="72">
        <f t="shared" si="16"/>
        <v>0</v>
      </c>
      <c r="AK29" s="72">
        <f t="shared" si="17"/>
        <v>0</v>
      </c>
      <c r="AL29" s="72">
        <f t="shared" si="18"/>
        <v>0</v>
      </c>
      <c r="AM29" s="72">
        <f t="shared" si="18"/>
        <v>0</v>
      </c>
      <c r="AN29" s="72">
        <f t="shared" si="18"/>
        <v>0</v>
      </c>
      <c r="AR29" s="59"/>
      <c r="AV29" s="112"/>
      <c r="AW29" s="1"/>
    </row>
    <row r="30" spans="2:52" ht="17.25" customHeight="1" thickBot="1">
      <c r="B30" s="874"/>
      <c r="C30" s="875"/>
      <c r="D30" s="875"/>
      <c r="E30" s="875"/>
      <c r="F30" s="875"/>
      <c r="G30" s="875"/>
      <c r="H30" s="876"/>
      <c r="I30" s="481"/>
      <c r="J30" s="72">
        <f t="shared" si="19"/>
        <v>0</v>
      </c>
      <c r="K30" s="72">
        <f t="shared" si="20"/>
        <v>0</v>
      </c>
      <c r="L30" s="72">
        <f t="shared" si="21"/>
        <v>0</v>
      </c>
      <c r="M30" s="72">
        <f t="shared" si="22"/>
        <v>0</v>
      </c>
      <c r="N30" s="72">
        <f t="shared" si="23"/>
        <v>0</v>
      </c>
      <c r="O30" s="72">
        <f t="shared" si="24"/>
        <v>0</v>
      </c>
      <c r="P30" s="72">
        <f t="shared" si="25"/>
        <v>0</v>
      </c>
      <c r="Q30" s="72">
        <f t="shared" si="26"/>
        <v>0</v>
      </c>
      <c r="R30" s="72">
        <f t="shared" si="27"/>
        <v>0</v>
      </c>
      <c r="S30" s="72">
        <f t="shared" si="28"/>
        <v>0</v>
      </c>
      <c r="T30" s="72">
        <f t="shared" si="29"/>
        <v>0</v>
      </c>
      <c r="U30" s="72">
        <f t="shared" si="30"/>
        <v>0</v>
      </c>
      <c r="V30" s="72">
        <f t="shared" si="5"/>
        <v>0</v>
      </c>
      <c r="W30" s="72">
        <f t="shared" si="5"/>
        <v>0</v>
      </c>
      <c r="X30" s="72">
        <f t="shared" si="5"/>
        <v>0</v>
      </c>
      <c r="Z30" s="72">
        <f t="shared" si="6"/>
        <v>0</v>
      </c>
      <c r="AA30" s="72">
        <f t="shared" si="7"/>
        <v>0</v>
      </c>
      <c r="AB30" s="72">
        <f t="shared" si="8"/>
        <v>0</v>
      </c>
      <c r="AC30" s="72">
        <f t="shared" si="9"/>
        <v>0</v>
      </c>
      <c r="AD30" s="72">
        <f t="shared" si="10"/>
        <v>0</v>
      </c>
      <c r="AE30" s="72">
        <f t="shared" si="11"/>
        <v>0</v>
      </c>
      <c r="AF30" s="72">
        <f t="shared" si="12"/>
        <v>0</v>
      </c>
      <c r="AG30" s="72">
        <f t="shared" si="13"/>
        <v>0</v>
      </c>
      <c r="AH30" s="72">
        <f t="shared" si="14"/>
        <v>0</v>
      </c>
      <c r="AI30" s="72">
        <f t="shared" si="15"/>
        <v>0</v>
      </c>
      <c r="AJ30" s="72">
        <f t="shared" si="16"/>
        <v>0</v>
      </c>
      <c r="AK30" s="72">
        <f t="shared" si="17"/>
        <v>0</v>
      </c>
      <c r="AL30" s="72">
        <f t="shared" si="18"/>
        <v>0</v>
      </c>
      <c r="AM30" s="72">
        <f t="shared" si="18"/>
        <v>0</v>
      </c>
      <c r="AN30" s="72">
        <f t="shared" si="18"/>
        <v>0</v>
      </c>
      <c r="AV30" s="1"/>
      <c r="AW30" s="1"/>
      <c r="AY30" s="485" t="s">
        <v>386</v>
      </c>
      <c r="AZ30" s="509">
        <f>AZ25+AZ24-AY6</f>
        <v>260.61833333333334</v>
      </c>
    </row>
    <row r="31" spans="2:52" ht="17.25" customHeight="1" thickBot="1">
      <c r="B31" s="874"/>
      <c r="C31" s="875"/>
      <c r="D31" s="875"/>
      <c r="E31" s="875"/>
      <c r="F31" s="875"/>
      <c r="G31" s="875"/>
      <c r="H31" s="876"/>
      <c r="I31" s="481"/>
      <c r="J31" s="72">
        <f t="shared" si="19"/>
        <v>0</v>
      </c>
      <c r="K31" s="72">
        <f t="shared" si="20"/>
        <v>0</v>
      </c>
      <c r="L31" s="72">
        <f t="shared" si="21"/>
        <v>0</v>
      </c>
      <c r="M31" s="72">
        <f t="shared" si="22"/>
        <v>0</v>
      </c>
      <c r="N31" s="72">
        <f t="shared" si="23"/>
        <v>0</v>
      </c>
      <c r="O31" s="72">
        <f t="shared" si="24"/>
        <v>0</v>
      </c>
      <c r="P31" s="72">
        <f t="shared" si="25"/>
        <v>0</v>
      </c>
      <c r="Q31" s="72">
        <f t="shared" si="26"/>
        <v>0</v>
      </c>
      <c r="R31" s="72">
        <f t="shared" si="27"/>
        <v>0</v>
      </c>
      <c r="S31" s="72">
        <f t="shared" si="28"/>
        <v>0</v>
      </c>
      <c r="T31" s="72">
        <f t="shared" si="29"/>
        <v>0</v>
      </c>
      <c r="U31" s="72">
        <f t="shared" si="30"/>
        <v>0</v>
      </c>
      <c r="V31" s="72">
        <f t="shared" si="5"/>
        <v>0</v>
      </c>
      <c r="W31" s="72">
        <f t="shared" si="5"/>
        <v>0</v>
      </c>
      <c r="X31" s="72">
        <f t="shared" si="5"/>
        <v>0</v>
      </c>
      <c r="Z31" s="72">
        <f t="shared" si="6"/>
        <v>0</v>
      </c>
      <c r="AA31" s="72">
        <f t="shared" si="7"/>
        <v>0</v>
      </c>
      <c r="AB31" s="72">
        <f t="shared" si="8"/>
        <v>0</v>
      </c>
      <c r="AC31" s="72">
        <f t="shared" si="9"/>
        <v>0</v>
      </c>
      <c r="AD31" s="72">
        <f t="shared" si="10"/>
        <v>0</v>
      </c>
      <c r="AE31" s="72">
        <f t="shared" si="11"/>
        <v>0</v>
      </c>
      <c r="AF31" s="72">
        <f t="shared" si="12"/>
        <v>0</v>
      </c>
      <c r="AG31" s="72">
        <f t="shared" si="13"/>
        <v>0</v>
      </c>
      <c r="AH31" s="72">
        <f t="shared" si="14"/>
        <v>0</v>
      </c>
      <c r="AI31" s="72">
        <f t="shared" si="15"/>
        <v>0</v>
      </c>
      <c r="AJ31" s="72">
        <f t="shared" si="16"/>
        <v>0</v>
      </c>
      <c r="AK31" s="72">
        <f t="shared" si="17"/>
        <v>0</v>
      </c>
      <c r="AL31" s="72">
        <f t="shared" si="18"/>
        <v>0</v>
      </c>
      <c r="AM31" s="72">
        <f t="shared" si="18"/>
        <v>0</v>
      </c>
      <c r="AN31" s="72">
        <f t="shared" si="18"/>
        <v>0</v>
      </c>
      <c r="AQ31" s="485" t="s">
        <v>67</v>
      </c>
      <c r="AR31" s="496">
        <f>AR27+AS17</f>
        <v>650.64833333333331</v>
      </c>
      <c r="AV31" s="112" t="s">
        <v>80</v>
      </c>
      <c r="AW31" s="113">
        <f>AW28/2</f>
        <v>676.5</v>
      </c>
    </row>
    <row r="32" spans="2:52" ht="16.5" customHeight="1">
      <c r="B32" s="874"/>
      <c r="C32" s="875"/>
      <c r="D32" s="875"/>
      <c r="E32" s="875"/>
      <c r="F32" s="875"/>
      <c r="G32" s="875"/>
      <c r="H32" s="876"/>
      <c r="I32" s="481"/>
      <c r="J32" s="72">
        <f t="shared" si="19"/>
        <v>0</v>
      </c>
      <c r="K32" s="72">
        <f t="shared" si="20"/>
        <v>0</v>
      </c>
      <c r="L32" s="72">
        <f t="shared" si="21"/>
        <v>0</v>
      </c>
      <c r="M32" s="72">
        <f t="shared" si="22"/>
        <v>0</v>
      </c>
      <c r="N32" s="72">
        <f t="shared" si="23"/>
        <v>0</v>
      </c>
      <c r="O32" s="72">
        <f t="shared" si="24"/>
        <v>0</v>
      </c>
      <c r="P32" s="72">
        <f t="shared" si="25"/>
        <v>0</v>
      </c>
      <c r="Q32" s="72">
        <f t="shared" si="26"/>
        <v>0</v>
      </c>
      <c r="R32" s="72">
        <f t="shared" si="27"/>
        <v>0</v>
      </c>
      <c r="S32" s="72">
        <f t="shared" si="28"/>
        <v>0</v>
      </c>
      <c r="T32" s="72">
        <f t="shared" si="29"/>
        <v>0</v>
      </c>
      <c r="U32" s="72">
        <f t="shared" si="30"/>
        <v>0</v>
      </c>
      <c r="V32" s="72">
        <f t="shared" si="5"/>
        <v>0</v>
      </c>
      <c r="W32" s="72">
        <f t="shared" si="5"/>
        <v>0</v>
      </c>
      <c r="X32" s="72">
        <f t="shared" si="5"/>
        <v>0</v>
      </c>
      <c r="Z32" s="72">
        <f t="shared" si="6"/>
        <v>0</v>
      </c>
      <c r="AA32" s="72">
        <f t="shared" si="7"/>
        <v>0</v>
      </c>
      <c r="AB32" s="72">
        <f t="shared" si="8"/>
        <v>0</v>
      </c>
      <c r="AC32" s="72">
        <f t="shared" si="9"/>
        <v>0</v>
      </c>
      <c r="AD32" s="72">
        <f t="shared" si="10"/>
        <v>0</v>
      </c>
      <c r="AE32" s="72">
        <f t="shared" si="11"/>
        <v>0</v>
      </c>
      <c r="AF32" s="72">
        <f t="shared" si="12"/>
        <v>0</v>
      </c>
      <c r="AG32" s="72">
        <f t="shared" si="13"/>
        <v>0</v>
      </c>
      <c r="AH32" s="72">
        <f t="shared" si="14"/>
        <v>0</v>
      </c>
      <c r="AI32" s="72">
        <f t="shared" si="15"/>
        <v>0</v>
      </c>
      <c r="AJ32" s="72">
        <f t="shared" si="16"/>
        <v>0</v>
      </c>
      <c r="AK32" s="72">
        <f t="shared" si="17"/>
        <v>0</v>
      </c>
      <c r="AL32" s="72">
        <f t="shared" si="18"/>
        <v>0</v>
      </c>
      <c r="AM32" s="72">
        <f t="shared" si="18"/>
        <v>0</v>
      </c>
      <c r="AN32" s="72">
        <f t="shared" si="18"/>
        <v>0</v>
      </c>
      <c r="AQ32" s="485" t="s">
        <v>65</v>
      </c>
      <c r="AR32" s="496">
        <f>AT17</f>
        <v>1164.0816666666665</v>
      </c>
      <c r="AY32" s="485" t="s">
        <v>389</v>
      </c>
      <c r="AZ32" s="509">
        <f>AT17-AY4</f>
        <v>969.0616666666665</v>
      </c>
    </row>
    <row r="33" spans="2:52" ht="17.25" customHeight="1" thickBot="1">
      <c r="B33" s="874"/>
      <c r="C33" s="875"/>
      <c r="D33" s="875"/>
      <c r="E33" s="875"/>
      <c r="F33" s="875"/>
      <c r="G33" s="875"/>
      <c r="H33" s="876"/>
      <c r="I33" s="481"/>
      <c r="J33" s="72">
        <f t="shared" si="19"/>
        <v>0</v>
      </c>
      <c r="K33" s="72">
        <f t="shared" si="20"/>
        <v>0</v>
      </c>
      <c r="L33" s="72">
        <f t="shared" si="21"/>
        <v>0</v>
      </c>
      <c r="M33" s="72">
        <f t="shared" si="22"/>
        <v>0</v>
      </c>
      <c r="N33" s="72">
        <f t="shared" si="23"/>
        <v>0</v>
      </c>
      <c r="O33" s="72">
        <f t="shared" si="24"/>
        <v>0</v>
      </c>
      <c r="P33" s="72">
        <f t="shared" si="25"/>
        <v>0</v>
      </c>
      <c r="Q33" s="72">
        <f t="shared" si="26"/>
        <v>0</v>
      </c>
      <c r="R33" s="72">
        <f t="shared" si="27"/>
        <v>0</v>
      </c>
      <c r="S33" s="72">
        <f t="shared" si="28"/>
        <v>0</v>
      </c>
      <c r="T33" s="72">
        <f t="shared" si="29"/>
        <v>0</v>
      </c>
      <c r="U33" s="72">
        <f t="shared" si="30"/>
        <v>0</v>
      </c>
      <c r="V33" s="72">
        <f t="shared" si="5"/>
        <v>0</v>
      </c>
      <c r="W33" s="72">
        <f t="shared" si="5"/>
        <v>0</v>
      </c>
      <c r="X33" s="72">
        <f t="shared" si="5"/>
        <v>0</v>
      </c>
      <c r="Z33" s="72">
        <f t="shared" si="6"/>
        <v>0</v>
      </c>
      <c r="AA33" s="72">
        <f t="shared" si="7"/>
        <v>0</v>
      </c>
      <c r="AB33" s="72">
        <f t="shared" si="8"/>
        <v>0</v>
      </c>
      <c r="AC33" s="72">
        <f t="shared" si="9"/>
        <v>0</v>
      </c>
      <c r="AD33" s="72">
        <f t="shared" si="10"/>
        <v>0</v>
      </c>
      <c r="AE33" s="72">
        <f t="shared" si="11"/>
        <v>0</v>
      </c>
      <c r="AF33" s="72">
        <f t="shared" si="12"/>
        <v>0</v>
      </c>
      <c r="AG33" s="72">
        <f t="shared" si="13"/>
        <v>0</v>
      </c>
      <c r="AH33" s="72">
        <f t="shared" si="14"/>
        <v>0</v>
      </c>
      <c r="AI33" s="72">
        <f t="shared" si="15"/>
        <v>0</v>
      </c>
      <c r="AJ33" s="72">
        <f t="shared" si="16"/>
        <v>0</v>
      </c>
      <c r="AK33" s="72">
        <f t="shared" si="17"/>
        <v>0</v>
      </c>
      <c r="AL33" s="72">
        <f t="shared" si="18"/>
        <v>0</v>
      </c>
      <c r="AM33" s="72">
        <f t="shared" si="18"/>
        <v>0</v>
      </c>
      <c r="AN33" s="72">
        <f t="shared" si="18"/>
        <v>0</v>
      </c>
      <c r="AR33" s="59"/>
    </row>
    <row r="34" spans="2:52" ht="16.5" customHeight="1" thickBot="1">
      <c r="B34" s="877"/>
      <c r="C34" s="878"/>
      <c r="D34" s="878"/>
      <c r="E34" s="878"/>
      <c r="F34" s="878"/>
      <c r="G34" s="878"/>
      <c r="H34" s="879"/>
      <c r="I34" s="481"/>
      <c r="J34" s="72">
        <f>IF($D34="ALIMENTAÇÃO",$H34,0)</f>
        <v>0</v>
      </c>
      <c r="K34" s="72">
        <f>IF($D34="ANIMAIS",$H34,0)</f>
        <v>0</v>
      </c>
      <c r="L34" s="72">
        <f>IF($D34="FILHO",$H34,0)</f>
        <v>0</v>
      </c>
      <c r="M34" s="72">
        <f>IF($D34="GASOLINA",$H34,0)</f>
        <v>0</v>
      </c>
      <c r="N34" s="72">
        <f>IF($D34="LAZER",$H34,0)</f>
        <v>0</v>
      </c>
      <c r="O34" s="72">
        <f>IF($D34="MANUT. IMÓVEL",$H34,0)</f>
        <v>0</v>
      </c>
      <c r="P34" s="72">
        <f>IF($D34="MANUT. VEICULAR",$H34,0)</f>
        <v>0</v>
      </c>
      <c r="Q34" s="72">
        <f>IF($D34="MÓVEIS",$H34,0)</f>
        <v>0</v>
      </c>
      <c r="R34" s="72">
        <f>IF($D34="OUTROS",$H34,0)</f>
        <v>0</v>
      </c>
      <c r="S34" s="72">
        <f>IF($D34="PLANOS",$H34,0)</f>
        <v>0</v>
      </c>
      <c r="T34" s="72">
        <f>IF($D34="SAÚDE",$H34,0)</f>
        <v>0</v>
      </c>
      <c r="U34" s="72">
        <f>IF($D34="TRANSPORTE",$H34,0)</f>
        <v>0</v>
      </c>
      <c r="V34" s="72">
        <f>IF($D34=V$2,$H34,0)</f>
        <v>0</v>
      </c>
      <c r="W34" s="72">
        <f>IF($D34=W$2,$H34,0)</f>
        <v>0</v>
      </c>
      <c r="X34" s="72">
        <f>IF($D34=X$2,$H34,0)</f>
        <v>0</v>
      </c>
      <c r="Z34" s="72">
        <f>IF($D34="ALIMENTAÇÃO",$G34,0)</f>
        <v>0</v>
      </c>
      <c r="AA34" s="72">
        <f>IF($D34="ANIMAIS",$G34,0)</f>
        <v>0</v>
      </c>
      <c r="AB34" s="72">
        <f>IF($D34="FILHO",$G34,0)</f>
        <v>0</v>
      </c>
      <c r="AC34" s="72">
        <f>IF($D34="GASOLINA",$G34,0)</f>
        <v>0</v>
      </c>
      <c r="AD34" s="72">
        <f>IF($D34="LAZER",$G34,0)</f>
        <v>0</v>
      </c>
      <c r="AE34" s="72">
        <f>IF($D34="MANUT. IMÓVEL",$G34,0)</f>
        <v>0</v>
      </c>
      <c r="AF34" s="72">
        <f>IF($D34="MANUT. VEICULAR",$G34,0)</f>
        <v>0</v>
      </c>
      <c r="AG34" s="72">
        <f>IF($D34="MÓVEIS",$G34,0)</f>
        <v>0</v>
      </c>
      <c r="AH34" s="72">
        <f>IF($D34="OUTROS",$G34,0)</f>
        <v>0</v>
      </c>
      <c r="AI34" s="72">
        <f>IF($D34="PLANOS",$G34,0)</f>
        <v>0</v>
      </c>
      <c r="AJ34" s="72">
        <f>IF($D34="SAÚDE",$G34,0)</f>
        <v>0</v>
      </c>
      <c r="AK34" s="72">
        <f>IF($D34="TRANSPORTE",$G34,0)</f>
        <v>0</v>
      </c>
      <c r="AL34" s="72">
        <f>IF($D34=AL$2,$G34,0)</f>
        <v>0</v>
      </c>
      <c r="AM34" s="72">
        <f>IF($D34=AM$2,$G34,0)</f>
        <v>0</v>
      </c>
      <c r="AN34" s="72">
        <f>IF($D34=AN$2,$G34,0)</f>
        <v>0</v>
      </c>
      <c r="AR34" s="497">
        <f>AR32+AR31</f>
        <v>1814.7299999999998</v>
      </c>
      <c r="AS34" s="498" t="s">
        <v>354</v>
      </c>
      <c r="AT34" s="499">
        <f>AR24+AR27</f>
        <v>1814.7299999999998</v>
      </c>
      <c r="AZ34" s="513">
        <f>AZ32+AZ30</f>
        <v>1229.6799999999998</v>
      </c>
    </row>
    <row r="35" spans="2:52" ht="3" hidden="1" customHeight="1">
      <c r="B35" s="60"/>
      <c r="C35" s="62"/>
      <c r="D35" s="79"/>
      <c r="E35" s="56"/>
      <c r="F35" s="76"/>
      <c r="G35" s="77"/>
      <c r="H35" s="78"/>
      <c r="I35" s="481"/>
      <c r="J35" s="72">
        <f t="shared" si="19"/>
        <v>0</v>
      </c>
      <c r="K35" s="72">
        <f t="shared" si="20"/>
        <v>0</v>
      </c>
      <c r="L35" s="72">
        <f t="shared" si="21"/>
        <v>0</v>
      </c>
      <c r="M35" s="72">
        <f t="shared" si="22"/>
        <v>0</v>
      </c>
      <c r="N35" s="72">
        <f t="shared" si="23"/>
        <v>0</v>
      </c>
      <c r="O35" s="72">
        <f t="shared" si="24"/>
        <v>0</v>
      </c>
      <c r="P35" s="72">
        <f t="shared" si="25"/>
        <v>0</v>
      </c>
      <c r="Q35" s="72">
        <f t="shared" si="26"/>
        <v>0</v>
      </c>
      <c r="R35" s="72">
        <f t="shared" si="27"/>
        <v>0</v>
      </c>
      <c r="S35" s="72">
        <f t="shared" si="28"/>
        <v>0</v>
      </c>
      <c r="T35" s="72">
        <f t="shared" si="29"/>
        <v>0</v>
      </c>
      <c r="U35" s="72">
        <f t="shared" si="30"/>
        <v>0</v>
      </c>
      <c r="V35" s="72">
        <f t="shared" si="5"/>
        <v>0</v>
      </c>
      <c r="W35" s="72">
        <f t="shared" si="5"/>
        <v>0</v>
      </c>
      <c r="X35" s="72">
        <f t="shared" si="5"/>
        <v>0</v>
      </c>
      <c r="Z35" s="72">
        <f t="shared" si="6"/>
        <v>0</v>
      </c>
      <c r="AA35" s="72">
        <f t="shared" si="7"/>
        <v>0</v>
      </c>
      <c r="AB35" s="72">
        <f t="shared" si="8"/>
        <v>0</v>
      </c>
      <c r="AC35" s="72">
        <f t="shared" si="9"/>
        <v>0</v>
      </c>
      <c r="AD35" s="72">
        <f t="shared" si="10"/>
        <v>0</v>
      </c>
      <c r="AE35" s="72">
        <f t="shared" si="11"/>
        <v>0</v>
      </c>
      <c r="AF35" s="72">
        <f t="shared" si="12"/>
        <v>0</v>
      </c>
      <c r="AG35" s="72">
        <f t="shared" si="13"/>
        <v>0</v>
      </c>
      <c r="AH35" s="72">
        <f t="shared" si="14"/>
        <v>0</v>
      </c>
      <c r="AI35" s="72">
        <f t="shared" si="15"/>
        <v>0</v>
      </c>
      <c r="AJ35" s="72">
        <f t="shared" si="16"/>
        <v>0</v>
      </c>
      <c r="AK35" s="72">
        <f t="shared" si="17"/>
        <v>0</v>
      </c>
      <c r="AL35" s="72">
        <f t="shared" si="18"/>
        <v>0</v>
      </c>
      <c r="AM35" s="72">
        <f t="shared" si="18"/>
        <v>0</v>
      </c>
      <c r="AN35" s="72">
        <f t="shared" si="18"/>
        <v>0</v>
      </c>
    </row>
    <row r="36" spans="2:52" hidden="1">
      <c r="B36" s="60"/>
      <c r="C36" s="62"/>
      <c r="D36" s="79"/>
      <c r="E36" s="56"/>
      <c r="F36" s="76"/>
      <c r="G36" s="77"/>
      <c r="H36" s="78"/>
      <c r="I36" s="481"/>
      <c r="J36" s="72">
        <f t="shared" si="19"/>
        <v>0</v>
      </c>
      <c r="K36" s="72">
        <f t="shared" si="20"/>
        <v>0</v>
      </c>
      <c r="L36" s="72">
        <f t="shared" si="21"/>
        <v>0</v>
      </c>
      <c r="M36" s="72">
        <f t="shared" si="22"/>
        <v>0</v>
      </c>
      <c r="N36" s="72">
        <f t="shared" si="23"/>
        <v>0</v>
      </c>
      <c r="O36" s="72">
        <f t="shared" si="24"/>
        <v>0</v>
      </c>
      <c r="P36" s="72">
        <f t="shared" si="25"/>
        <v>0</v>
      </c>
      <c r="Q36" s="72">
        <f t="shared" si="26"/>
        <v>0</v>
      </c>
      <c r="R36" s="72">
        <f t="shared" si="27"/>
        <v>0</v>
      </c>
      <c r="S36" s="72">
        <f t="shared" si="28"/>
        <v>0</v>
      </c>
      <c r="T36" s="72">
        <f t="shared" si="29"/>
        <v>0</v>
      </c>
      <c r="U36" s="72">
        <f t="shared" si="30"/>
        <v>0</v>
      </c>
      <c r="V36" s="72">
        <f t="shared" ref="V36:X62" si="33">IF($D36=V$2,$H36,0)</f>
        <v>0</v>
      </c>
      <c r="W36" s="72">
        <f t="shared" si="33"/>
        <v>0</v>
      </c>
      <c r="X36" s="72">
        <f t="shared" si="33"/>
        <v>0</v>
      </c>
      <c r="Z36" s="72">
        <f t="shared" si="6"/>
        <v>0</v>
      </c>
      <c r="AA36" s="72">
        <f t="shared" si="7"/>
        <v>0</v>
      </c>
      <c r="AB36" s="72">
        <f t="shared" si="8"/>
        <v>0</v>
      </c>
      <c r="AC36" s="72">
        <f t="shared" si="9"/>
        <v>0</v>
      </c>
      <c r="AD36" s="72">
        <f t="shared" si="10"/>
        <v>0</v>
      </c>
      <c r="AE36" s="72">
        <f t="shared" si="11"/>
        <v>0</v>
      </c>
      <c r="AF36" s="72">
        <f t="shared" si="12"/>
        <v>0</v>
      </c>
      <c r="AG36" s="72">
        <f t="shared" si="13"/>
        <v>0</v>
      </c>
      <c r="AH36" s="72">
        <f t="shared" si="14"/>
        <v>0</v>
      </c>
      <c r="AI36" s="72">
        <f t="shared" si="15"/>
        <v>0</v>
      </c>
      <c r="AJ36" s="72">
        <f t="shared" si="16"/>
        <v>0</v>
      </c>
      <c r="AK36" s="72">
        <f t="shared" si="17"/>
        <v>0</v>
      </c>
      <c r="AL36" s="72">
        <f t="shared" si="18"/>
        <v>0</v>
      </c>
      <c r="AM36" s="72">
        <f t="shared" si="18"/>
        <v>0</v>
      </c>
      <c r="AN36" s="72">
        <f t="shared" si="18"/>
        <v>0</v>
      </c>
    </row>
    <row r="37" spans="2:52" hidden="1">
      <c r="B37" s="60"/>
      <c r="C37" s="62"/>
      <c r="D37" s="79"/>
      <c r="E37" s="56"/>
      <c r="F37" s="76"/>
      <c r="G37" s="77"/>
      <c r="H37" s="78"/>
      <c r="I37" s="481"/>
      <c r="J37" s="72">
        <f t="shared" si="19"/>
        <v>0</v>
      </c>
      <c r="K37" s="72">
        <f t="shared" si="20"/>
        <v>0</v>
      </c>
      <c r="L37" s="72">
        <f t="shared" si="21"/>
        <v>0</v>
      </c>
      <c r="M37" s="72">
        <f t="shared" si="22"/>
        <v>0</v>
      </c>
      <c r="N37" s="72">
        <f t="shared" si="23"/>
        <v>0</v>
      </c>
      <c r="O37" s="72">
        <f t="shared" si="24"/>
        <v>0</v>
      </c>
      <c r="P37" s="72">
        <f t="shared" si="25"/>
        <v>0</v>
      </c>
      <c r="Q37" s="72">
        <f t="shared" si="26"/>
        <v>0</v>
      </c>
      <c r="R37" s="72">
        <f t="shared" si="27"/>
        <v>0</v>
      </c>
      <c r="S37" s="72">
        <f t="shared" si="28"/>
        <v>0</v>
      </c>
      <c r="T37" s="72">
        <f t="shared" si="29"/>
        <v>0</v>
      </c>
      <c r="U37" s="72">
        <f t="shared" si="30"/>
        <v>0</v>
      </c>
      <c r="V37" s="72">
        <f t="shared" si="33"/>
        <v>0</v>
      </c>
      <c r="W37" s="72">
        <f t="shared" si="33"/>
        <v>0</v>
      </c>
      <c r="X37" s="72">
        <f t="shared" si="33"/>
        <v>0</v>
      </c>
      <c r="Z37" s="72">
        <f t="shared" si="6"/>
        <v>0</v>
      </c>
      <c r="AA37" s="72">
        <f t="shared" si="7"/>
        <v>0</v>
      </c>
      <c r="AB37" s="72">
        <f t="shared" si="8"/>
        <v>0</v>
      </c>
      <c r="AC37" s="72">
        <f t="shared" si="9"/>
        <v>0</v>
      </c>
      <c r="AD37" s="72">
        <f t="shared" si="10"/>
        <v>0</v>
      </c>
      <c r="AE37" s="72">
        <f t="shared" si="11"/>
        <v>0</v>
      </c>
      <c r="AF37" s="72">
        <f t="shared" si="12"/>
        <v>0</v>
      </c>
      <c r="AG37" s="72">
        <f t="shared" si="13"/>
        <v>0</v>
      </c>
      <c r="AH37" s="72">
        <f t="shared" si="14"/>
        <v>0</v>
      </c>
      <c r="AI37" s="72">
        <f t="shared" si="15"/>
        <v>0</v>
      </c>
      <c r="AJ37" s="72">
        <f t="shared" si="16"/>
        <v>0</v>
      </c>
      <c r="AK37" s="72">
        <f t="shared" si="17"/>
        <v>0</v>
      </c>
      <c r="AL37" s="72">
        <f t="shared" si="18"/>
        <v>0</v>
      </c>
      <c r="AM37" s="72">
        <f t="shared" si="18"/>
        <v>0</v>
      </c>
      <c r="AN37" s="72">
        <f t="shared" si="18"/>
        <v>0</v>
      </c>
    </row>
    <row r="38" spans="2:52" hidden="1">
      <c r="B38" s="60"/>
      <c r="C38" s="62"/>
      <c r="D38" s="79"/>
      <c r="E38" s="56"/>
      <c r="F38" s="76"/>
      <c r="G38" s="77"/>
      <c r="H38" s="78"/>
      <c r="I38" s="481"/>
      <c r="J38" s="72">
        <f t="shared" si="19"/>
        <v>0</v>
      </c>
      <c r="K38" s="72">
        <f t="shared" si="20"/>
        <v>0</v>
      </c>
      <c r="L38" s="72">
        <f t="shared" si="21"/>
        <v>0</v>
      </c>
      <c r="M38" s="72">
        <f t="shared" si="22"/>
        <v>0</v>
      </c>
      <c r="N38" s="72">
        <f t="shared" si="23"/>
        <v>0</v>
      </c>
      <c r="O38" s="72">
        <f t="shared" si="24"/>
        <v>0</v>
      </c>
      <c r="P38" s="72">
        <f t="shared" si="25"/>
        <v>0</v>
      </c>
      <c r="Q38" s="72">
        <f t="shared" si="26"/>
        <v>0</v>
      </c>
      <c r="R38" s="72">
        <f t="shared" si="27"/>
        <v>0</v>
      </c>
      <c r="S38" s="72">
        <f t="shared" si="28"/>
        <v>0</v>
      </c>
      <c r="T38" s="72">
        <f t="shared" si="29"/>
        <v>0</v>
      </c>
      <c r="U38" s="72">
        <f t="shared" si="30"/>
        <v>0</v>
      </c>
      <c r="V38" s="72">
        <f t="shared" si="33"/>
        <v>0</v>
      </c>
      <c r="W38" s="72">
        <f t="shared" si="33"/>
        <v>0</v>
      </c>
      <c r="X38" s="72">
        <f t="shared" si="33"/>
        <v>0</v>
      </c>
      <c r="Z38" s="72">
        <f t="shared" si="6"/>
        <v>0</v>
      </c>
      <c r="AA38" s="72">
        <f t="shared" si="7"/>
        <v>0</v>
      </c>
      <c r="AB38" s="72">
        <f t="shared" si="8"/>
        <v>0</v>
      </c>
      <c r="AC38" s="72">
        <f t="shared" si="9"/>
        <v>0</v>
      </c>
      <c r="AD38" s="72">
        <f t="shared" si="10"/>
        <v>0</v>
      </c>
      <c r="AE38" s="72">
        <f t="shared" si="11"/>
        <v>0</v>
      </c>
      <c r="AF38" s="72">
        <f t="shared" si="12"/>
        <v>0</v>
      </c>
      <c r="AG38" s="72">
        <f t="shared" si="13"/>
        <v>0</v>
      </c>
      <c r="AH38" s="72">
        <f t="shared" si="14"/>
        <v>0</v>
      </c>
      <c r="AI38" s="72">
        <f t="shared" si="15"/>
        <v>0</v>
      </c>
      <c r="AJ38" s="72">
        <f t="shared" si="16"/>
        <v>0</v>
      </c>
      <c r="AK38" s="72">
        <f t="shared" si="17"/>
        <v>0</v>
      </c>
      <c r="AL38" s="72">
        <f t="shared" si="18"/>
        <v>0</v>
      </c>
      <c r="AM38" s="72">
        <f t="shared" si="18"/>
        <v>0</v>
      </c>
      <c r="AN38" s="72">
        <f t="shared" si="18"/>
        <v>0</v>
      </c>
    </row>
    <row r="39" spans="2:52" hidden="1">
      <c r="B39" s="60"/>
      <c r="C39" s="62"/>
      <c r="D39" s="79"/>
      <c r="E39" s="56"/>
      <c r="F39" s="76"/>
      <c r="G39" s="77"/>
      <c r="H39" s="78"/>
      <c r="I39" s="481"/>
      <c r="J39" s="72">
        <f t="shared" si="19"/>
        <v>0</v>
      </c>
      <c r="K39" s="72">
        <f t="shared" si="20"/>
        <v>0</v>
      </c>
      <c r="L39" s="72">
        <f t="shared" si="21"/>
        <v>0</v>
      </c>
      <c r="M39" s="72">
        <f t="shared" si="22"/>
        <v>0</v>
      </c>
      <c r="N39" s="72">
        <f t="shared" si="23"/>
        <v>0</v>
      </c>
      <c r="O39" s="72">
        <f t="shared" si="24"/>
        <v>0</v>
      </c>
      <c r="P39" s="72">
        <f t="shared" si="25"/>
        <v>0</v>
      </c>
      <c r="Q39" s="72">
        <f t="shared" si="26"/>
        <v>0</v>
      </c>
      <c r="R39" s="72">
        <f t="shared" si="27"/>
        <v>0</v>
      </c>
      <c r="S39" s="72">
        <f t="shared" si="28"/>
        <v>0</v>
      </c>
      <c r="T39" s="72">
        <f t="shared" si="29"/>
        <v>0</v>
      </c>
      <c r="U39" s="72">
        <f t="shared" si="30"/>
        <v>0</v>
      </c>
      <c r="V39" s="72">
        <f t="shared" si="33"/>
        <v>0</v>
      </c>
      <c r="W39" s="72">
        <f t="shared" si="33"/>
        <v>0</v>
      </c>
      <c r="X39" s="72">
        <f t="shared" si="33"/>
        <v>0</v>
      </c>
      <c r="Z39" s="72">
        <f t="shared" si="6"/>
        <v>0</v>
      </c>
      <c r="AA39" s="72">
        <f t="shared" si="7"/>
        <v>0</v>
      </c>
      <c r="AB39" s="72">
        <f t="shared" si="8"/>
        <v>0</v>
      </c>
      <c r="AC39" s="72">
        <f t="shared" si="9"/>
        <v>0</v>
      </c>
      <c r="AD39" s="72">
        <f t="shared" si="10"/>
        <v>0</v>
      </c>
      <c r="AE39" s="72">
        <f t="shared" si="11"/>
        <v>0</v>
      </c>
      <c r="AF39" s="72">
        <f t="shared" si="12"/>
        <v>0</v>
      </c>
      <c r="AG39" s="72">
        <f t="shared" si="13"/>
        <v>0</v>
      </c>
      <c r="AH39" s="72">
        <f t="shared" si="14"/>
        <v>0</v>
      </c>
      <c r="AI39" s="72">
        <f t="shared" si="15"/>
        <v>0</v>
      </c>
      <c r="AJ39" s="72">
        <f t="shared" si="16"/>
        <v>0</v>
      </c>
      <c r="AK39" s="72">
        <f t="shared" si="17"/>
        <v>0</v>
      </c>
      <c r="AL39" s="72">
        <f t="shared" si="18"/>
        <v>0</v>
      </c>
      <c r="AM39" s="72">
        <f t="shared" si="18"/>
        <v>0</v>
      </c>
      <c r="AN39" s="72">
        <f t="shared" si="18"/>
        <v>0</v>
      </c>
      <c r="AZ39" s="55">
        <v>1079.05</v>
      </c>
    </row>
    <row r="40" spans="2:52" hidden="1">
      <c r="B40" s="60"/>
      <c r="C40" s="62"/>
      <c r="D40" s="79"/>
      <c r="E40" s="56"/>
      <c r="F40" s="76"/>
      <c r="G40" s="77"/>
      <c r="H40" s="78"/>
      <c r="I40" s="481"/>
      <c r="J40" s="72">
        <f t="shared" si="19"/>
        <v>0</v>
      </c>
      <c r="K40" s="72">
        <f t="shared" si="20"/>
        <v>0</v>
      </c>
      <c r="L40" s="72">
        <f t="shared" si="21"/>
        <v>0</v>
      </c>
      <c r="M40" s="72">
        <f t="shared" si="22"/>
        <v>0</v>
      </c>
      <c r="N40" s="72">
        <f t="shared" si="23"/>
        <v>0</v>
      </c>
      <c r="O40" s="72">
        <f t="shared" si="24"/>
        <v>0</v>
      </c>
      <c r="P40" s="72">
        <f t="shared" si="25"/>
        <v>0</v>
      </c>
      <c r="Q40" s="72">
        <f t="shared" si="26"/>
        <v>0</v>
      </c>
      <c r="R40" s="72">
        <f t="shared" si="27"/>
        <v>0</v>
      </c>
      <c r="S40" s="72">
        <f t="shared" si="28"/>
        <v>0</v>
      </c>
      <c r="T40" s="72">
        <f t="shared" si="29"/>
        <v>0</v>
      </c>
      <c r="U40" s="72">
        <f t="shared" si="30"/>
        <v>0</v>
      </c>
      <c r="V40" s="72">
        <f t="shared" si="33"/>
        <v>0</v>
      </c>
      <c r="W40" s="72">
        <f t="shared" si="33"/>
        <v>0</v>
      </c>
      <c r="X40" s="72">
        <f t="shared" si="33"/>
        <v>0</v>
      </c>
      <c r="Z40" s="72">
        <f t="shared" si="6"/>
        <v>0</v>
      </c>
      <c r="AA40" s="72">
        <f t="shared" si="7"/>
        <v>0</v>
      </c>
      <c r="AB40" s="72">
        <f t="shared" si="8"/>
        <v>0</v>
      </c>
      <c r="AC40" s="72">
        <f t="shared" si="9"/>
        <v>0</v>
      </c>
      <c r="AD40" s="72">
        <f t="shared" si="10"/>
        <v>0</v>
      </c>
      <c r="AE40" s="72">
        <f t="shared" si="11"/>
        <v>0</v>
      </c>
      <c r="AF40" s="72">
        <f t="shared" si="12"/>
        <v>0</v>
      </c>
      <c r="AG40" s="72">
        <f t="shared" si="13"/>
        <v>0</v>
      </c>
      <c r="AH40" s="72">
        <f t="shared" si="14"/>
        <v>0</v>
      </c>
      <c r="AI40" s="72">
        <f t="shared" si="15"/>
        <v>0</v>
      </c>
      <c r="AJ40" s="72">
        <f t="shared" si="16"/>
        <v>0</v>
      </c>
      <c r="AK40" s="72">
        <f t="shared" si="17"/>
        <v>0</v>
      </c>
      <c r="AL40" s="72">
        <f t="shared" si="18"/>
        <v>0</v>
      </c>
      <c r="AM40" s="72">
        <f t="shared" si="18"/>
        <v>0</v>
      </c>
      <c r="AN40" s="72">
        <f t="shared" si="18"/>
        <v>0</v>
      </c>
    </row>
    <row r="41" spans="2:52" hidden="1">
      <c r="B41" s="60"/>
      <c r="C41" s="62"/>
      <c r="D41" s="79"/>
      <c r="E41" s="56"/>
      <c r="F41" s="76"/>
      <c r="G41" s="77"/>
      <c r="H41" s="78"/>
      <c r="I41" s="481"/>
      <c r="J41" s="72">
        <f t="shared" si="19"/>
        <v>0</v>
      </c>
      <c r="K41" s="72">
        <f t="shared" si="20"/>
        <v>0</v>
      </c>
      <c r="L41" s="72">
        <f t="shared" si="21"/>
        <v>0</v>
      </c>
      <c r="M41" s="72">
        <f t="shared" si="22"/>
        <v>0</v>
      </c>
      <c r="N41" s="72">
        <f t="shared" si="23"/>
        <v>0</v>
      </c>
      <c r="O41" s="72">
        <f t="shared" si="24"/>
        <v>0</v>
      </c>
      <c r="P41" s="72">
        <f t="shared" si="25"/>
        <v>0</v>
      </c>
      <c r="Q41" s="72">
        <f t="shared" si="26"/>
        <v>0</v>
      </c>
      <c r="R41" s="72">
        <f t="shared" si="27"/>
        <v>0</v>
      </c>
      <c r="S41" s="72">
        <f t="shared" si="28"/>
        <v>0</v>
      </c>
      <c r="T41" s="72">
        <f t="shared" si="29"/>
        <v>0</v>
      </c>
      <c r="U41" s="72">
        <f t="shared" si="30"/>
        <v>0</v>
      </c>
      <c r="V41" s="72">
        <f t="shared" si="33"/>
        <v>0</v>
      </c>
      <c r="W41" s="72">
        <f t="shared" si="33"/>
        <v>0</v>
      </c>
      <c r="X41" s="72">
        <f t="shared" si="33"/>
        <v>0</v>
      </c>
      <c r="Z41" s="72">
        <f t="shared" si="6"/>
        <v>0</v>
      </c>
      <c r="AA41" s="72">
        <f t="shared" si="7"/>
        <v>0</v>
      </c>
      <c r="AB41" s="72">
        <f t="shared" si="8"/>
        <v>0</v>
      </c>
      <c r="AC41" s="72">
        <f t="shared" si="9"/>
        <v>0</v>
      </c>
      <c r="AD41" s="72">
        <f t="shared" si="10"/>
        <v>0</v>
      </c>
      <c r="AE41" s="72">
        <f t="shared" si="11"/>
        <v>0</v>
      </c>
      <c r="AF41" s="72">
        <f t="shared" si="12"/>
        <v>0</v>
      </c>
      <c r="AG41" s="72">
        <f t="shared" si="13"/>
        <v>0</v>
      </c>
      <c r="AH41" s="72">
        <f t="shared" si="14"/>
        <v>0</v>
      </c>
      <c r="AI41" s="72">
        <f t="shared" si="15"/>
        <v>0</v>
      </c>
      <c r="AJ41" s="72">
        <f t="shared" si="16"/>
        <v>0</v>
      </c>
      <c r="AK41" s="72">
        <f t="shared" si="17"/>
        <v>0</v>
      </c>
      <c r="AL41" s="72">
        <f t="shared" si="18"/>
        <v>0</v>
      </c>
      <c r="AM41" s="72">
        <f t="shared" si="18"/>
        <v>0</v>
      </c>
      <c r="AN41" s="72">
        <f t="shared" si="18"/>
        <v>0</v>
      </c>
    </row>
    <row r="42" spans="2:52" hidden="1">
      <c r="B42" s="60"/>
      <c r="C42" s="62"/>
      <c r="D42" s="79"/>
      <c r="E42" s="56"/>
      <c r="F42" s="76"/>
      <c r="G42" s="77"/>
      <c r="H42" s="78"/>
      <c r="I42" s="481"/>
      <c r="J42" s="72">
        <f t="shared" si="19"/>
        <v>0</v>
      </c>
      <c r="K42" s="72">
        <f t="shared" si="20"/>
        <v>0</v>
      </c>
      <c r="L42" s="72">
        <f t="shared" si="21"/>
        <v>0</v>
      </c>
      <c r="M42" s="72">
        <f t="shared" si="22"/>
        <v>0</v>
      </c>
      <c r="N42" s="72">
        <f t="shared" si="23"/>
        <v>0</v>
      </c>
      <c r="O42" s="72">
        <f t="shared" si="24"/>
        <v>0</v>
      </c>
      <c r="P42" s="72">
        <f t="shared" si="25"/>
        <v>0</v>
      </c>
      <c r="Q42" s="72">
        <f t="shared" si="26"/>
        <v>0</v>
      </c>
      <c r="R42" s="72">
        <f t="shared" si="27"/>
        <v>0</v>
      </c>
      <c r="S42" s="72">
        <f t="shared" si="28"/>
        <v>0</v>
      </c>
      <c r="T42" s="72">
        <f t="shared" si="29"/>
        <v>0</v>
      </c>
      <c r="U42" s="72">
        <f t="shared" si="30"/>
        <v>0</v>
      </c>
      <c r="V42" s="72">
        <f t="shared" si="33"/>
        <v>0</v>
      </c>
      <c r="W42" s="72">
        <f t="shared" si="33"/>
        <v>0</v>
      </c>
      <c r="X42" s="72">
        <f t="shared" si="33"/>
        <v>0</v>
      </c>
      <c r="Z42" s="72">
        <f t="shared" si="6"/>
        <v>0</v>
      </c>
      <c r="AA42" s="72">
        <f t="shared" si="7"/>
        <v>0</v>
      </c>
      <c r="AB42" s="72">
        <f t="shared" si="8"/>
        <v>0</v>
      </c>
      <c r="AC42" s="72">
        <f t="shared" si="9"/>
        <v>0</v>
      </c>
      <c r="AD42" s="72">
        <f t="shared" si="10"/>
        <v>0</v>
      </c>
      <c r="AE42" s="72">
        <f t="shared" si="11"/>
        <v>0</v>
      </c>
      <c r="AF42" s="72">
        <f t="shared" si="12"/>
        <v>0</v>
      </c>
      <c r="AG42" s="72">
        <f t="shared" si="13"/>
        <v>0</v>
      </c>
      <c r="AH42" s="72">
        <f t="shared" si="14"/>
        <v>0</v>
      </c>
      <c r="AI42" s="72">
        <f t="shared" si="15"/>
        <v>0</v>
      </c>
      <c r="AJ42" s="72">
        <f t="shared" si="16"/>
        <v>0</v>
      </c>
      <c r="AK42" s="72">
        <f t="shared" si="17"/>
        <v>0</v>
      </c>
      <c r="AL42" s="72">
        <f t="shared" si="18"/>
        <v>0</v>
      </c>
      <c r="AM42" s="72">
        <f t="shared" si="18"/>
        <v>0</v>
      </c>
      <c r="AN42" s="72">
        <f t="shared" si="18"/>
        <v>0</v>
      </c>
    </row>
    <row r="43" spans="2:52" hidden="1">
      <c r="B43" s="60"/>
      <c r="C43" s="62"/>
      <c r="D43" s="79"/>
      <c r="E43" s="56"/>
      <c r="F43" s="76"/>
      <c r="G43" s="77"/>
      <c r="H43" s="78"/>
      <c r="I43" s="481"/>
      <c r="J43" s="72">
        <f t="shared" si="19"/>
        <v>0</v>
      </c>
      <c r="K43" s="72">
        <f t="shared" si="20"/>
        <v>0</v>
      </c>
      <c r="L43" s="72">
        <f t="shared" si="21"/>
        <v>0</v>
      </c>
      <c r="M43" s="72">
        <f t="shared" si="22"/>
        <v>0</v>
      </c>
      <c r="N43" s="72">
        <f t="shared" si="23"/>
        <v>0</v>
      </c>
      <c r="O43" s="72">
        <f t="shared" si="24"/>
        <v>0</v>
      </c>
      <c r="P43" s="72">
        <f t="shared" si="25"/>
        <v>0</v>
      </c>
      <c r="Q43" s="72">
        <f t="shared" si="26"/>
        <v>0</v>
      </c>
      <c r="R43" s="72">
        <f t="shared" si="27"/>
        <v>0</v>
      </c>
      <c r="S43" s="72">
        <f t="shared" si="28"/>
        <v>0</v>
      </c>
      <c r="T43" s="72">
        <f t="shared" si="29"/>
        <v>0</v>
      </c>
      <c r="U43" s="72">
        <f t="shared" si="30"/>
        <v>0</v>
      </c>
      <c r="V43" s="72">
        <f t="shared" si="33"/>
        <v>0</v>
      </c>
      <c r="W43" s="72">
        <f t="shared" si="33"/>
        <v>0</v>
      </c>
      <c r="X43" s="72">
        <f t="shared" si="33"/>
        <v>0</v>
      </c>
      <c r="Z43" s="72">
        <f t="shared" si="6"/>
        <v>0</v>
      </c>
      <c r="AA43" s="72">
        <f t="shared" si="7"/>
        <v>0</v>
      </c>
      <c r="AB43" s="72">
        <f t="shared" si="8"/>
        <v>0</v>
      </c>
      <c r="AC43" s="72">
        <f t="shared" si="9"/>
        <v>0</v>
      </c>
      <c r="AD43" s="72">
        <f t="shared" si="10"/>
        <v>0</v>
      </c>
      <c r="AE43" s="72">
        <f t="shared" si="11"/>
        <v>0</v>
      </c>
      <c r="AF43" s="72">
        <f t="shared" si="12"/>
        <v>0</v>
      </c>
      <c r="AG43" s="72">
        <f t="shared" si="13"/>
        <v>0</v>
      </c>
      <c r="AH43" s="72">
        <f t="shared" si="14"/>
        <v>0</v>
      </c>
      <c r="AI43" s="72">
        <f t="shared" si="15"/>
        <v>0</v>
      </c>
      <c r="AJ43" s="72">
        <f t="shared" si="16"/>
        <v>0</v>
      </c>
      <c r="AK43" s="72">
        <f t="shared" si="17"/>
        <v>0</v>
      </c>
      <c r="AL43" s="72">
        <f t="shared" si="18"/>
        <v>0</v>
      </c>
      <c r="AM43" s="72">
        <f t="shared" si="18"/>
        <v>0</v>
      </c>
      <c r="AN43" s="72">
        <f t="shared" si="18"/>
        <v>0</v>
      </c>
    </row>
    <row r="44" spans="2:52" hidden="1">
      <c r="B44" s="60"/>
      <c r="C44" s="62"/>
      <c r="D44" s="79"/>
      <c r="E44" s="56"/>
      <c r="F44" s="76"/>
      <c r="G44" s="77"/>
      <c r="H44" s="78"/>
      <c r="I44" s="481"/>
      <c r="J44" s="72">
        <f t="shared" si="19"/>
        <v>0</v>
      </c>
      <c r="K44" s="72">
        <f t="shared" si="20"/>
        <v>0</v>
      </c>
      <c r="L44" s="72">
        <f t="shared" si="21"/>
        <v>0</v>
      </c>
      <c r="M44" s="72">
        <f t="shared" si="22"/>
        <v>0</v>
      </c>
      <c r="N44" s="72">
        <f t="shared" si="23"/>
        <v>0</v>
      </c>
      <c r="O44" s="72">
        <f t="shared" si="24"/>
        <v>0</v>
      </c>
      <c r="P44" s="72">
        <f t="shared" si="25"/>
        <v>0</v>
      </c>
      <c r="Q44" s="72">
        <f t="shared" si="26"/>
        <v>0</v>
      </c>
      <c r="R44" s="72">
        <f t="shared" si="27"/>
        <v>0</v>
      </c>
      <c r="S44" s="72">
        <f t="shared" si="28"/>
        <v>0</v>
      </c>
      <c r="T44" s="72">
        <f t="shared" si="29"/>
        <v>0</v>
      </c>
      <c r="U44" s="72">
        <f t="shared" si="30"/>
        <v>0</v>
      </c>
      <c r="V44" s="72">
        <f t="shared" si="33"/>
        <v>0</v>
      </c>
      <c r="W44" s="72">
        <f t="shared" si="33"/>
        <v>0</v>
      </c>
      <c r="X44" s="72">
        <f t="shared" si="33"/>
        <v>0</v>
      </c>
      <c r="Z44" s="72">
        <f t="shared" si="6"/>
        <v>0</v>
      </c>
      <c r="AA44" s="72">
        <f t="shared" si="7"/>
        <v>0</v>
      </c>
      <c r="AB44" s="72">
        <f t="shared" si="8"/>
        <v>0</v>
      </c>
      <c r="AC44" s="72">
        <f t="shared" si="9"/>
        <v>0</v>
      </c>
      <c r="AD44" s="72">
        <f t="shared" si="10"/>
        <v>0</v>
      </c>
      <c r="AE44" s="72">
        <f t="shared" si="11"/>
        <v>0</v>
      </c>
      <c r="AF44" s="72">
        <f t="shared" si="12"/>
        <v>0</v>
      </c>
      <c r="AG44" s="72">
        <f t="shared" si="13"/>
        <v>0</v>
      </c>
      <c r="AH44" s="72">
        <f t="shared" si="14"/>
        <v>0</v>
      </c>
      <c r="AI44" s="72">
        <f t="shared" si="15"/>
        <v>0</v>
      </c>
      <c r="AJ44" s="72">
        <f t="shared" si="16"/>
        <v>0</v>
      </c>
      <c r="AK44" s="72">
        <f t="shared" si="17"/>
        <v>0</v>
      </c>
      <c r="AL44" s="72">
        <f t="shared" si="18"/>
        <v>0</v>
      </c>
      <c r="AM44" s="72">
        <f t="shared" si="18"/>
        <v>0</v>
      </c>
      <c r="AN44" s="72">
        <f t="shared" si="18"/>
        <v>0</v>
      </c>
    </row>
    <row r="45" spans="2:52" hidden="1">
      <c r="B45" s="60"/>
      <c r="C45" s="62"/>
      <c r="D45" s="79"/>
      <c r="E45" s="56"/>
      <c r="F45" s="76"/>
      <c r="G45" s="77"/>
      <c r="H45" s="78"/>
      <c r="I45" s="481"/>
      <c r="J45" s="72">
        <f t="shared" si="19"/>
        <v>0</v>
      </c>
      <c r="K45" s="72">
        <f t="shared" si="20"/>
        <v>0</v>
      </c>
      <c r="L45" s="72">
        <f t="shared" si="21"/>
        <v>0</v>
      </c>
      <c r="M45" s="72">
        <f t="shared" si="22"/>
        <v>0</v>
      </c>
      <c r="N45" s="72">
        <f t="shared" si="23"/>
        <v>0</v>
      </c>
      <c r="O45" s="72">
        <f t="shared" si="24"/>
        <v>0</v>
      </c>
      <c r="P45" s="72">
        <f t="shared" si="25"/>
        <v>0</v>
      </c>
      <c r="Q45" s="72">
        <f t="shared" si="26"/>
        <v>0</v>
      </c>
      <c r="R45" s="72">
        <f t="shared" si="27"/>
        <v>0</v>
      </c>
      <c r="S45" s="72">
        <f t="shared" si="28"/>
        <v>0</v>
      </c>
      <c r="T45" s="72">
        <f t="shared" si="29"/>
        <v>0</v>
      </c>
      <c r="U45" s="72">
        <f t="shared" si="30"/>
        <v>0</v>
      </c>
      <c r="V45" s="72">
        <f t="shared" si="33"/>
        <v>0</v>
      </c>
      <c r="W45" s="72">
        <f t="shared" si="33"/>
        <v>0</v>
      </c>
      <c r="X45" s="72">
        <f t="shared" si="33"/>
        <v>0</v>
      </c>
      <c r="Z45" s="72">
        <f t="shared" si="6"/>
        <v>0</v>
      </c>
      <c r="AA45" s="72">
        <f t="shared" si="7"/>
        <v>0</v>
      </c>
      <c r="AB45" s="72">
        <f t="shared" si="8"/>
        <v>0</v>
      </c>
      <c r="AC45" s="72">
        <f t="shared" si="9"/>
        <v>0</v>
      </c>
      <c r="AD45" s="72">
        <f t="shared" si="10"/>
        <v>0</v>
      </c>
      <c r="AE45" s="72">
        <f t="shared" si="11"/>
        <v>0</v>
      </c>
      <c r="AF45" s="72">
        <f t="shared" si="12"/>
        <v>0</v>
      </c>
      <c r="AG45" s="72">
        <f t="shared" si="13"/>
        <v>0</v>
      </c>
      <c r="AH45" s="72">
        <f t="shared" si="14"/>
        <v>0</v>
      </c>
      <c r="AI45" s="72">
        <f t="shared" si="15"/>
        <v>0</v>
      </c>
      <c r="AJ45" s="72">
        <f t="shared" si="16"/>
        <v>0</v>
      </c>
      <c r="AK45" s="72">
        <f t="shared" si="17"/>
        <v>0</v>
      </c>
      <c r="AL45" s="72">
        <f t="shared" si="18"/>
        <v>0</v>
      </c>
      <c r="AM45" s="72">
        <f t="shared" si="18"/>
        <v>0</v>
      </c>
      <c r="AN45" s="72">
        <f t="shared" si="18"/>
        <v>0</v>
      </c>
    </row>
    <row r="46" spans="2:52" hidden="1">
      <c r="B46" s="60"/>
      <c r="C46" s="62"/>
      <c r="D46" s="79"/>
      <c r="E46" s="56"/>
      <c r="F46" s="76"/>
      <c r="G46" s="77"/>
      <c r="H46" s="78"/>
      <c r="I46" s="481"/>
      <c r="J46" s="72">
        <f t="shared" si="19"/>
        <v>0</v>
      </c>
      <c r="K46" s="72">
        <f t="shared" si="20"/>
        <v>0</v>
      </c>
      <c r="L46" s="72">
        <f t="shared" si="21"/>
        <v>0</v>
      </c>
      <c r="M46" s="72">
        <f t="shared" si="22"/>
        <v>0</v>
      </c>
      <c r="N46" s="72">
        <f t="shared" si="23"/>
        <v>0</v>
      </c>
      <c r="O46" s="72">
        <f t="shared" si="24"/>
        <v>0</v>
      </c>
      <c r="P46" s="72">
        <f t="shared" si="25"/>
        <v>0</v>
      </c>
      <c r="Q46" s="72">
        <f t="shared" si="26"/>
        <v>0</v>
      </c>
      <c r="R46" s="72">
        <f t="shared" si="27"/>
        <v>0</v>
      </c>
      <c r="S46" s="72">
        <f t="shared" si="28"/>
        <v>0</v>
      </c>
      <c r="T46" s="72">
        <f t="shared" si="29"/>
        <v>0</v>
      </c>
      <c r="U46" s="72">
        <f t="shared" si="30"/>
        <v>0</v>
      </c>
      <c r="V46" s="72">
        <f t="shared" si="33"/>
        <v>0</v>
      </c>
      <c r="W46" s="72">
        <f t="shared" si="33"/>
        <v>0</v>
      </c>
      <c r="X46" s="72">
        <f t="shared" si="33"/>
        <v>0</v>
      </c>
      <c r="Z46" s="72">
        <f t="shared" si="6"/>
        <v>0</v>
      </c>
      <c r="AA46" s="72">
        <f t="shared" si="7"/>
        <v>0</v>
      </c>
      <c r="AB46" s="72">
        <f t="shared" si="8"/>
        <v>0</v>
      </c>
      <c r="AC46" s="72">
        <f t="shared" si="9"/>
        <v>0</v>
      </c>
      <c r="AD46" s="72">
        <f t="shared" si="10"/>
        <v>0</v>
      </c>
      <c r="AE46" s="72">
        <f t="shared" si="11"/>
        <v>0</v>
      </c>
      <c r="AF46" s="72">
        <f t="shared" si="12"/>
        <v>0</v>
      </c>
      <c r="AG46" s="72">
        <f t="shared" si="13"/>
        <v>0</v>
      </c>
      <c r="AH46" s="72">
        <f t="shared" si="14"/>
        <v>0</v>
      </c>
      <c r="AI46" s="72">
        <f t="shared" si="15"/>
        <v>0</v>
      </c>
      <c r="AJ46" s="72">
        <f t="shared" si="16"/>
        <v>0</v>
      </c>
      <c r="AK46" s="72">
        <f t="shared" si="17"/>
        <v>0</v>
      </c>
      <c r="AL46" s="72">
        <f t="shared" si="18"/>
        <v>0</v>
      </c>
      <c r="AM46" s="72">
        <f t="shared" si="18"/>
        <v>0</v>
      </c>
      <c r="AN46" s="72">
        <f t="shared" si="18"/>
        <v>0</v>
      </c>
    </row>
    <row r="47" spans="2:52" hidden="1">
      <c r="B47" s="60"/>
      <c r="C47" s="62"/>
      <c r="D47" s="79"/>
      <c r="E47" s="56"/>
      <c r="F47" s="76"/>
      <c r="G47" s="77"/>
      <c r="H47" s="78"/>
      <c r="I47" s="481"/>
      <c r="J47" s="72">
        <f t="shared" si="19"/>
        <v>0</v>
      </c>
      <c r="K47" s="72">
        <f t="shared" si="20"/>
        <v>0</v>
      </c>
      <c r="L47" s="72">
        <f t="shared" si="21"/>
        <v>0</v>
      </c>
      <c r="M47" s="72">
        <f t="shared" si="22"/>
        <v>0</v>
      </c>
      <c r="N47" s="72">
        <f t="shared" si="23"/>
        <v>0</v>
      </c>
      <c r="O47" s="72">
        <f t="shared" si="24"/>
        <v>0</v>
      </c>
      <c r="P47" s="72">
        <f t="shared" si="25"/>
        <v>0</v>
      </c>
      <c r="Q47" s="72">
        <f t="shared" si="26"/>
        <v>0</v>
      </c>
      <c r="R47" s="72">
        <f t="shared" si="27"/>
        <v>0</v>
      </c>
      <c r="S47" s="72">
        <f t="shared" si="28"/>
        <v>0</v>
      </c>
      <c r="T47" s="72">
        <f t="shared" si="29"/>
        <v>0</v>
      </c>
      <c r="U47" s="72">
        <f t="shared" si="30"/>
        <v>0</v>
      </c>
      <c r="V47" s="72">
        <f t="shared" si="33"/>
        <v>0</v>
      </c>
      <c r="W47" s="72">
        <f t="shared" si="33"/>
        <v>0</v>
      </c>
      <c r="X47" s="72">
        <f t="shared" si="33"/>
        <v>0</v>
      </c>
      <c r="Z47" s="72">
        <f t="shared" si="6"/>
        <v>0</v>
      </c>
      <c r="AA47" s="72">
        <f t="shared" si="7"/>
        <v>0</v>
      </c>
      <c r="AB47" s="72">
        <f t="shared" si="8"/>
        <v>0</v>
      </c>
      <c r="AC47" s="72">
        <f t="shared" si="9"/>
        <v>0</v>
      </c>
      <c r="AD47" s="72">
        <f t="shared" si="10"/>
        <v>0</v>
      </c>
      <c r="AE47" s="72">
        <f t="shared" si="11"/>
        <v>0</v>
      </c>
      <c r="AF47" s="72">
        <f t="shared" si="12"/>
        <v>0</v>
      </c>
      <c r="AG47" s="72">
        <f t="shared" si="13"/>
        <v>0</v>
      </c>
      <c r="AH47" s="72">
        <f t="shared" si="14"/>
        <v>0</v>
      </c>
      <c r="AI47" s="72">
        <f t="shared" si="15"/>
        <v>0</v>
      </c>
      <c r="AJ47" s="72">
        <f t="shared" si="16"/>
        <v>0</v>
      </c>
      <c r="AK47" s="72">
        <f t="shared" si="17"/>
        <v>0</v>
      </c>
      <c r="AL47" s="72">
        <f t="shared" si="18"/>
        <v>0</v>
      </c>
      <c r="AM47" s="72">
        <f t="shared" si="18"/>
        <v>0</v>
      </c>
      <c r="AN47" s="72">
        <f t="shared" si="18"/>
        <v>0</v>
      </c>
    </row>
    <row r="48" spans="2:52" hidden="1">
      <c r="B48" s="60"/>
      <c r="C48" s="62"/>
      <c r="D48" s="79"/>
      <c r="E48" s="56"/>
      <c r="F48" s="76"/>
      <c r="G48" s="77"/>
      <c r="H48" s="78"/>
      <c r="I48" s="481"/>
      <c r="J48" s="72">
        <f t="shared" si="19"/>
        <v>0</v>
      </c>
      <c r="K48" s="72">
        <f t="shared" si="20"/>
        <v>0</v>
      </c>
      <c r="L48" s="72">
        <f t="shared" si="21"/>
        <v>0</v>
      </c>
      <c r="M48" s="72">
        <f t="shared" si="22"/>
        <v>0</v>
      </c>
      <c r="N48" s="72">
        <f t="shared" si="23"/>
        <v>0</v>
      </c>
      <c r="O48" s="72">
        <f t="shared" si="24"/>
        <v>0</v>
      </c>
      <c r="P48" s="72">
        <f t="shared" si="25"/>
        <v>0</v>
      </c>
      <c r="Q48" s="72">
        <f t="shared" si="26"/>
        <v>0</v>
      </c>
      <c r="R48" s="72">
        <f t="shared" si="27"/>
        <v>0</v>
      </c>
      <c r="S48" s="72">
        <f t="shared" si="28"/>
        <v>0</v>
      </c>
      <c r="T48" s="72">
        <f t="shared" si="29"/>
        <v>0</v>
      </c>
      <c r="U48" s="72">
        <f t="shared" si="30"/>
        <v>0</v>
      </c>
      <c r="V48" s="72">
        <f t="shared" si="33"/>
        <v>0</v>
      </c>
      <c r="W48" s="72">
        <f t="shared" si="33"/>
        <v>0</v>
      </c>
      <c r="X48" s="72">
        <f t="shared" si="33"/>
        <v>0</v>
      </c>
      <c r="Z48" s="72">
        <f t="shared" si="6"/>
        <v>0</v>
      </c>
      <c r="AA48" s="72">
        <f t="shared" si="7"/>
        <v>0</v>
      </c>
      <c r="AB48" s="72">
        <f t="shared" si="8"/>
        <v>0</v>
      </c>
      <c r="AC48" s="72">
        <f t="shared" si="9"/>
        <v>0</v>
      </c>
      <c r="AD48" s="72">
        <f t="shared" si="10"/>
        <v>0</v>
      </c>
      <c r="AE48" s="72">
        <f t="shared" si="11"/>
        <v>0</v>
      </c>
      <c r="AF48" s="72">
        <f t="shared" si="12"/>
        <v>0</v>
      </c>
      <c r="AG48" s="72">
        <f t="shared" si="13"/>
        <v>0</v>
      </c>
      <c r="AH48" s="72">
        <f t="shared" si="14"/>
        <v>0</v>
      </c>
      <c r="AI48" s="72">
        <f t="shared" si="15"/>
        <v>0</v>
      </c>
      <c r="AJ48" s="72">
        <f t="shared" si="16"/>
        <v>0</v>
      </c>
      <c r="AK48" s="72">
        <f t="shared" si="17"/>
        <v>0</v>
      </c>
      <c r="AL48" s="72">
        <f t="shared" si="18"/>
        <v>0</v>
      </c>
      <c r="AM48" s="72">
        <f t="shared" si="18"/>
        <v>0</v>
      </c>
      <c r="AN48" s="72">
        <f t="shared" si="18"/>
        <v>0</v>
      </c>
    </row>
    <row r="49" spans="2:42" hidden="1">
      <c r="B49" s="60"/>
      <c r="C49" s="62"/>
      <c r="D49" s="79"/>
      <c r="E49" s="56"/>
      <c r="F49" s="76"/>
      <c r="G49" s="77"/>
      <c r="H49" s="78"/>
      <c r="I49" s="481"/>
      <c r="J49" s="72">
        <f t="shared" si="19"/>
        <v>0</v>
      </c>
      <c r="K49" s="72">
        <f t="shared" si="20"/>
        <v>0</v>
      </c>
      <c r="L49" s="72">
        <f t="shared" si="21"/>
        <v>0</v>
      </c>
      <c r="M49" s="72">
        <f t="shared" si="22"/>
        <v>0</v>
      </c>
      <c r="N49" s="72">
        <f t="shared" si="23"/>
        <v>0</v>
      </c>
      <c r="O49" s="72">
        <f t="shared" si="24"/>
        <v>0</v>
      </c>
      <c r="P49" s="72">
        <f t="shared" si="25"/>
        <v>0</v>
      </c>
      <c r="Q49" s="72">
        <f t="shared" si="26"/>
        <v>0</v>
      </c>
      <c r="R49" s="72">
        <f t="shared" si="27"/>
        <v>0</v>
      </c>
      <c r="S49" s="72">
        <f t="shared" si="28"/>
        <v>0</v>
      </c>
      <c r="T49" s="72">
        <f t="shared" si="29"/>
        <v>0</v>
      </c>
      <c r="U49" s="72">
        <f t="shared" si="30"/>
        <v>0</v>
      </c>
      <c r="V49" s="72">
        <f t="shared" si="33"/>
        <v>0</v>
      </c>
      <c r="W49" s="72">
        <f t="shared" si="33"/>
        <v>0</v>
      </c>
      <c r="X49" s="72">
        <f t="shared" si="33"/>
        <v>0</v>
      </c>
      <c r="Z49" s="72">
        <f t="shared" si="6"/>
        <v>0</v>
      </c>
      <c r="AA49" s="72">
        <f t="shared" si="7"/>
        <v>0</v>
      </c>
      <c r="AB49" s="72">
        <f t="shared" si="8"/>
        <v>0</v>
      </c>
      <c r="AC49" s="72">
        <f t="shared" si="9"/>
        <v>0</v>
      </c>
      <c r="AD49" s="72">
        <f t="shared" si="10"/>
        <v>0</v>
      </c>
      <c r="AE49" s="72">
        <f t="shared" si="11"/>
        <v>0</v>
      </c>
      <c r="AF49" s="72">
        <f t="shared" si="12"/>
        <v>0</v>
      </c>
      <c r="AG49" s="72">
        <f t="shared" si="13"/>
        <v>0</v>
      </c>
      <c r="AH49" s="72">
        <f t="shared" si="14"/>
        <v>0</v>
      </c>
      <c r="AI49" s="72">
        <f t="shared" si="15"/>
        <v>0</v>
      </c>
      <c r="AJ49" s="72">
        <f t="shared" si="16"/>
        <v>0</v>
      </c>
      <c r="AK49" s="72">
        <f t="shared" si="17"/>
        <v>0</v>
      </c>
      <c r="AL49" s="72">
        <f t="shared" si="18"/>
        <v>0</v>
      </c>
      <c r="AM49" s="72">
        <f t="shared" si="18"/>
        <v>0</v>
      </c>
      <c r="AN49" s="72">
        <f t="shared" si="18"/>
        <v>0</v>
      </c>
    </row>
    <row r="50" spans="2:42" hidden="1">
      <c r="B50" s="60"/>
      <c r="C50" s="62"/>
      <c r="D50" s="79"/>
      <c r="E50" s="56"/>
      <c r="F50" s="76"/>
      <c r="G50" s="77"/>
      <c r="H50" s="78"/>
      <c r="I50" s="481"/>
      <c r="J50" s="72">
        <f t="shared" si="19"/>
        <v>0</v>
      </c>
      <c r="K50" s="72">
        <f t="shared" si="20"/>
        <v>0</v>
      </c>
      <c r="L50" s="72">
        <f t="shared" si="21"/>
        <v>0</v>
      </c>
      <c r="M50" s="72">
        <f t="shared" si="22"/>
        <v>0</v>
      </c>
      <c r="N50" s="72">
        <f t="shared" si="23"/>
        <v>0</v>
      </c>
      <c r="O50" s="72">
        <f t="shared" si="24"/>
        <v>0</v>
      </c>
      <c r="P50" s="72">
        <f t="shared" si="25"/>
        <v>0</v>
      </c>
      <c r="Q50" s="72">
        <f t="shared" si="26"/>
        <v>0</v>
      </c>
      <c r="R50" s="72">
        <f t="shared" si="27"/>
        <v>0</v>
      </c>
      <c r="S50" s="72">
        <f t="shared" si="28"/>
        <v>0</v>
      </c>
      <c r="T50" s="72">
        <f t="shared" si="29"/>
        <v>0</v>
      </c>
      <c r="U50" s="72">
        <f t="shared" si="30"/>
        <v>0</v>
      </c>
      <c r="V50" s="72">
        <f t="shared" si="33"/>
        <v>0</v>
      </c>
      <c r="W50" s="72">
        <f t="shared" si="33"/>
        <v>0</v>
      </c>
      <c r="X50" s="72">
        <f t="shared" si="33"/>
        <v>0</v>
      </c>
      <c r="Z50" s="72">
        <f t="shared" si="6"/>
        <v>0</v>
      </c>
      <c r="AA50" s="72">
        <f t="shared" si="7"/>
        <v>0</v>
      </c>
      <c r="AB50" s="72">
        <f t="shared" si="8"/>
        <v>0</v>
      </c>
      <c r="AC50" s="72">
        <f t="shared" si="9"/>
        <v>0</v>
      </c>
      <c r="AD50" s="72">
        <f t="shared" si="10"/>
        <v>0</v>
      </c>
      <c r="AE50" s="72">
        <f t="shared" si="11"/>
        <v>0</v>
      </c>
      <c r="AF50" s="72">
        <f t="shared" si="12"/>
        <v>0</v>
      </c>
      <c r="AG50" s="72">
        <f t="shared" si="13"/>
        <v>0</v>
      </c>
      <c r="AH50" s="72">
        <f t="shared" si="14"/>
        <v>0</v>
      </c>
      <c r="AI50" s="72">
        <f t="shared" si="15"/>
        <v>0</v>
      </c>
      <c r="AJ50" s="72">
        <f t="shared" si="16"/>
        <v>0</v>
      </c>
      <c r="AK50" s="72">
        <f t="shared" si="17"/>
        <v>0</v>
      </c>
      <c r="AL50" s="72">
        <f t="shared" si="18"/>
        <v>0</v>
      </c>
      <c r="AM50" s="72">
        <f t="shared" si="18"/>
        <v>0</v>
      </c>
      <c r="AN50" s="72">
        <f t="shared" si="18"/>
        <v>0</v>
      </c>
    </row>
    <row r="51" spans="2:42" hidden="1">
      <c r="B51" s="60"/>
      <c r="C51" s="62"/>
      <c r="D51" s="79"/>
      <c r="E51" s="56"/>
      <c r="F51" s="76"/>
      <c r="G51" s="77"/>
      <c r="H51" s="78"/>
      <c r="I51" s="481"/>
      <c r="J51" s="72">
        <f t="shared" si="19"/>
        <v>0</v>
      </c>
      <c r="K51" s="72">
        <f t="shared" si="20"/>
        <v>0</v>
      </c>
      <c r="L51" s="72">
        <f t="shared" si="21"/>
        <v>0</v>
      </c>
      <c r="M51" s="72">
        <f t="shared" si="22"/>
        <v>0</v>
      </c>
      <c r="N51" s="72">
        <f t="shared" si="23"/>
        <v>0</v>
      </c>
      <c r="O51" s="72">
        <f t="shared" si="24"/>
        <v>0</v>
      </c>
      <c r="P51" s="72">
        <f t="shared" si="25"/>
        <v>0</v>
      </c>
      <c r="Q51" s="72">
        <f t="shared" si="26"/>
        <v>0</v>
      </c>
      <c r="R51" s="72">
        <f t="shared" si="27"/>
        <v>0</v>
      </c>
      <c r="S51" s="72">
        <f t="shared" si="28"/>
        <v>0</v>
      </c>
      <c r="T51" s="72">
        <f t="shared" si="29"/>
        <v>0</v>
      </c>
      <c r="U51" s="72">
        <f t="shared" si="30"/>
        <v>0</v>
      </c>
      <c r="V51" s="72">
        <f t="shared" si="33"/>
        <v>0</v>
      </c>
      <c r="W51" s="72">
        <f t="shared" si="33"/>
        <v>0</v>
      </c>
      <c r="X51" s="72">
        <f t="shared" si="33"/>
        <v>0</v>
      </c>
      <c r="Z51" s="72">
        <f t="shared" si="6"/>
        <v>0</v>
      </c>
      <c r="AA51" s="72">
        <f t="shared" si="7"/>
        <v>0</v>
      </c>
      <c r="AB51" s="72">
        <f t="shared" si="8"/>
        <v>0</v>
      </c>
      <c r="AC51" s="72">
        <f t="shared" si="9"/>
        <v>0</v>
      </c>
      <c r="AD51" s="72">
        <f t="shared" si="10"/>
        <v>0</v>
      </c>
      <c r="AE51" s="72">
        <f t="shared" si="11"/>
        <v>0</v>
      </c>
      <c r="AF51" s="72">
        <f t="shared" si="12"/>
        <v>0</v>
      </c>
      <c r="AG51" s="72">
        <f t="shared" si="13"/>
        <v>0</v>
      </c>
      <c r="AH51" s="72">
        <f t="shared" si="14"/>
        <v>0</v>
      </c>
      <c r="AI51" s="72">
        <f t="shared" si="15"/>
        <v>0</v>
      </c>
      <c r="AJ51" s="72">
        <f t="shared" si="16"/>
        <v>0</v>
      </c>
      <c r="AK51" s="72">
        <f t="shared" si="17"/>
        <v>0</v>
      </c>
      <c r="AL51" s="72">
        <f t="shared" si="18"/>
        <v>0</v>
      </c>
      <c r="AM51" s="72">
        <f t="shared" si="18"/>
        <v>0</v>
      </c>
      <c r="AN51" s="72">
        <f t="shared" si="18"/>
        <v>0</v>
      </c>
    </row>
    <row r="52" spans="2:42" hidden="1">
      <c r="B52" s="60"/>
      <c r="C52" s="62"/>
      <c r="D52" s="79"/>
      <c r="E52" s="56"/>
      <c r="F52" s="76"/>
      <c r="G52" s="77"/>
      <c r="H52" s="78"/>
      <c r="I52" s="481"/>
      <c r="J52" s="72">
        <f t="shared" si="19"/>
        <v>0</v>
      </c>
      <c r="K52" s="72">
        <f t="shared" si="20"/>
        <v>0</v>
      </c>
      <c r="L52" s="72">
        <f t="shared" si="21"/>
        <v>0</v>
      </c>
      <c r="M52" s="72">
        <f t="shared" si="22"/>
        <v>0</v>
      </c>
      <c r="N52" s="72">
        <f t="shared" si="23"/>
        <v>0</v>
      </c>
      <c r="O52" s="72">
        <f t="shared" si="24"/>
        <v>0</v>
      </c>
      <c r="P52" s="72">
        <f t="shared" si="25"/>
        <v>0</v>
      </c>
      <c r="Q52" s="72">
        <f t="shared" si="26"/>
        <v>0</v>
      </c>
      <c r="R52" s="72">
        <f t="shared" si="27"/>
        <v>0</v>
      </c>
      <c r="S52" s="72">
        <f t="shared" si="28"/>
        <v>0</v>
      </c>
      <c r="T52" s="72">
        <f t="shared" si="29"/>
        <v>0</v>
      </c>
      <c r="U52" s="72">
        <f t="shared" si="30"/>
        <v>0</v>
      </c>
      <c r="V52" s="72">
        <f t="shared" si="33"/>
        <v>0</v>
      </c>
      <c r="W52" s="72">
        <f t="shared" si="33"/>
        <v>0</v>
      </c>
      <c r="X52" s="72">
        <f t="shared" si="33"/>
        <v>0</v>
      </c>
      <c r="Z52" s="72">
        <f t="shared" si="6"/>
        <v>0</v>
      </c>
      <c r="AA52" s="72">
        <f t="shared" si="7"/>
        <v>0</v>
      </c>
      <c r="AB52" s="72">
        <f t="shared" si="8"/>
        <v>0</v>
      </c>
      <c r="AC52" s="72">
        <f t="shared" si="9"/>
        <v>0</v>
      </c>
      <c r="AD52" s="72">
        <f t="shared" si="10"/>
        <v>0</v>
      </c>
      <c r="AE52" s="72">
        <f t="shared" si="11"/>
        <v>0</v>
      </c>
      <c r="AF52" s="72">
        <f t="shared" si="12"/>
        <v>0</v>
      </c>
      <c r="AG52" s="72">
        <f t="shared" si="13"/>
        <v>0</v>
      </c>
      <c r="AH52" s="72">
        <f t="shared" si="14"/>
        <v>0</v>
      </c>
      <c r="AI52" s="72">
        <f t="shared" si="15"/>
        <v>0</v>
      </c>
      <c r="AJ52" s="72">
        <f t="shared" si="16"/>
        <v>0</v>
      </c>
      <c r="AK52" s="72">
        <f t="shared" si="17"/>
        <v>0</v>
      </c>
      <c r="AL52" s="72">
        <f t="shared" si="18"/>
        <v>0</v>
      </c>
      <c r="AM52" s="72">
        <f t="shared" si="18"/>
        <v>0</v>
      </c>
      <c r="AN52" s="72">
        <f t="shared" si="18"/>
        <v>0</v>
      </c>
    </row>
    <row r="53" spans="2:42" hidden="1">
      <c r="B53" s="60"/>
      <c r="C53" s="62"/>
      <c r="D53" s="79"/>
      <c r="E53" s="56"/>
      <c r="F53" s="76"/>
      <c r="G53" s="77"/>
      <c r="H53" s="78"/>
      <c r="I53" s="481"/>
      <c r="J53" s="72">
        <f t="shared" si="19"/>
        <v>0</v>
      </c>
      <c r="K53" s="72">
        <f t="shared" si="20"/>
        <v>0</v>
      </c>
      <c r="L53" s="72">
        <f t="shared" si="21"/>
        <v>0</v>
      </c>
      <c r="M53" s="72">
        <f t="shared" si="22"/>
        <v>0</v>
      </c>
      <c r="N53" s="72">
        <f t="shared" si="23"/>
        <v>0</v>
      </c>
      <c r="O53" s="72">
        <f t="shared" si="24"/>
        <v>0</v>
      </c>
      <c r="P53" s="72">
        <f t="shared" si="25"/>
        <v>0</v>
      </c>
      <c r="Q53" s="72">
        <f t="shared" si="26"/>
        <v>0</v>
      </c>
      <c r="R53" s="72">
        <f t="shared" si="27"/>
        <v>0</v>
      </c>
      <c r="S53" s="72">
        <f t="shared" si="28"/>
        <v>0</v>
      </c>
      <c r="T53" s="72">
        <f t="shared" si="29"/>
        <v>0</v>
      </c>
      <c r="U53" s="72">
        <f t="shared" si="30"/>
        <v>0</v>
      </c>
      <c r="V53" s="72">
        <f t="shared" si="33"/>
        <v>0</v>
      </c>
      <c r="W53" s="72">
        <f t="shared" si="33"/>
        <v>0</v>
      </c>
      <c r="X53" s="72">
        <f t="shared" si="33"/>
        <v>0</v>
      </c>
      <c r="Z53" s="72">
        <f t="shared" si="6"/>
        <v>0</v>
      </c>
      <c r="AA53" s="72">
        <f t="shared" si="7"/>
        <v>0</v>
      </c>
      <c r="AB53" s="72">
        <f t="shared" si="8"/>
        <v>0</v>
      </c>
      <c r="AC53" s="72">
        <f t="shared" si="9"/>
        <v>0</v>
      </c>
      <c r="AD53" s="72">
        <f t="shared" si="10"/>
        <v>0</v>
      </c>
      <c r="AE53" s="72">
        <f t="shared" si="11"/>
        <v>0</v>
      </c>
      <c r="AF53" s="72">
        <f t="shared" si="12"/>
        <v>0</v>
      </c>
      <c r="AG53" s="72">
        <f t="shared" si="13"/>
        <v>0</v>
      </c>
      <c r="AH53" s="72">
        <f t="shared" si="14"/>
        <v>0</v>
      </c>
      <c r="AI53" s="72">
        <f t="shared" si="15"/>
        <v>0</v>
      </c>
      <c r="AJ53" s="72">
        <f t="shared" si="16"/>
        <v>0</v>
      </c>
      <c r="AK53" s="72">
        <f t="shared" si="17"/>
        <v>0</v>
      </c>
      <c r="AL53" s="72">
        <f t="shared" si="18"/>
        <v>0</v>
      </c>
      <c r="AM53" s="72">
        <f t="shared" si="18"/>
        <v>0</v>
      </c>
      <c r="AN53" s="72">
        <f t="shared" si="18"/>
        <v>0</v>
      </c>
    </row>
    <row r="54" spans="2:42" hidden="1">
      <c r="B54" s="60"/>
      <c r="C54" s="62"/>
      <c r="D54" s="79"/>
      <c r="E54" s="56"/>
      <c r="F54" s="76"/>
      <c r="G54" s="77"/>
      <c r="H54" s="78"/>
      <c r="I54" s="481"/>
      <c r="J54" s="72">
        <f t="shared" si="19"/>
        <v>0</v>
      </c>
      <c r="K54" s="72">
        <f t="shared" si="20"/>
        <v>0</v>
      </c>
      <c r="L54" s="72">
        <f t="shared" si="21"/>
        <v>0</v>
      </c>
      <c r="M54" s="72">
        <f t="shared" si="22"/>
        <v>0</v>
      </c>
      <c r="N54" s="72">
        <f t="shared" si="23"/>
        <v>0</v>
      </c>
      <c r="O54" s="72">
        <f t="shared" si="24"/>
        <v>0</v>
      </c>
      <c r="P54" s="72">
        <f t="shared" si="25"/>
        <v>0</v>
      </c>
      <c r="Q54" s="72">
        <f t="shared" si="26"/>
        <v>0</v>
      </c>
      <c r="R54" s="72">
        <f t="shared" si="27"/>
        <v>0</v>
      </c>
      <c r="S54" s="72">
        <f t="shared" si="28"/>
        <v>0</v>
      </c>
      <c r="T54" s="72">
        <f t="shared" si="29"/>
        <v>0</v>
      </c>
      <c r="U54" s="72">
        <f t="shared" si="30"/>
        <v>0</v>
      </c>
      <c r="V54" s="72">
        <f t="shared" si="33"/>
        <v>0</v>
      </c>
      <c r="W54" s="72">
        <f t="shared" si="33"/>
        <v>0</v>
      </c>
      <c r="X54" s="72">
        <f t="shared" si="33"/>
        <v>0</v>
      </c>
      <c r="Z54" s="72">
        <f t="shared" si="6"/>
        <v>0</v>
      </c>
      <c r="AA54" s="72">
        <f t="shared" si="7"/>
        <v>0</v>
      </c>
      <c r="AB54" s="72">
        <f t="shared" si="8"/>
        <v>0</v>
      </c>
      <c r="AC54" s="72">
        <f t="shared" si="9"/>
        <v>0</v>
      </c>
      <c r="AD54" s="72">
        <f t="shared" si="10"/>
        <v>0</v>
      </c>
      <c r="AE54" s="72">
        <f t="shared" si="11"/>
        <v>0</v>
      </c>
      <c r="AF54" s="72">
        <f t="shared" si="12"/>
        <v>0</v>
      </c>
      <c r="AG54" s="72">
        <f t="shared" si="13"/>
        <v>0</v>
      </c>
      <c r="AH54" s="72">
        <f t="shared" si="14"/>
        <v>0</v>
      </c>
      <c r="AI54" s="72">
        <f t="shared" si="15"/>
        <v>0</v>
      </c>
      <c r="AJ54" s="72">
        <f t="shared" si="16"/>
        <v>0</v>
      </c>
      <c r="AK54" s="72">
        <f t="shared" si="17"/>
        <v>0</v>
      </c>
      <c r="AL54" s="72">
        <f t="shared" si="18"/>
        <v>0</v>
      </c>
      <c r="AM54" s="72">
        <f t="shared" si="18"/>
        <v>0</v>
      </c>
      <c r="AN54" s="72">
        <f t="shared" si="18"/>
        <v>0</v>
      </c>
    </row>
    <row r="55" spans="2:42" hidden="1">
      <c r="B55" s="60"/>
      <c r="C55" s="62"/>
      <c r="D55" s="79"/>
      <c r="E55" s="56"/>
      <c r="F55" s="76"/>
      <c r="G55" s="77"/>
      <c r="H55" s="78"/>
      <c r="I55" s="481"/>
      <c r="J55" s="72">
        <f t="shared" si="19"/>
        <v>0</v>
      </c>
      <c r="K55" s="72">
        <f t="shared" si="20"/>
        <v>0</v>
      </c>
      <c r="L55" s="72">
        <f t="shared" si="21"/>
        <v>0</v>
      </c>
      <c r="M55" s="72">
        <f t="shared" si="22"/>
        <v>0</v>
      </c>
      <c r="N55" s="72">
        <f t="shared" si="23"/>
        <v>0</v>
      </c>
      <c r="O55" s="72">
        <f t="shared" si="24"/>
        <v>0</v>
      </c>
      <c r="P55" s="72">
        <f t="shared" si="25"/>
        <v>0</v>
      </c>
      <c r="Q55" s="72">
        <f t="shared" si="26"/>
        <v>0</v>
      </c>
      <c r="R55" s="72">
        <f t="shared" si="27"/>
        <v>0</v>
      </c>
      <c r="S55" s="72">
        <f t="shared" si="28"/>
        <v>0</v>
      </c>
      <c r="T55" s="72">
        <f t="shared" si="29"/>
        <v>0</v>
      </c>
      <c r="U55" s="72">
        <f t="shared" si="30"/>
        <v>0</v>
      </c>
      <c r="V55" s="72">
        <f t="shared" si="33"/>
        <v>0</v>
      </c>
      <c r="W55" s="72">
        <f t="shared" si="33"/>
        <v>0</v>
      </c>
      <c r="X55" s="72">
        <f t="shared" si="33"/>
        <v>0</v>
      </c>
      <c r="Z55" s="72">
        <f t="shared" si="6"/>
        <v>0</v>
      </c>
      <c r="AA55" s="72">
        <f t="shared" si="7"/>
        <v>0</v>
      </c>
      <c r="AB55" s="72">
        <f t="shared" si="8"/>
        <v>0</v>
      </c>
      <c r="AC55" s="72">
        <f t="shared" si="9"/>
        <v>0</v>
      </c>
      <c r="AD55" s="72">
        <f t="shared" si="10"/>
        <v>0</v>
      </c>
      <c r="AE55" s="72">
        <f t="shared" si="11"/>
        <v>0</v>
      </c>
      <c r="AF55" s="72">
        <f t="shared" si="12"/>
        <v>0</v>
      </c>
      <c r="AG55" s="72">
        <f t="shared" si="13"/>
        <v>0</v>
      </c>
      <c r="AH55" s="72">
        <f t="shared" si="14"/>
        <v>0</v>
      </c>
      <c r="AI55" s="72">
        <f t="shared" si="15"/>
        <v>0</v>
      </c>
      <c r="AJ55" s="72">
        <f t="shared" si="16"/>
        <v>0</v>
      </c>
      <c r="AK55" s="72">
        <f t="shared" si="17"/>
        <v>0</v>
      </c>
      <c r="AL55" s="72">
        <f t="shared" si="18"/>
        <v>0</v>
      </c>
      <c r="AM55" s="72">
        <f t="shared" si="18"/>
        <v>0</v>
      </c>
      <c r="AN55" s="72">
        <f t="shared" si="18"/>
        <v>0</v>
      </c>
    </row>
    <row r="56" spans="2:42" hidden="1">
      <c r="B56" s="60"/>
      <c r="C56" s="62"/>
      <c r="D56" s="79"/>
      <c r="E56" s="56"/>
      <c r="F56" s="76"/>
      <c r="G56" s="77"/>
      <c r="H56" s="78"/>
      <c r="I56" s="481"/>
      <c r="J56" s="72">
        <f t="shared" si="19"/>
        <v>0</v>
      </c>
      <c r="K56" s="72">
        <f t="shared" si="20"/>
        <v>0</v>
      </c>
      <c r="L56" s="72">
        <f t="shared" si="21"/>
        <v>0</v>
      </c>
      <c r="M56" s="72">
        <f t="shared" si="22"/>
        <v>0</v>
      </c>
      <c r="N56" s="72">
        <f t="shared" si="23"/>
        <v>0</v>
      </c>
      <c r="O56" s="72">
        <f t="shared" si="24"/>
        <v>0</v>
      </c>
      <c r="P56" s="72">
        <f t="shared" si="25"/>
        <v>0</v>
      </c>
      <c r="Q56" s="72">
        <f t="shared" si="26"/>
        <v>0</v>
      </c>
      <c r="R56" s="72">
        <f t="shared" si="27"/>
        <v>0</v>
      </c>
      <c r="S56" s="72">
        <f t="shared" si="28"/>
        <v>0</v>
      </c>
      <c r="T56" s="72">
        <f t="shared" si="29"/>
        <v>0</v>
      </c>
      <c r="U56" s="72">
        <f t="shared" si="30"/>
        <v>0</v>
      </c>
      <c r="V56" s="72">
        <f t="shared" si="33"/>
        <v>0</v>
      </c>
      <c r="W56" s="72">
        <f t="shared" si="33"/>
        <v>0</v>
      </c>
      <c r="X56" s="72">
        <f t="shared" si="33"/>
        <v>0</v>
      </c>
      <c r="Z56" s="72">
        <f t="shared" si="6"/>
        <v>0</v>
      </c>
      <c r="AA56" s="72">
        <f t="shared" si="7"/>
        <v>0</v>
      </c>
      <c r="AB56" s="72">
        <f t="shared" si="8"/>
        <v>0</v>
      </c>
      <c r="AC56" s="72">
        <f t="shared" si="9"/>
        <v>0</v>
      </c>
      <c r="AD56" s="72">
        <f t="shared" si="10"/>
        <v>0</v>
      </c>
      <c r="AE56" s="72">
        <f t="shared" si="11"/>
        <v>0</v>
      </c>
      <c r="AF56" s="72">
        <f t="shared" si="12"/>
        <v>0</v>
      </c>
      <c r="AG56" s="72">
        <f t="shared" si="13"/>
        <v>0</v>
      </c>
      <c r="AH56" s="72">
        <f t="shared" si="14"/>
        <v>0</v>
      </c>
      <c r="AI56" s="72">
        <f t="shared" si="15"/>
        <v>0</v>
      </c>
      <c r="AJ56" s="72">
        <f t="shared" si="16"/>
        <v>0</v>
      </c>
      <c r="AK56" s="72">
        <f t="shared" si="17"/>
        <v>0</v>
      </c>
      <c r="AL56" s="72">
        <f t="shared" si="18"/>
        <v>0</v>
      </c>
      <c r="AM56" s="72">
        <f t="shared" si="18"/>
        <v>0</v>
      </c>
      <c r="AN56" s="72">
        <f t="shared" si="18"/>
        <v>0</v>
      </c>
    </row>
    <row r="57" spans="2:42" hidden="1">
      <c r="B57" s="60"/>
      <c r="C57" s="62"/>
      <c r="D57" s="79"/>
      <c r="E57" s="56"/>
      <c r="F57" s="76"/>
      <c r="G57" s="77"/>
      <c r="H57" s="78"/>
      <c r="I57" s="481"/>
      <c r="J57" s="72">
        <f t="shared" si="19"/>
        <v>0</v>
      </c>
      <c r="K57" s="72">
        <f t="shared" si="20"/>
        <v>0</v>
      </c>
      <c r="L57" s="72">
        <f t="shared" si="21"/>
        <v>0</v>
      </c>
      <c r="M57" s="72">
        <f t="shared" si="22"/>
        <v>0</v>
      </c>
      <c r="N57" s="72">
        <f t="shared" si="23"/>
        <v>0</v>
      </c>
      <c r="O57" s="72">
        <f t="shared" si="24"/>
        <v>0</v>
      </c>
      <c r="P57" s="72">
        <f t="shared" si="25"/>
        <v>0</v>
      </c>
      <c r="Q57" s="72">
        <f t="shared" si="26"/>
        <v>0</v>
      </c>
      <c r="R57" s="72">
        <f t="shared" si="27"/>
        <v>0</v>
      </c>
      <c r="S57" s="72">
        <f t="shared" si="28"/>
        <v>0</v>
      </c>
      <c r="T57" s="72">
        <f t="shared" si="29"/>
        <v>0</v>
      </c>
      <c r="U57" s="72">
        <f t="shared" si="30"/>
        <v>0</v>
      </c>
      <c r="V57" s="72">
        <f t="shared" si="33"/>
        <v>0</v>
      </c>
      <c r="W57" s="72">
        <f t="shared" si="33"/>
        <v>0</v>
      </c>
      <c r="X57" s="72">
        <f t="shared" si="33"/>
        <v>0</v>
      </c>
      <c r="Z57" s="72">
        <f t="shared" si="6"/>
        <v>0</v>
      </c>
      <c r="AA57" s="72">
        <f t="shared" si="7"/>
        <v>0</v>
      </c>
      <c r="AB57" s="72">
        <f t="shared" si="8"/>
        <v>0</v>
      </c>
      <c r="AC57" s="72">
        <f t="shared" si="9"/>
        <v>0</v>
      </c>
      <c r="AD57" s="72">
        <f t="shared" si="10"/>
        <v>0</v>
      </c>
      <c r="AE57" s="72">
        <f t="shared" si="11"/>
        <v>0</v>
      </c>
      <c r="AF57" s="72">
        <f t="shared" si="12"/>
        <v>0</v>
      </c>
      <c r="AG57" s="72">
        <f t="shared" si="13"/>
        <v>0</v>
      </c>
      <c r="AH57" s="72">
        <f t="shared" si="14"/>
        <v>0</v>
      </c>
      <c r="AI57" s="72">
        <f t="shared" si="15"/>
        <v>0</v>
      </c>
      <c r="AJ57" s="72">
        <f t="shared" si="16"/>
        <v>0</v>
      </c>
      <c r="AK57" s="72">
        <f t="shared" si="17"/>
        <v>0</v>
      </c>
      <c r="AL57" s="72">
        <f t="shared" si="18"/>
        <v>0</v>
      </c>
      <c r="AM57" s="72">
        <f t="shared" si="18"/>
        <v>0</v>
      </c>
      <c r="AN57" s="72">
        <f t="shared" si="18"/>
        <v>0</v>
      </c>
    </row>
    <row r="58" spans="2:42" hidden="1">
      <c r="B58" s="60"/>
      <c r="C58" s="62"/>
      <c r="D58" s="79"/>
      <c r="E58" s="56"/>
      <c r="F58" s="76"/>
      <c r="G58" s="77"/>
      <c r="H58" s="78"/>
      <c r="I58" s="481"/>
      <c r="J58" s="72">
        <f t="shared" si="19"/>
        <v>0</v>
      </c>
      <c r="K58" s="72">
        <f t="shared" si="20"/>
        <v>0</v>
      </c>
      <c r="L58" s="72">
        <f t="shared" si="21"/>
        <v>0</v>
      </c>
      <c r="M58" s="72">
        <f t="shared" si="22"/>
        <v>0</v>
      </c>
      <c r="N58" s="72">
        <f t="shared" si="23"/>
        <v>0</v>
      </c>
      <c r="O58" s="72">
        <f t="shared" si="24"/>
        <v>0</v>
      </c>
      <c r="P58" s="72">
        <f t="shared" si="25"/>
        <v>0</v>
      </c>
      <c r="Q58" s="72">
        <f t="shared" si="26"/>
        <v>0</v>
      </c>
      <c r="R58" s="72">
        <f t="shared" si="27"/>
        <v>0</v>
      </c>
      <c r="S58" s="72">
        <f t="shared" si="28"/>
        <v>0</v>
      </c>
      <c r="T58" s="72">
        <f t="shared" si="29"/>
        <v>0</v>
      </c>
      <c r="U58" s="72">
        <f t="shared" si="30"/>
        <v>0</v>
      </c>
      <c r="V58" s="72">
        <f t="shared" si="33"/>
        <v>0</v>
      </c>
      <c r="W58" s="72">
        <f t="shared" si="33"/>
        <v>0</v>
      </c>
      <c r="X58" s="72">
        <f t="shared" si="33"/>
        <v>0</v>
      </c>
      <c r="Z58" s="72">
        <f t="shared" si="6"/>
        <v>0</v>
      </c>
      <c r="AA58" s="72">
        <f t="shared" si="7"/>
        <v>0</v>
      </c>
      <c r="AB58" s="72">
        <f t="shared" si="8"/>
        <v>0</v>
      </c>
      <c r="AC58" s="72">
        <f t="shared" si="9"/>
        <v>0</v>
      </c>
      <c r="AD58" s="72">
        <f t="shared" si="10"/>
        <v>0</v>
      </c>
      <c r="AE58" s="72">
        <f t="shared" si="11"/>
        <v>0</v>
      </c>
      <c r="AF58" s="72">
        <f t="shared" si="12"/>
        <v>0</v>
      </c>
      <c r="AG58" s="72">
        <f t="shared" si="13"/>
        <v>0</v>
      </c>
      <c r="AH58" s="72">
        <f t="shared" si="14"/>
        <v>0</v>
      </c>
      <c r="AI58" s="72">
        <f t="shared" si="15"/>
        <v>0</v>
      </c>
      <c r="AJ58" s="72">
        <f t="shared" si="16"/>
        <v>0</v>
      </c>
      <c r="AK58" s="72">
        <f t="shared" si="17"/>
        <v>0</v>
      </c>
      <c r="AL58" s="72">
        <f t="shared" si="18"/>
        <v>0</v>
      </c>
      <c r="AM58" s="72">
        <f t="shared" si="18"/>
        <v>0</v>
      </c>
      <c r="AN58" s="72">
        <f t="shared" si="18"/>
        <v>0</v>
      </c>
    </row>
    <row r="59" spans="2:42" hidden="1">
      <c r="B59" s="60"/>
      <c r="C59" s="62"/>
      <c r="D59" s="79"/>
      <c r="E59" s="56"/>
      <c r="F59" s="76"/>
      <c r="G59" s="77"/>
      <c r="H59" s="78"/>
      <c r="I59" s="481"/>
      <c r="J59" s="72">
        <f t="shared" si="19"/>
        <v>0</v>
      </c>
      <c r="K59" s="72">
        <f t="shared" si="20"/>
        <v>0</v>
      </c>
      <c r="L59" s="72">
        <f t="shared" si="21"/>
        <v>0</v>
      </c>
      <c r="M59" s="72">
        <f t="shared" si="22"/>
        <v>0</v>
      </c>
      <c r="N59" s="72">
        <f t="shared" si="23"/>
        <v>0</v>
      </c>
      <c r="O59" s="72">
        <f t="shared" si="24"/>
        <v>0</v>
      </c>
      <c r="P59" s="72">
        <f t="shared" si="25"/>
        <v>0</v>
      </c>
      <c r="Q59" s="72">
        <f t="shared" si="26"/>
        <v>0</v>
      </c>
      <c r="R59" s="72">
        <f t="shared" si="27"/>
        <v>0</v>
      </c>
      <c r="S59" s="72">
        <f t="shared" si="28"/>
        <v>0</v>
      </c>
      <c r="T59" s="72">
        <f t="shared" si="29"/>
        <v>0</v>
      </c>
      <c r="U59" s="72">
        <f t="shared" si="30"/>
        <v>0</v>
      </c>
      <c r="V59" s="72">
        <f t="shared" si="33"/>
        <v>0</v>
      </c>
      <c r="W59" s="72">
        <f t="shared" si="33"/>
        <v>0</v>
      </c>
      <c r="X59" s="72">
        <f t="shared" si="33"/>
        <v>0</v>
      </c>
      <c r="Z59" s="72">
        <f t="shared" si="6"/>
        <v>0</v>
      </c>
      <c r="AA59" s="72">
        <f t="shared" si="7"/>
        <v>0</v>
      </c>
      <c r="AB59" s="72">
        <f t="shared" si="8"/>
        <v>0</v>
      </c>
      <c r="AC59" s="72">
        <f t="shared" si="9"/>
        <v>0</v>
      </c>
      <c r="AD59" s="72">
        <f t="shared" si="10"/>
        <v>0</v>
      </c>
      <c r="AE59" s="72">
        <f t="shared" si="11"/>
        <v>0</v>
      </c>
      <c r="AF59" s="72">
        <f t="shared" si="12"/>
        <v>0</v>
      </c>
      <c r="AG59" s="72">
        <f t="shared" si="13"/>
        <v>0</v>
      </c>
      <c r="AH59" s="72">
        <f t="shared" si="14"/>
        <v>0</v>
      </c>
      <c r="AI59" s="72">
        <f t="shared" si="15"/>
        <v>0</v>
      </c>
      <c r="AJ59" s="72">
        <f t="shared" si="16"/>
        <v>0</v>
      </c>
      <c r="AK59" s="72">
        <f t="shared" si="17"/>
        <v>0</v>
      </c>
      <c r="AL59" s="72">
        <f t="shared" si="18"/>
        <v>0</v>
      </c>
      <c r="AM59" s="72">
        <f t="shared" si="18"/>
        <v>0</v>
      </c>
      <c r="AN59" s="72">
        <f t="shared" si="18"/>
        <v>0</v>
      </c>
    </row>
    <row r="60" spans="2:42" hidden="1">
      <c r="B60" s="60"/>
      <c r="C60" s="62"/>
      <c r="D60" s="79"/>
      <c r="E60" s="56"/>
      <c r="F60" s="76"/>
      <c r="G60" s="77"/>
      <c r="H60" s="78"/>
      <c r="I60" s="481"/>
      <c r="J60" s="72">
        <f t="shared" si="19"/>
        <v>0</v>
      </c>
      <c r="K60" s="72">
        <f t="shared" si="20"/>
        <v>0</v>
      </c>
      <c r="L60" s="72">
        <f t="shared" si="21"/>
        <v>0</v>
      </c>
      <c r="M60" s="72">
        <f t="shared" si="22"/>
        <v>0</v>
      </c>
      <c r="N60" s="72">
        <f t="shared" si="23"/>
        <v>0</v>
      </c>
      <c r="O60" s="72">
        <f t="shared" si="24"/>
        <v>0</v>
      </c>
      <c r="P60" s="72">
        <f t="shared" si="25"/>
        <v>0</v>
      </c>
      <c r="Q60" s="72">
        <f t="shared" si="26"/>
        <v>0</v>
      </c>
      <c r="R60" s="72">
        <f t="shared" si="27"/>
        <v>0</v>
      </c>
      <c r="S60" s="72">
        <f t="shared" si="28"/>
        <v>0</v>
      </c>
      <c r="T60" s="72">
        <f t="shared" si="29"/>
        <v>0</v>
      </c>
      <c r="U60" s="72">
        <f t="shared" si="30"/>
        <v>0</v>
      </c>
      <c r="V60" s="72">
        <f t="shared" si="33"/>
        <v>0</v>
      </c>
      <c r="W60" s="72">
        <f t="shared" si="33"/>
        <v>0</v>
      </c>
      <c r="X60" s="72">
        <f t="shared" si="33"/>
        <v>0</v>
      </c>
      <c r="Z60" s="72">
        <f t="shared" si="6"/>
        <v>0</v>
      </c>
      <c r="AA60" s="72">
        <f t="shared" si="7"/>
        <v>0</v>
      </c>
      <c r="AB60" s="72">
        <f t="shared" si="8"/>
        <v>0</v>
      </c>
      <c r="AC60" s="72">
        <f t="shared" si="9"/>
        <v>0</v>
      </c>
      <c r="AD60" s="72">
        <f t="shared" si="10"/>
        <v>0</v>
      </c>
      <c r="AE60" s="72">
        <f t="shared" si="11"/>
        <v>0</v>
      </c>
      <c r="AF60" s="72">
        <f t="shared" si="12"/>
        <v>0</v>
      </c>
      <c r="AG60" s="72">
        <f t="shared" si="13"/>
        <v>0</v>
      </c>
      <c r="AH60" s="72">
        <f t="shared" si="14"/>
        <v>0</v>
      </c>
      <c r="AI60" s="72">
        <f t="shared" si="15"/>
        <v>0</v>
      </c>
      <c r="AJ60" s="72">
        <f t="shared" si="16"/>
        <v>0</v>
      </c>
      <c r="AK60" s="72">
        <f t="shared" si="17"/>
        <v>0</v>
      </c>
      <c r="AL60" s="72">
        <f t="shared" si="18"/>
        <v>0</v>
      </c>
      <c r="AM60" s="72">
        <f t="shared" si="18"/>
        <v>0</v>
      </c>
      <c r="AN60" s="72">
        <f t="shared" si="18"/>
        <v>0</v>
      </c>
    </row>
    <row r="61" spans="2:42" hidden="1">
      <c r="B61" s="60"/>
      <c r="C61" s="62"/>
      <c r="D61" s="79"/>
      <c r="E61" s="56"/>
      <c r="F61" s="76"/>
      <c r="G61" s="77"/>
      <c r="H61" s="78"/>
      <c r="I61" s="481"/>
      <c r="J61" s="72">
        <f t="shared" si="19"/>
        <v>0</v>
      </c>
      <c r="K61" s="72">
        <f t="shared" si="20"/>
        <v>0</v>
      </c>
      <c r="L61" s="72">
        <f t="shared" si="21"/>
        <v>0</v>
      </c>
      <c r="M61" s="72">
        <f t="shared" si="22"/>
        <v>0</v>
      </c>
      <c r="N61" s="72">
        <f t="shared" si="23"/>
        <v>0</v>
      </c>
      <c r="O61" s="72">
        <f t="shared" si="24"/>
        <v>0</v>
      </c>
      <c r="P61" s="72">
        <f t="shared" si="25"/>
        <v>0</v>
      </c>
      <c r="Q61" s="72">
        <f t="shared" si="26"/>
        <v>0</v>
      </c>
      <c r="R61" s="72">
        <f t="shared" si="27"/>
        <v>0</v>
      </c>
      <c r="S61" s="72">
        <f t="shared" si="28"/>
        <v>0</v>
      </c>
      <c r="T61" s="72">
        <f t="shared" si="29"/>
        <v>0</v>
      </c>
      <c r="U61" s="72">
        <f t="shared" si="30"/>
        <v>0</v>
      </c>
      <c r="V61" s="72">
        <f t="shared" si="33"/>
        <v>0</v>
      </c>
      <c r="W61" s="72">
        <f t="shared" si="33"/>
        <v>0</v>
      </c>
      <c r="X61" s="72">
        <f t="shared" si="33"/>
        <v>0</v>
      </c>
      <c r="Z61" s="72">
        <f t="shared" si="6"/>
        <v>0</v>
      </c>
      <c r="AA61" s="72">
        <f t="shared" si="7"/>
        <v>0</v>
      </c>
      <c r="AB61" s="72">
        <f t="shared" si="8"/>
        <v>0</v>
      </c>
      <c r="AC61" s="72">
        <f t="shared" si="9"/>
        <v>0</v>
      </c>
      <c r="AD61" s="72">
        <f t="shared" si="10"/>
        <v>0</v>
      </c>
      <c r="AE61" s="72">
        <f t="shared" si="11"/>
        <v>0</v>
      </c>
      <c r="AF61" s="72">
        <f t="shared" si="12"/>
        <v>0</v>
      </c>
      <c r="AG61" s="72">
        <f t="shared" si="13"/>
        <v>0</v>
      </c>
      <c r="AH61" s="72">
        <f t="shared" si="14"/>
        <v>0</v>
      </c>
      <c r="AI61" s="72">
        <f t="shared" si="15"/>
        <v>0</v>
      </c>
      <c r="AJ61" s="72">
        <f t="shared" si="16"/>
        <v>0</v>
      </c>
      <c r="AK61" s="72">
        <f t="shared" si="17"/>
        <v>0</v>
      </c>
      <c r="AL61" s="72">
        <f t="shared" si="18"/>
        <v>0</v>
      </c>
      <c r="AM61" s="72">
        <f t="shared" si="18"/>
        <v>0</v>
      </c>
      <c r="AN61" s="72">
        <f t="shared" si="18"/>
        <v>0</v>
      </c>
    </row>
    <row r="62" spans="2:42" ht="17.25" hidden="1" thickBot="1">
      <c r="B62" s="100"/>
      <c r="C62" s="84"/>
      <c r="D62" s="159"/>
      <c r="E62" s="86"/>
      <c r="F62" s="163"/>
      <c r="G62" s="161"/>
      <c r="H62" s="162"/>
      <c r="I62" s="481"/>
      <c r="J62" s="72">
        <f t="shared" si="19"/>
        <v>0</v>
      </c>
      <c r="K62" s="72">
        <f t="shared" si="20"/>
        <v>0</v>
      </c>
      <c r="L62" s="72">
        <f t="shared" si="21"/>
        <v>0</v>
      </c>
      <c r="M62" s="72">
        <f t="shared" si="22"/>
        <v>0</v>
      </c>
      <c r="N62" s="72">
        <f t="shared" si="23"/>
        <v>0</v>
      </c>
      <c r="O62" s="72">
        <f t="shared" si="24"/>
        <v>0</v>
      </c>
      <c r="P62" s="72">
        <f t="shared" si="25"/>
        <v>0</v>
      </c>
      <c r="Q62" s="72">
        <f t="shared" si="26"/>
        <v>0</v>
      </c>
      <c r="R62" s="72">
        <f t="shared" si="27"/>
        <v>0</v>
      </c>
      <c r="S62" s="72">
        <f t="shared" si="28"/>
        <v>0</v>
      </c>
      <c r="T62" s="72">
        <f t="shared" si="29"/>
        <v>0</v>
      </c>
      <c r="U62" s="72">
        <f t="shared" si="30"/>
        <v>0</v>
      </c>
      <c r="V62" s="72">
        <f t="shared" si="33"/>
        <v>0</v>
      </c>
      <c r="W62" s="72">
        <f t="shared" si="33"/>
        <v>0</v>
      </c>
      <c r="X62" s="72">
        <f t="shared" si="33"/>
        <v>0</v>
      </c>
      <c r="Z62" s="72">
        <f t="shared" si="6"/>
        <v>0</v>
      </c>
      <c r="AA62" s="72">
        <f t="shared" si="7"/>
        <v>0</v>
      </c>
      <c r="AB62" s="72">
        <f t="shared" si="8"/>
        <v>0</v>
      </c>
      <c r="AC62" s="72">
        <f t="shared" si="9"/>
        <v>0</v>
      </c>
      <c r="AD62" s="72">
        <f t="shared" si="10"/>
        <v>0</v>
      </c>
      <c r="AE62" s="72">
        <f t="shared" si="11"/>
        <v>0</v>
      </c>
      <c r="AF62" s="72">
        <f t="shared" si="12"/>
        <v>0</v>
      </c>
      <c r="AG62" s="72">
        <f t="shared" si="13"/>
        <v>0</v>
      </c>
      <c r="AH62" s="72">
        <f t="shared" si="14"/>
        <v>0</v>
      </c>
      <c r="AI62" s="72">
        <f t="shared" si="15"/>
        <v>0</v>
      </c>
      <c r="AJ62" s="72">
        <f t="shared" si="16"/>
        <v>0</v>
      </c>
      <c r="AK62" s="72">
        <f t="shared" si="17"/>
        <v>0</v>
      </c>
      <c r="AL62" s="72">
        <f t="shared" si="18"/>
        <v>0</v>
      </c>
      <c r="AM62" s="72">
        <f t="shared" si="18"/>
        <v>0</v>
      </c>
      <c r="AN62" s="72">
        <f t="shared" si="18"/>
        <v>0</v>
      </c>
    </row>
    <row r="63" spans="2:42" ht="17.25" thickBot="1">
      <c r="C63" s="853" t="s">
        <v>45</v>
      </c>
      <c r="D63" s="854"/>
      <c r="E63" s="63">
        <f>SUM(E3:E62)</f>
        <v>1725.0400000000002</v>
      </c>
      <c r="F63" s="69"/>
      <c r="G63" s="64">
        <f>SUM(G3:G62)</f>
        <v>560.95833333333326</v>
      </c>
      <c r="H63" s="65">
        <f>SUM(H3:H62)</f>
        <v>1164.0816666666667</v>
      </c>
      <c r="I63" s="483"/>
      <c r="J63" s="73">
        <f>SUM(J3:J62)</f>
        <v>111</v>
      </c>
      <c r="K63" s="73">
        <f t="shared" ref="K63:X63" si="34">SUM(K3:K62)</f>
        <v>62.5</v>
      </c>
      <c r="L63" s="73">
        <f t="shared" si="34"/>
        <v>248.99</v>
      </c>
      <c r="M63" s="73">
        <f t="shared" si="34"/>
        <v>80</v>
      </c>
      <c r="N63" s="73">
        <f t="shared" si="34"/>
        <v>237.01666666666665</v>
      </c>
      <c r="O63" s="73">
        <f t="shared" si="34"/>
        <v>0</v>
      </c>
      <c r="P63" s="73">
        <f t="shared" si="34"/>
        <v>0</v>
      </c>
      <c r="Q63" s="73">
        <f t="shared" si="34"/>
        <v>0</v>
      </c>
      <c r="R63" s="73">
        <f t="shared" si="34"/>
        <v>337.11499999999995</v>
      </c>
      <c r="S63" s="73">
        <f t="shared" si="34"/>
        <v>0</v>
      </c>
      <c r="T63" s="73">
        <f t="shared" si="34"/>
        <v>54.59</v>
      </c>
      <c r="U63" s="73">
        <f t="shared" si="34"/>
        <v>0</v>
      </c>
      <c r="V63" s="73">
        <f t="shared" si="34"/>
        <v>32.869999999999997</v>
      </c>
      <c r="W63" s="73">
        <f t="shared" si="34"/>
        <v>0</v>
      </c>
      <c r="X63" s="73">
        <f t="shared" si="34"/>
        <v>0</v>
      </c>
      <c r="Y63" s="73"/>
      <c r="Z63" s="73">
        <f>SUM(Z3:Z62)</f>
        <v>0</v>
      </c>
      <c r="AA63" s="73">
        <f t="shared" ref="AA63:AN63" si="35">SUM(AA3:AA62)</f>
        <v>62.5</v>
      </c>
      <c r="AB63" s="73">
        <f t="shared" si="35"/>
        <v>0</v>
      </c>
      <c r="AC63" s="73">
        <f t="shared" si="35"/>
        <v>0</v>
      </c>
      <c r="AD63" s="73">
        <f t="shared" si="35"/>
        <v>490.59333333333331</v>
      </c>
      <c r="AE63" s="73">
        <f t="shared" si="35"/>
        <v>0</v>
      </c>
      <c r="AF63" s="73">
        <f t="shared" si="35"/>
        <v>0</v>
      </c>
      <c r="AG63" s="73">
        <f t="shared" si="35"/>
        <v>0</v>
      </c>
      <c r="AH63" s="73">
        <f t="shared" si="35"/>
        <v>7.8650000000000002</v>
      </c>
      <c r="AI63" s="73">
        <f t="shared" si="35"/>
        <v>0</v>
      </c>
      <c r="AJ63" s="73">
        <f t="shared" si="35"/>
        <v>0</v>
      </c>
      <c r="AK63" s="73">
        <f t="shared" si="35"/>
        <v>0</v>
      </c>
      <c r="AL63" s="73">
        <f t="shared" si="35"/>
        <v>0</v>
      </c>
      <c r="AM63" s="73">
        <f t="shared" si="35"/>
        <v>0</v>
      </c>
      <c r="AN63" s="73">
        <f t="shared" si="35"/>
        <v>0</v>
      </c>
      <c r="AO63" s="73"/>
      <c r="AP63" s="73"/>
    </row>
    <row r="64" spans="2:42">
      <c r="H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Z64" s="59"/>
      <c r="AA64" s="59"/>
      <c r="AB64" s="59"/>
      <c r="AC64" s="59"/>
      <c r="AD64" s="59"/>
      <c r="AE64" s="59"/>
      <c r="AF64" s="59"/>
      <c r="AG64" s="59"/>
      <c r="AH64" s="59"/>
      <c r="AI64" s="59"/>
    </row>
    <row r="70" spans="5:6">
      <c r="E70" s="59"/>
      <c r="F70" s="70"/>
    </row>
  </sheetData>
  <mergeCells count="7">
    <mergeCell ref="AR18:AT18"/>
    <mergeCell ref="C63:D63"/>
    <mergeCell ref="AV23:AW23"/>
    <mergeCell ref="AY23:AZ23"/>
    <mergeCell ref="AS25:AT25"/>
    <mergeCell ref="AS27:AT28"/>
    <mergeCell ref="B23:H34"/>
  </mergeCells>
  <dataValidations disablePrompts="1" count="4">
    <dataValidation type="list" allowBlank="1" showInputMessage="1" showErrorMessage="1" sqref="F3:F22 F35:F62">
      <formula1>$AQ$17:$AQ$19</formula1>
    </dataValidation>
    <dataValidation type="list" allowBlank="1" showInputMessage="1" showErrorMessage="1" sqref="D13:D14 D18:D22 D35:D62">
      <formula1>$AQ$2:$AQ$16</formula1>
    </dataValidation>
    <dataValidation type="list" allowBlank="1" showInputMessage="1" showErrorMessage="1" sqref="D3:D5">
      <formula1>$AH$2:$AH$12</formula1>
    </dataValidation>
    <dataValidation type="list" allowBlank="1" showInputMessage="1" showErrorMessage="1" sqref="D6:D12 D15:D17">
      <formula1>$AQ$2:$AQ$12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ignoredErrors>
    <ignoredError sqref="G21" formula="1"/>
  </ignoredErrors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dimension ref="B1:AZ70"/>
  <sheetViews>
    <sheetView workbookViewId="0">
      <selection activeCell="B28" sqref="B28:H39"/>
    </sheetView>
  </sheetViews>
  <sheetFormatPr defaultRowHeight="16.5"/>
  <cols>
    <col min="1" max="1" width="1" style="55" customWidth="1"/>
    <col min="2" max="2" width="6.5703125" style="134" bestFit="1" customWidth="1"/>
    <col min="3" max="3" width="16.7109375" style="55" customWidth="1"/>
    <col min="4" max="4" width="17.5703125" style="55" customWidth="1"/>
    <col min="5" max="5" width="13.7109375" style="55" customWidth="1"/>
    <col min="6" max="6" width="13.7109375" style="134" customWidth="1"/>
    <col min="7" max="8" width="13.7109375" style="55" customWidth="1"/>
    <col min="9" max="9" width="8.42578125" style="479" customWidth="1"/>
    <col min="10" max="10" width="13.5703125" style="55" hidden="1" customWidth="1"/>
    <col min="11" max="11" width="7.85546875" style="55" hidden="1" customWidth="1"/>
    <col min="12" max="12" width="7.42578125" style="55" hidden="1" customWidth="1"/>
    <col min="13" max="13" width="9.7109375" style="55" hidden="1" customWidth="1"/>
    <col min="14" max="14" width="7.42578125" style="55" hidden="1" customWidth="1"/>
    <col min="15" max="15" width="14.5703125" style="55" hidden="1" customWidth="1"/>
    <col min="16" max="16" width="16.85546875" style="55" hidden="1" customWidth="1"/>
    <col min="17" max="17" width="7.7109375" style="55" hidden="1" customWidth="1"/>
    <col min="18" max="18" width="8.85546875" style="55" hidden="1" customWidth="1"/>
    <col min="19" max="19" width="8" style="55" hidden="1" customWidth="1"/>
    <col min="20" max="20" width="7.42578125" style="55" hidden="1" customWidth="1"/>
    <col min="21" max="21" width="2" style="55" hidden="1" customWidth="1"/>
    <col min="22" max="22" width="9.7109375" style="55" hidden="1" customWidth="1"/>
    <col min="23" max="24" width="7.42578125" style="55" hidden="1" customWidth="1"/>
    <col min="25" max="25" width="1.7109375" style="55" hidden="1" customWidth="1"/>
    <col min="26" max="26" width="13.5703125" style="55" hidden="1" customWidth="1"/>
    <col min="27" max="27" width="7.85546875" style="55" hidden="1" customWidth="1"/>
    <col min="28" max="28" width="7.42578125" style="55" hidden="1" customWidth="1"/>
    <col min="29" max="29" width="9.7109375" style="55" hidden="1" customWidth="1"/>
    <col min="30" max="30" width="7.42578125" style="55" hidden="1" customWidth="1"/>
    <col min="31" max="31" width="14.5703125" style="55" hidden="1" customWidth="1"/>
    <col min="32" max="32" width="16.85546875" style="55" hidden="1" customWidth="1"/>
    <col min="33" max="33" width="7.7109375" style="55" hidden="1" customWidth="1"/>
    <col min="34" max="34" width="8.85546875" style="55" hidden="1" customWidth="1"/>
    <col min="35" max="35" width="8" style="55" hidden="1" customWidth="1"/>
    <col min="36" max="36" width="7.42578125" style="55" hidden="1" customWidth="1"/>
    <col min="37" max="37" width="13.42578125" style="55" hidden="1" customWidth="1"/>
    <col min="38" max="38" width="10.28515625" style="450" hidden="1" customWidth="1"/>
    <col min="39" max="40" width="7.42578125" style="55" hidden="1" customWidth="1"/>
    <col min="41" max="41" width="4" style="55" hidden="1" customWidth="1"/>
    <col min="42" max="42" width="4.42578125" style="55" customWidth="1"/>
    <col min="43" max="43" width="16.85546875" style="55" bestFit="1" customWidth="1"/>
    <col min="44" max="47" width="12.7109375" style="55" customWidth="1"/>
    <col min="48" max="48" width="8.28515625" style="55" bestFit="1" customWidth="1"/>
    <col min="49" max="49" width="10.5703125" style="55" bestFit="1" customWidth="1"/>
    <col min="50" max="50" width="3.28515625" style="55" customWidth="1"/>
    <col min="51" max="51" width="18.42578125" style="55" bestFit="1" customWidth="1"/>
    <col min="52" max="52" width="11.7109375" style="55" bestFit="1" customWidth="1"/>
    <col min="53" max="16384" width="9.140625" style="55"/>
  </cols>
  <sheetData>
    <row r="1" spans="2:51" ht="17.25" thickBot="1">
      <c r="AR1" s="134" t="s">
        <v>66</v>
      </c>
      <c r="AS1" s="134" t="s">
        <v>67</v>
      </c>
      <c r="AT1" s="81" t="s">
        <v>65</v>
      </c>
      <c r="AV1" s="134"/>
    </row>
    <row r="2" spans="2:51" ht="17.25" thickBot="1">
      <c r="B2" s="68" t="s">
        <v>1</v>
      </c>
      <c r="C2" s="66" t="s">
        <v>0</v>
      </c>
      <c r="D2" s="66" t="s">
        <v>63</v>
      </c>
      <c r="E2" s="66" t="s">
        <v>2</v>
      </c>
      <c r="F2" s="66" t="s">
        <v>64</v>
      </c>
      <c r="G2" s="66" t="s">
        <v>3</v>
      </c>
      <c r="H2" s="67" t="s">
        <v>4</v>
      </c>
      <c r="I2" s="480"/>
      <c r="J2" s="75" t="s">
        <v>57</v>
      </c>
      <c r="K2" s="74" t="s">
        <v>51</v>
      </c>
      <c r="L2" s="74" t="s">
        <v>120</v>
      </c>
      <c r="M2" s="74" t="s">
        <v>36</v>
      </c>
      <c r="N2" s="74" t="s">
        <v>56</v>
      </c>
      <c r="O2" s="74" t="s">
        <v>125</v>
      </c>
      <c r="P2" s="74" t="s">
        <v>54</v>
      </c>
      <c r="Q2" s="74" t="s">
        <v>59</v>
      </c>
      <c r="R2" s="74" t="s">
        <v>40</v>
      </c>
      <c r="S2" s="74" t="s">
        <v>55</v>
      </c>
      <c r="T2" s="74" t="s">
        <v>58</v>
      </c>
      <c r="U2" s="74" t="s">
        <v>52</v>
      </c>
      <c r="V2" s="451" t="str">
        <f>AQ14</f>
        <v>ESTUDOS</v>
      </c>
      <c r="W2" s="74" t="str">
        <f>AQ15</f>
        <v>MALU</v>
      </c>
      <c r="X2" s="74">
        <f>AQ16</f>
        <v>0</v>
      </c>
      <c r="Z2" s="75" t="s">
        <v>57</v>
      </c>
      <c r="AA2" s="74" t="s">
        <v>51</v>
      </c>
      <c r="AB2" s="74" t="s">
        <v>120</v>
      </c>
      <c r="AC2" s="74" t="s">
        <v>36</v>
      </c>
      <c r="AD2" s="74" t="s">
        <v>56</v>
      </c>
      <c r="AE2" s="74" t="s">
        <v>125</v>
      </c>
      <c r="AF2" s="74" t="s">
        <v>54</v>
      </c>
      <c r="AG2" s="74" t="s">
        <v>59</v>
      </c>
      <c r="AH2" s="74" t="s">
        <v>40</v>
      </c>
      <c r="AI2" s="74" t="s">
        <v>55</v>
      </c>
      <c r="AJ2" s="74" t="s">
        <v>58</v>
      </c>
      <c r="AK2" s="74" t="s">
        <v>52</v>
      </c>
      <c r="AL2" s="451" t="str">
        <f>AQ14</f>
        <v>ESTUDOS</v>
      </c>
      <c r="AM2" s="74" t="str">
        <f>AQ15</f>
        <v>MALU</v>
      </c>
      <c r="AN2" s="74">
        <f>AQ16</f>
        <v>0</v>
      </c>
      <c r="AO2" s="74"/>
      <c r="AP2" s="74"/>
      <c r="AQ2" s="71" t="s">
        <v>57</v>
      </c>
      <c r="AR2" s="97">
        <f t="shared" ref="AR2:AR16" si="0">AT2+AS2</f>
        <v>65.92</v>
      </c>
      <c r="AS2" s="58">
        <f>Z63</f>
        <v>0</v>
      </c>
      <c r="AT2" s="58">
        <f>J63</f>
        <v>65.92</v>
      </c>
    </row>
    <row r="3" spans="2:51">
      <c r="B3" s="60">
        <v>44834</v>
      </c>
      <c r="C3" s="62" t="s">
        <v>83</v>
      </c>
      <c r="D3" s="79" t="s">
        <v>40</v>
      </c>
      <c r="E3" s="56">
        <v>37.979999999999997</v>
      </c>
      <c r="F3" s="76" t="s">
        <v>65</v>
      </c>
      <c r="G3" s="157">
        <f>IF(F3="MARCIA",E3,IF(F3="AMBOS",E3/2,0))</f>
        <v>0</v>
      </c>
      <c r="H3" s="158">
        <f>IF(F3="LUCIANO",E3,IF(F3="AMBOS",E3/2,0))</f>
        <v>37.979999999999997</v>
      </c>
      <c r="I3" s="481" t="s">
        <v>136</v>
      </c>
      <c r="J3" s="72">
        <f>IF($D3="ALIMENTAÇÃO",$H3,0)</f>
        <v>0</v>
      </c>
      <c r="K3" s="72">
        <f>IF($D3="ANIMAIS",$H3,0)</f>
        <v>0</v>
      </c>
      <c r="L3" s="72">
        <f>IF($D3="FILHO",$H3,0)</f>
        <v>0</v>
      </c>
      <c r="M3" s="72">
        <f>IF($D3="GASOLINA",$H3,0)</f>
        <v>0</v>
      </c>
      <c r="N3" s="72">
        <f>IF($D3="LAZER",$H3,0)</f>
        <v>0</v>
      </c>
      <c r="O3" s="72">
        <f>IF($D3="MANUT. IMÓVEL",$H3,0)</f>
        <v>0</v>
      </c>
      <c r="P3" s="72">
        <f>IF($D3="MANUT. VEICULAR",$H3,0)</f>
        <v>0</v>
      </c>
      <c r="Q3" s="72">
        <f>IF($D3="MÓVEIS",$H3,0)</f>
        <v>0</v>
      </c>
      <c r="R3" s="72">
        <f>IF($D3="OUTROS",$H3,0)</f>
        <v>37.979999999999997</v>
      </c>
      <c r="S3" s="72">
        <f>IF($D3="PLANOS",$H3,0)</f>
        <v>0</v>
      </c>
      <c r="T3" s="72">
        <f>IF($D3="SAÚDE",$H3,0)</f>
        <v>0</v>
      </c>
      <c r="U3" s="72">
        <f>IF($D3="TRANSPORTE",$H3,0)</f>
        <v>0</v>
      </c>
      <c r="V3" s="72">
        <f>IF($D3=V$2,$H3,0)</f>
        <v>0</v>
      </c>
      <c r="W3" s="72">
        <f t="shared" ref="W3:X18" si="1">IF($D3=W$2,$H3,0)</f>
        <v>0</v>
      </c>
      <c r="X3" s="72">
        <f t="shared" si="1"/>
        <v>0</v>
      </c>
      <c r="Z3" s="72">
        <f>IF($D3="ALIMENTAÇÃO",$G3,0)</f>
        <v>0</v>
      </c>
      <c r="AA3" s="72">
        <f>IF($D3="ANIMAIS",$G3,0)</f>
        <v>0</v>
      </c>
      <c r="AB3" s="72">
        <f>IF($D3="FILHO",$G3,0)</f>
        <v>0</v>
      </c>
      <c r="AC3" s="72">
        <f>IF($D3="GASOLINA",$G3,0)</f>
        <v>0</v>
      </c>
      <c r="AD3" s="72">
        <f>IF($D3="LAZER",$G3,0)</f>
        <v>0</v>
      </c>
      <c r="AE3" s="72">
        <f>IF($D3="MANUT. IMÓVEL",$G3,0)</f>
        <v>0</v>
      </c>
      <c r="AF3" s="72">
        <f>IF($D3="MANUT. VEICULAR",$G3,0)</f>
        <v>0</v>
      </c>
      <c r="AG3" s="72">
        <f>IF($D3="MÓVEIS",$G3,0)</f>
        <v>0</v>
      </c>
      <c r="AH3" s="72">
        <f>IF($D3="OUTROS",$G3,0)</f>
        <v>0</v>
      </c>
      <c r="AI3" s="72">
        <f>IF($D3="PLANOS",$G3,0)</f>
        <v>0</v>
      </c>
      <c r="AJ3" s="72">
        <f>IF($D3="SAÚDE",$G3,0)</f>
        <v>0</v>
      </c>
      <c r="AK3" s="72">
        <f>IF($D3="TRANSPORTE",$G3,0)</f>
        <v>0</v>
      </c>
      <c r="AL3" s="72">
        <f>IF($D3=AL$2,$G3,0)</f>
        <v>0</v>
      </c>
      <c r="AM3" s="72">
        <f t="shared" ref="AM3:AN18" si="2">IF($D3=AM$2,$G3,0)</f>
        <v>0</v>
      </c>
      <c r="AN3" s="72">
        <f t="shared" si="2"/>
        <v>0</v>
      </c>
      <c r="AQ3" s="71" t="s">
        <v>51</v>
      </c>
      <c r="AR3" s="97">
        <f t="shared" si="0"/>
        <v>184.5</v>
      </c>
      <c r="AS3" s="58">
        <f>AA63</f>
        <v>92.25</v>
      </c>
      <c r="AT3" s="58">
        <f>K63</f>
        <v>92.25</v>
      </c>
      <c r="AV3" s="173">
        <v>175.97</v>
      </c>
      <c r="AY3" s="511" t="s">
        <v>388</v>
      </c>
    </row>
    <row r="4" spans="2:51">
      <c r="B4" s="60">
        <v>44861</v>
      </c>
      <c r="C4" s="62" t="s">
        <v>108</v>
      </c>
      <c r="D4" s="79" t="s">
        <v>40</v>
      </c>
      <c r="E4" s="56">
        <v>15.73</v>
      </c>
      <c r="F4" s="76" t="s">
        <v>66</v>
      </c>
      <c r="G4" s="77">
        <f t="shared" ref="G4:G62" si="3">IF(F4="MARCIA",E4,IF(F4="AMBOS",E4/2,0))</f>
        <v>7.8650000000000002</v>
      </c>
      <c r="H4" s="78">
        <f t="shared" ref="H4:H62" si="4">IF(F4="LUCIANO",E4,IF(F4="AMBOS",E4/2,0))</f>
        <v>7.8650000000000002</v>
      </c>
      <c r="I4" s="481" t="s">
        <v>424</v>
      </c>
      <c r="J4" s="72">
        <f>IF($D4="ALIMENTAÇÃO",$H4,0)</f>
        <v>0</v>
      </c>
      <c r="K4" s="72">
        <f>IF($D4="ANIMAIS",$H4,0)</f>
        <v>0</v>
      </c>
      <c r="L4" s="72">
        <f>IF($D4="FILHO",$H4,0)</f>
        <v>0</v>
      </c>
      <c r="M4" s="72">
        <f>IF($D4="GASOLINA",$H4,0)</f>
        <v>0</v>
      </c>
      <c r="N4" s="72">
        <f>IF($D4="LAZER",$H4,0)</f>
        <v>0</v>
      </c>
      <c r="O4" s="72">
        <f>IF($D4="MANUT. IMÓVEL",$H4,0)</f>
        <v>0</v>
      </c>
      <c r="P4" s="72">
        <f>IF($D4="MANUT. VEICULAR",$H4,0)</f>
        <v>0</v>
      </c>
      <c r="Q4" s="72">
        <f>IF($D4="MÓVEIS",$H4,0)</f>
        <v>0</v>
      </c>
      <c r="R4" s="72">
        <f>IF($D4="OUTROS",$H4,0)</f>
        <v>7.8650000000000002</v>
      </c>
      <c r="S4" s="72">
        <f>IF($D4="PLANOS",$H4,0)</f>
        <v>0</v>
      </c>
      <c r="T4" s="72">
        <f>IF($D4="SAÚDE",$H4,0)</f>
        <v>0</v>
      </c>
      <c r="U4" s="72">
        <f>IF($D4="TRANSPORTE",$H4,0)</f>
        <v>0</v>
      </c>
      <c r="V4" s="72">
        <f t="shared" ref="V4:X35" si="5">IF($D4=V$2,$H4,0)</f>
        <v>0</v>
      </c>
      <c r="W4" s="72">
        <f t="shared" si="1"/>
        <v>0</v>
      </c>
      <c r="X4" s="72">
        <f t="shared" si="1"/>
        <v>0</v>
      </c>
      <c r="Z4" s="72">
        <f t="shared" ref="Z4:Z62" si="6">IF($D4="ALIMENTAÇÃO",$G4,0)</f>
        <v>0</v>
      </c>
      <c r="AA4" s="72">
        <f t="shared" ref="AA4:AA62" si="7">IF($D4="ANIMAIS",$G4,0)</f>
        <v>0</v>
      </c>
      <c r="AB4" s="72">
        <f t="shared" ref="AB4:AB62" si="8">IF($D4="FILHO",$G4,0)</f>
        <v>0</v>
      </c>
      <c r="AC4" s="72">
        <f t="shared" ref="AC4:AC62" si="9">IF($D4="GASOLINA",$G4,0)</f>
        <v>0</v>
      </c>
      <c r="AD4" s="72">
        <f t="shared" ref="AD4:AD62" si="10">IF($D4="LAZER",$G4,0)</f>
        <v>0</v>
      </c>
      <c r="AE4" s="72">
        <f t="shared" ref="AE4:AE62" si="11">IF($D4="MANUT. IMÓVEL",$G4,0)</f>
        <v>0</v>
      </c>
      <c r="AF4" s="72">
        <f t="shared" ref="AF4:AF62" si="12">IF($D4="MANUT. VEICULAR",$G4,0)</f>
        <v>0</v>
      </c>
      <c r="AG4" s="72">
        <f t="shared" ref="AG4:AG62" si="13">IF($D4="MÓVEIS",$G4,0)</f>
        <v>0</v>
      </c>
      <c r="AH4" s="72">
        <f t="shared" ref="AH4:AH62" si="14">IF($D4="OUTROS",$G4,0)</f>
        <v>7.8650000000000002</v>
      </c>
      <c r="AI4" s="72">
        <f t="shared" ref="AI4:AI62" si="15">IF($D4="PLANOS",$G4,0)</f>
        <v>0</v>
      </c>
      <c r="AJ4" s="72">
        <f t="shared" ref="AJ4:AJ62" si="16">IF($D4="SAÚDE",$G4,0)</f>
        <v>0</v>
      </c>
      <c r="AK4" s="72">
        <f t="shared" ref="AK4:AK62" si="17">IF($D4="TRANSPORTE",$G4,0)</f>
        <v>0</v>
      </c>
      <c r="AL4" s="72">
        <f t="shared" ref="AL4:AN62" si="18">IF($D4=AL$2,$G4,0)</f>
        <v>0</v>
      </c>
      <c r="AM4" s="72">
        <f t="shared" si="2"/>
        <v>0</v>
      </c>
      <c r="AN4" s="72">
        <f t="shared" si="2"/>
        <v>0</v>
      </c>
      <c r="AQ4" s="71" t="s">
        <v>120</v>
      </c>
      <c r="AR4" s="97">
        <f t="shared" si="0"/>
        <v>325.11</v>
      </c>
      <c r="AS4" s="58">
        <f>AB63</f>
        <v>0</v>
      </c>
      <c r="AT4" s="58">
        <f>L63</f>
        <v>325.11</v>
      </c>
      <c r="AV4" s="173"/>
      <c r="AY4" s="512">
        <v>58.66</v>
      </c>
    </row>
    <row r="5" spans="2:51">
      <c r="B5" s="60">
        <v>44857</v>
      </c>
      <c r="C5" s="62" t="s">
        <v>109</v>
      </c>
      <c r="D5" s="79" t="s">
        <v>40</v>
      </c>
      <c r="E5" s="56">
        <v>119.9</v>
      </c>
      <c r="F5" s="76" t="s">
        <v>65</v>
      </c>
      <c r="G5" s="77">
        <f t="shared" si="3"/>
        <v>0</v>
      </c>
      <c r="H5" s="78">
        <f t="shared" si="4"/>
        <v>119.9</v>
      </c>
      <c r="I5" s="481" t="s">
        <v>68</v>
      </c>
      <c r="J5" s="72">
        <f t="shared" ref="J5:J62" si="19">IF($D5="ALIMENTAÇÃO",$H5,0)</f>
        <v>0</v>
      </c>
      <c r="K5" s="72">
        <f t="shared" ref="K5:K62" si="20">IF($D5="ANIMAIS",$H5,0)</f>
        <v>0</v>
      </c>
      <c r="L5" s="72">
        <f t="shared" ref="L5:L62" si="21">IF($D5="FILHO",$H5,0)</f>
        <v>0</v>
      </c>
      <c r="M5" s="72">
        <f t="shared" ref="M5:M62" si="22">IF($D5="GASOLINA",$H5,0)</f>
        <v>0</v>
      </c>
      <c r="N5" s="72">
        <f t="shared" ref="N5:N62" si="23">IF($D5="LAZER",$H5,0)</f>
        <v>0</v>
      </c>
      <c r="O5" s="72">
        <f t="shared" ref="O5:O62" si="24">IF($D5="MANUT. IMÓVEL",$H5,0)</f>
        <v>0</v>
      </c>
      <c r="P5" s="72">
        <f t="shared" ref="P5:P62" si="25">IF($D5="MANUT. VEICULAR",$H5,0)</f>
        <v>0</v>
      </c>
      <c r="Q5" s="72">
        <f t="shared" ref="Q5:Q62" si="26">IF($D5="MÓVEIS",$H5,0)</f>
        <v>0</v>
      </c>
      <c r="R5" s="72">
        <f t="shared" ref="R5:R62" si="27">IF($D5="OUTROS",$H5,0)</f>
        <v>119.9</v>
      </c>
      <c r="S5" s="72">
        <f t="shared" ref="S5:S62" si="28">IF($D5="PLANOS",$H5,0)</f>
        <v>0</v>
      </c>
      <c r="T5" s="72">
        <f t="shared" ref="T5:T62" si="29">IF($D5="SAÚDE",$H5,0)</f>
        <v>0</v>
      </c>
      <c r="U5" s="72">
        <f t="shared" ref="U5:U62" si="30">IF($D5="TRANSPORTE",$H5,0)</f>
        <v>0</v>
      </c>
      <c r="V5" s="72">
        <f t="shared" si="5"/>
        <v>0</v>
      </c>
      <c r="W5" s="72">
        <f t="shared" si="1"/>
        <v>0</v>
      </c>
      <c r="X5" s="72">
        <f t="shared" si="1"/>
        <v>0</v>
      </c>
      <c r="Z5" s="72">
        <f t="shared" si="6"/>
        <v>0</v>
      </c>
      <c r="AA5" s="72">
        <f t="shared" si="7"/>
        <v>0</v>
      </c>
      <c r="AB5" s="72">
        <f t="shared" si="8"/>
        <v>0</v>
      </c>
      <c r="AC5" s="72">
        <f t="shared" si="9"/>
        <v>0</v>
      </c>
      <c r="AD5" s="72">
        <f t="shared" si="10"/>
        <v>0</v>
      </c>
      <c r="AE5" s="72">
        <f t="shared" si="11"/>
        <v>0</v>
      </c>
      <c r="AF5" s="72">
        <f t="shared" si="12"/>
        <v>0</v>
      </c>
      <c r="AG5" s="72">
        <f t="shared" si="13"/>
        <v>0</v>
      </c>
      <c r="AH5" s="72">
        <f t="shared" si="14"/>
        <v>0</v>
      </c>
      <c r="AI5" s="72">
        <f t="shared" si="15"/>
        <v>0</v>
      </c>
      <c r="AJ5" s="72">
        <f t="shared" si="16"/>
        <v>0</v>
      </c>
      <c r="AK5" s="72">
        <f t="shared" si="17"/>
        <v>0</v>
      </c>
      <c r="AL5" s="72">
        <f t="shared" si="18"/>
        <v>0</v>
      </c>
      <c r="AM5" s="72">
        <f t="shared" si="2"/>
        <v>0</v>
      </c>
      <c r="AN5" s="72">
        <f t="shared" si="2"/>
        <v>0</v>
      </c>
      <c r="AQ5" s="71" t="s">
        <v>36</v>
      </c>
      <c r="AR5" s="97">
        <f t="shared" si="0"/>
        <v>64.22</v>
      </c>
      <c r="AS5" s="58">
        <f>AC63</f>
        <v>0</v>
      </c>
      <c r="AT5" s="58">
        <f>M63</f>
        <v>64.22</v>
      </c>
      <c r="AV5" s="173"/>
      <c r="AY5" s="511" t="s">
        <v>387</v>
      </c>
    </row>
    <row r="6" spans="2:51">
      <c r="B6" s="172">
        <v>44929</v>
      </c>
      <c r="C6" s="173" t="s">
        <v>145</v>
      </c>
      <c r="D6" s="79" t="s">
        <v>56</v>
      </c>
      <c r="E6" s="56">
        <v>175.97</v>
      </c>
      <c r="F6" s="76" t="s">
        <v>66</v>
      </c>
      <c r="G6" s="77">
        <v>117.31</v>
      </c>
      <c r="H6" s="78">
        <v>58.66</v>
      </c>
      <c r="I6" s="481" t="s">
        <v>138</v>
      </c>
      <c r="J6" s="72">
        <f t="shared" si="19"/>
        <v>0</v>
      </c>
      <c r="K6" s="72">
        <f t="shared" si="20"/>
        <v>0</v>
      </c>
      <c r="L6" s="72">
        <f t="shared" si="21"/>
        <v>0</v>
      </c>
      <c r="M6" s="72">
        <f t="shared" si="22"/>
        <v>0</v>
      </c>
      <c r="N6" s="72">
        <f t="shared" si="23"/>
        <v>58.66</v>
      </c>
      <c r="O6" s="72">
        <f t="shared" si="24"/>
        <v>0</v>
      </c>
      <c r="P6" s="72">
        <f t="shared" si="25"/>
        <v>0</v>
      </c>
      <c r="Q6" s="72">
        <f t="shared" si="26"/>
        <v>0</v>
      </c>
      <c r="R6" s="72">
        <f t="shared" si="27"/>
        <v>0</v>
      </c>
      <c r="S6" s="72">
        <f t="shared" si="28"/>
        <v>0</v>
      </c>
      <c r="T6" s="72">
        <f t="shared" si="29"/>
        <v>0</v>
      </c>
      <c r="U6" s="72">
        <f t="shared" si="30"/>
        <v>0</v>
      </c>
      <c r="V6" s="72">
        <f t="shared" si="5"/>
        <v>0</v>
      </c>
      <c r="W6" s="72">
        <f t="shared" si="1"/>
        <v>0</v>
      </c>
      <c r="X6" s="72">
        <f t="shared" si="1"/>
        <v>0</v>
      </c>
      <c r="Z6" s="72">
        <f t="shared" si="6"/>
        <v>0</v>
      </c>
      <c r="AA6" s="72">
        <f t="shared" si="7"/>
        <v>0</v>
      </c>
      <c r="AB6" s="72">
        <f t="shared" si="8"/>
        <v>0</v>
      </c>
      <c r="AC6" s="72">
        <f t="shared" si="9"/>
        <v>0</v>
      </c>
      <c r="AD6" s="72">
        <f t="shared" si="10"/>
        <v>117.31</v>
      </c>
      <c r="AE6" s="72">
        <f t="shared" si="11"/>
        <v>0</v>
      </c>
      <c r="AF6" s="72">
        <f t="shared" si="12"/>
        <v>0</v>
      </c>
      <c r="AG6" s="72">
        <f t="shared" si="13"/>
        <v>0</v>
      </c>
      <c r="AH6" s="72">
        <f t="shared" si="14"/>
        <v>0</v>
      </c>
      <c r="AI6" s="72">
        <f t="shared" si="15"/>
        <v>0</v>
      </c>
      <c r="AJ6" s="72">
        <f t="shared" si="16"/>
        <v>0</v>
      </c>
      <c r="AK6" s="72">
        <f t="shared" si="17"/>
        <v>0</v>
      </c>
      <c r="AL6" s="72">
        <f t="shared" si="18"/>
        <v>0</v>
      </c>
      <c r="AM6" s="72">
        <f t="shared" si="2"/>
        <v>0</v>
      </c>
      <c r="AN6" s="72">
        <f t="shared" si="2"/>
        <v>0</v>
      </c>
      <c r="AQ6" s="71" t="s">
        <v>56</v>
      </c>
      <c r="AR6" s="97">
        <f t="shared" si="0"/>
        <v>285.47000000000003</v>
      </c>
      <c r="AS6" s="58">
        <f>AD63</f>
        <v>117.31</v>
      </c>
      <c r="AT6" s="58">
        <f>N63</f>
        <v>168.16000000000003</v>
      </c>
      <c r="AV6" s="173"/>
      <c r="AY6" s="512">
        <v>117.31</v>
      </c>
    </row>
    <row r="7" spans="2:51">
      <c r="B7" s="60">
        <v>44939</v>
      </c>
      <c r="C7" s="62" t="s">
        <v>153</v>
      </c>
      <c r="D7" s="79" t="s">
        <v>120</v>
      </c>
      <c r="E7" s="56">
        <v>58.4</v>
      </c>
      <c r="F7" s="76" t="s">
        <v>65</v>
      </c>
      <c r="G7" s="77">
        <f t="shared" ref="G7" si="31">IF(F7="MARCIA",E7,IF(F7="AMBOS",E7/2,0))</f>
        <v>0</v>
      </c>
      <c r="H7" s="78">
        <f t="shared" ref="H7" si="32">IF(F7="LUCIANO",E7,IF(F7="AMBOS",E7/2,0))</f>
        <v>58.4</v>
      </c>
      <c r="I7" s="481" t="s">
        <v>425</v>
      </c>
      <c r="J7" s="72">
        <f t="shared" si="19"/>
        <v>0</v>
      </c>
      <c r="K7" s="72">
        <f t="shared" si="20"/>
        <v>0</v>
      </c>
      <c r="L7" s="72">
        <f t="shared" si="21"/>
        <v>58.4</v>
      </c>
      <c r="M7" s="72">
        <f t="shared" si="22"/>
        <v>0</v>
      </c>
      <c r="N7" s="72">
        <f t="shared" si="23"/>
        <v>0</v>
      </c>
      <c r="O7" s="72">
        <f t="shared" si="24"/>
        <v>0</v>
      </c>
      <c r="P7" s="72">
        <f t="shared" si="25"/>
        <v>0</v>
      </c>
      <c r="Q7" s="72">
        <f t="shared" si="26"/>
        <v>0</v>
      </c>
      <c r="R7" s="72">
        <f t="shared" si="27"/>
        <v>0</v>
      </c>
      <c r="S7" s="72">
        <f t="shared" si="28"/>
        <v>0</v>
      </c>
      <c r="T7" s="72">
        <f t="shared" si="29"/>
        <v>0</v>
      </c>
      <c r="U7" s="72">
        <f t="shared" si="30"/>
        <v>0</v>
      </c>
      <c r="V7" s="72">
        <f t="shared" si="5"/>
        <v>0</v>
      </c>
      <c r="W7" s="72">
        <f t="shared" si="1"/>
        <v>0</v>
      </c>
      <c r="X7" s="72">
        <f t="shared" si="1"/>
        <v>0</v>
      </c>
      <c r="Z7" s="72">
        <f t="shared" si="6"/>
        <v>0</v>
      </c>
      <c r="AA7" s="72">
        <f t="shared" si="7"/>
        <v>0</v>
      </c>
      <c r="AB7" s="72">
        <f t="shared" si="8"/>
        <v>0</v>
      </c>
      <c r="AC7" s="72">
        <f t="shared" si="9"/>
        <v>0</v>
      </c>
      <c r="AD7" s="72">
        <f t="shared" si="10"/>
        <v>0</v>
      </c>
      <c r="AE7" s="72">
        <f t="shared" si="11"/>
        <v>0</v>
      </c>
      <c r="AF7" s="72">
        <f t="shared" si="12"/>
        <v>0</v>
      </c>
      <c r="AG7" s="72">
        <f t="shared" si="13"/>
        <v>0</v>
      </c>
      <c r="AH7" s="72">
        <f t="shared" si="14"/>
        <v>0</v>
      </c>
      <c r="AI7" s="72">
        <f t="shared" si="15"/>
        <v>0</v>
      </c>
      <c r="AJ7" s="72">
        <f t="shared" si="16"/>
        <v>0</v>
      </c>
      <c r="AK7" s="72">
        <f t="shared" si="17"/>
        <v>0</v>
      </c>
      <c r="AL7" s="72">
        <f t="shared" si="18"/>
        <v>0</v>
      </c>
      <c r="AM7" s="72">
        <f t="shared" si="2"/>
        <v>0</v>
      </c>
      <c r="AN7" s="72">
        <f t="shared" si="2"/>
        <v>0</v>
      </c>
      <c r="AQ7" s="71" t="s">
        <v>53</v>
      </c>
      <c r="AR7" s="97">
        <f t="shared" si="0"/>
        <v>0</v>
      </c>
      <c r="AS7" s="58">
        <f>AE63</f>
        <v>0</v>
      </c>
      <c r="AT7" s="58">
        <f>O63</f>
        <v>0</v>
      </c>
      <c r="AV7" s="173"/>
    </row>
    <row r="8" spans="2:51">
      <c r="B8" s="60">
        <v>44952</v>
      </c>
      <c r="C8" s="62" t="s">
        <v>159</v>
      </c>
      <c r="D8" s="79" t="s">
        <v>120</v>
      </c>
      <c r="E8" s="56">
        <v>77</v>
      </c>
      <c r="F8" s="76" t="s">
        <v>65</v>
      </c>
      <c r="G8" s="77">
        <f t="shared" si="3"/>
        <v>0</v>
      </c>
      <c r="H8" s="78">
        <f t="shared" si="4"/>
        <v>77</v>
      </c>
      <c r="I8" s="481" t="s">
        <v>138</v>
      </c>
      <c r="J8" s="72">
        <f t="shared" si="19"/>
        <v>0</v>
      </c>
      <c r="K8" s="72">
        <f t="shared" si="20"/>
        <v>0</v>
      </c>
      <c r="L8" s="72">
        <f t="shared" si="21"/>
        <v>77</v>
      </c>
      <c r="M8" s="72">
        <f t="shared" si="22"/>
        <v>0</v>
      </c>
      <c r="N8" s="72">
        <f t="shared" si="23"/>
        <v>0</v>
      </c>
      <c r="O8" s="72">
        <f t="shared" si="24"/>
        <v>0</v>
      </c>
      <c r="P8" s="72">
        <f t="shared" si="25"/>
        <v>0</v>
      </c>
      <c r="Q8" s="72">
        <f t="shared" si="26"/>
        <v>0</v>
      </c>
      <c r="R8" s="72">
        <f t="shared" si="27"/>
        <v>0</v>
      </c>
      <c r="S8" s="72">
        <f t="shared" si="28"/>
        <v>0</v>
      </c>
      <c r="T8" s="72">
        <f t="shared" si="29"/>
        <v>0</v>
      </c>
      <c r="U8" s="72">
        <f t="shared" si="30"/>
        <v>0</v>
      </c>
      <c r="V8" s="72">
        <f t="shared" si="5"/>
        <v>0</v>
      </c>
      <c r="W8" s="72">
        <f t="shared" si="1"/>
        <v>0</v>
      </c>
      <c r="X8" s="72">
        <f t="shared" si="1"/>
        <v>0</v>
      </c>
      <c r="Z8" s="72">
        <f t="shared" si="6"/>
        <v>0</v>
      </c>
      <c r="AA8" s="72">
        <f t="shared" si="7"/>
        <v>0</v>
      </c>
      <c r="AB8" s="72">
        <f t="shared" si="8"/>
        <v>0</v>
      </c>
      <c r="AC8" s="72">
        <f t="shared" si="9"/>
        <v>0</v>
      </c>
      <c r="AD8" s="72">
        <f t="shared" si="10"/>
        <v>0</v>
      </c>
      <c r="AE8" s="72">
        <f t="shared" si="11"/>
        <v>0</v>
      </c>
      <c r="AF8" s="72">
        <f t="shared" si="12"/>
        <v>0</v>
      </c>
      <c r="AG8" s="72">
        <f t="shared" si="13"/>
        <v>0</v>
      </c>
      <c r="AH8" s="72">
        <f t="shared" si="14"/>
        <v>0</v>
      </c>
      <c r="AI8" s="72">
        <f t="shared" si="15"/>
        <v>0</v>
      </c>
      <c r="AJ8" s="72">
        <f t="shared" si="16"/>
        <v>0</v>
      </c>
      <c r="AK8" s="72">
        <f t="shared" si="17"/>
        <v>0</v>
      </c>
      <c r="AL8" s="72">
        <f t="shared" si="18"/>
        <v>0</v>
      </c>
      <c r="AM8" s="72">
        <f t="shared" si="2"/>
        <v>0</v>
      </c>
      <c r="AN8" s="72">
        <f t="shared" si="2"/>
        <v>0</v>
      </c>
      <c r="AQ8" s="71" t="s">
        <v>54</v>
      </c>
      <c r="AR8" s="97">
        <f t="shared" si="0"/>
        <v>167.98</v>
      </c>
      <c r="AS8" s="58">
        <f>AF63</f>
        <v>0</v>
      </c>
      <c r="AT8" s="58">
        <f>P63</f>
        <v>167.98</v>
      </c>
    </row>
    <row r="9" spans="2:51">
      <c r="B9" s="60">
        <v>44966</v>
      </c>
      <c r="C9" s="62" t="s">
        <v>261</v>
      </c>
      <c r="D9" s="79" t="s">
        <v>120</v>
      </c>
      <c r="E9" s="56">
        <v>84.76</v>
      </c>
      <c r="F9" s="76" t="s">
        <v>65</v>
      </c>
      <c r="G9" s="77">
        <f t="shared" si="3"/>
        <v>0</v>
      </c>
      <c r="H9" s="78">
        <f t="shared" si="4"/>
        <v>84.76</v>
      </c>
      <c r="I9" s="481" t="s">
        <v>137</v>
      </c>
      <c r="J9" s="72">
        <f t="shared" si="19"/>
        <v>0</v>
      </c>
      <c r="K9" s="72">
        <f t="shared" si="20"/>
        <v>0</v>
      </c>
      <c r="L9" s="72">
        <f t="shared" si="21"/>
        <v>84.76</v>
      </c>
      <c r="M9" s="72">
        <f t="shared" si="22"/>
        <v>0</v>
      </c>
      <c r="N9" s="72">
        <f t="shared" si="23"/>
        <v>0</v>
      </c>
      <c r="O9" s="72">
        <f t="shared" si="24"/>
        <v>0</v>
      </c>
      <c r="P9" s="72">
        <f t="shared" si="25"/>
        <v>0</v>
      </c>
      <c r="Q9" s="72">
        <f t="shared" si="26"/>
        <v>0</v>
      </c>
      <c r="R9" s="72">
        <f t="shared" si="27"/>
        <v>0</v>
      </c>
      <c r="S9" s="72">
        <f t="shared" si="28"/>
        <v>0</v>
      </c>
      <c r="T9" s="72">
        <f t="shared" si="29"/>
        <v>0</v>
      </c>
      <c r="U9" s="72">
        <f t="shared" si="30"/>
        <v>0</v>
      </c>
      <c r="V9" s="72">
        <f t="shared" si="5"/>
        <v>0</v>
      </c>
      <c r="W9" s="72">
        <f t="shared" si="1"/>
        <v>0</v>
      </c>
      <c r="X9" s="72">
        <f t="shared" si="1"/>
        <v>0</v>
      </c>
      <c r="Z9" s="72">
        <f t="shared" si="6"/>
        <v>0</v>
      </c>
      <c r="AA9" s="72">
        <f t="shared" si="7"/>
        <v>0</v>
      </c>
      <c r="AB9" s="72">
        <f t="shared" si="8"/>
        <v>0</v>
      </c>
      <c r="AC9" s="72">
        <f t="shared" si="9"/>
        <v>0</v>
      </c>
      <c r="AD9" s="72">
        <f t="shared" si="10"/>
        <v>0</v>
      </c>
      <c r="AE9" s="72">
        <f t="shared" si="11"/>
        <v>0</v>
      </c>
      <c r="AF9" s="72">
        <f t="shared" si="12"/>
        <v>0</v>
      </c>
      <c r="AG9" s="72">
        <f t="shared" si="13"/>
        <v>0</v>
      </c>
      <c r="AH9" s="72">
        <f t="shared" si="14"/>
        <v>0</v>
      </c>
      <c r="AI9" s="72">
        <f t="shared" si="15"/>
        <v>0</v>
      </c>
      <c r="AJ9" s="72">
        <f t="shared" si="16"/>
        <v>0</v>
      </c>
      <c r="AK9" s="72">
        <f t="shared" si="17"/>
        <v>0</v>
      </c>
      <c r="AL9" s="72">
        <f t="shared" si="18"/>
        <v>0</v>
      </c>
      <c r="AM9" s="72">
        <f t="shared" si="2"/>
        <v>0</v>
      </c>
      <c r="AN9" s="72">
        <f t="shared" si="2"/>
        <v>0</v>
      </c>
      <c r="AQ9" s="71" t="s">
        <v>59</v>
      </c>
      <c r="AR9" s="97">
        <f t="shared" si="0"/>
        <v>0</v>
      </c>
      <c r="AS9" s="58">
        <f>AG63</f>
        <v>0</v>
      </c>
      <c r="AT9" s="58">
        <f>Q63</f>
        <v>0</v>
      </c>
    </row>
    <row r="10" spans="2:51">
      <c r="B10" s="60">
        <v>45002</v>
      </c>
      <c r="C10" s="62" t="s">
        <v>306</v>
      </c>
      <c r="D10" s="79" t="s">
        <v>55</v>
      </c>
      <c r="E10" s="56">
        <v>29.7</v>
      </c>
      <c r="F10" s="76" t="s">
        <v>65</v>
      </c>
      <c r="G10" s="77">
        <f t="shared" si="3"/>
        <v>0</v>
      </c>
      <c r="H10" s="78">
        <f t="shared" si="4"/>
        <v>29.7</v>
      </c>
      <c r="I10" s="481" t="s">
        <v>346</v>
      </c>
      <c r="J10" s="72">
        <f t="shared" si="19"/>
        <v>0</v>
      </c>
      <c r="K10" s="72">
        <f t="shared" si="20"/>
        <v>0</v>
      </c>
      <c r="L10" s="72">
        <f t="shared" si="21"/>
        <v>0</v>
      </c>
      <c r="M10" s="72">
        <f t="shared" si="22"/>
        <v>0</v>
      </c>
      <c r="N10" s="72">
        <f t="shared" si="23"/>
        <v>0</v>
      </c>
      <c r="O10" s="72">
        <f t="shared" si="24"/>
        <v>0</v>
      </c>
      <c r="P10" s="72">
        <f t="shared" si="25"/>
        <v>0</v>
      </c>
      <c r="Q10" s="72">
        <f t="shared" si="26"/>
        <v>0</v>
      </c>
      <c r="R10" s="72">
        <f t="shared" si="27"/>
        <v>0</v>
      </c>
      <c r="S10" s="72">
        <f t="shared" si="28"/>
        <v>29.7</v>
      </c>
      <c r="T10" s="72">
        <f t="shared" si="29"/>
        <v>0</v>
      </c>
      <c r="U10" s="72">
        <f t="shared" si="30"/>
        <v>0</v>
      </c>
      <c r="V10" s="72">
        <f t="shared" si="5"/>
        <v>0</v>
      </c>
      <c r="W10" s="72">
        <f t="shared" si="1"/>
        <v>0</v>
      </c>
      <c r="X10" s="72">
        <f t="shared" si="1"/>
        <v>0</v>
      </c>
      <c r="Z10" s="72">
        <f t="shared" si="6"/>
        <v>0</v>
      </c>
      <c r="AA10" s="72">
        <f t="shared" si="7"/>
        <v>0</v>
      </c>
      <c r="AB10" s="72">
        <f t="shared" si="8"/>
        <v>0</v>
      </c>
      <c r="AC10" s="72">
        <f t="shared" si="9"/>
        <v>0</v>
      </c>
      <c r="AD10" s="72">
        <f t="shared" si="10"/>
        <v>0</v>
      </c>
      <c r="AE10" s="72">
        <f t="shared" si="11"/>
        <v>0</v>
      </c>
      <c r="AF10" s="72">
        <f t="shared" si="12"/>
        <v>0</v>
      </c>
      <c r="AG10" s="72">
        <f t="shared" si="13"/>
        <v>0</v>
      </c>
      <c r="AH10" s="72">
        <f t="shared" si="14"/>
        <v>0</v>
      </c>
      <c r="AI10" s="72">
        <f t="shared" si="15"/>
        <v>0</v>
      </c>
      <c r="AJ10" s="72">
        <f t="shared" si="16"/>
        <v>0</v>
      </c>
      <c r="AK10" s="72">
        <f t="shared" si="17"/>
        <v>0</v>
      </c>
      <c r="AL10" s="72">
        <f t="shared" si="18"/>
        <v>0</v>
      </c>
      <c r="AM10" s="72">
        <f t="shared" si="2"/>
        <v>0</v>
      </c>
      <c r="AN10" s="72">
        <f t="shared" si="2"/>
        <v>0</v>
      </c>
      <c r="AQ10" s="71" t="s">
        <v>40</v>
      </c>
      <c r="AR10" s="97">
        <f t="shared" si="0"/>
        <v>246</v>
      </c>
      <c r="AS10" s="58">
        <f>AH63</f>
        <v>7.8650000000000002</v>
      </c>
      <c r="AT10" s="58">
        <f>R63</f>
        <v>238.13499999999999</v>
      </c>
    </row>
    <row r="11" spans="2:51">
      <c r="B11" s="60">
        <v>45003</v>
      </c>
      <c r="C11" s="62" t="s">
        <v>307</v>
      </c>
      <c r="D11" s="79" t="s">
        <v>143</v>
      </c>
      <c r="E11" s="56">
        <v>32.869999999999997</v>
      </c>
      <c r="F11" s="76" t="s">
        <v>65</v>
      </c>
      <c r="G11" s="77">
        <f t="shared" si="3"/>
        <v>0</v>
      </c>
      <c r="H11" s="78">
        <f t="shared" si="4"/>
        <v>32.869999999999997</v>
      </c>
      <c r="I11" s="481" t="s">
        <v>60</v>
      </c>
      <c r="J11" s="72">
        <f t="shared" si="19"/>
        <v>0</v>
      </c>
      <c r="K11" s="72">
        <f t="shared" si="20"/>
        <v>0</v>
      </c>
      <c r="L11" s="72">
        <f t="shared" si="21"/>
        <v>0</v>
      </c>
      <c r="M11" s="72">
        <f t="shared" si="22"/>
        <v>0</v>
      </c>
      <c r="N11" s="72">
        <f t="shared" si="23"/>
        <v>0</v>
      </c>
      <c r="O11" s="72">
        <f t="shared" si="24"/>
        <v>0</v>
      </c>
      <c r="P11" s="72">
        <f t="shared" si="25"/>
        <v>0</v>
      </c>
      <c r="Q11" s="72">
        <f t="shared" si="26"/>
        <v>0</v>
      </c>
      <c r="R11" s="72">
        <f t="shared" si="27"/>
        <v>0</v>
      </c>
      <c r="S11" s="72">
        <f t="shared" si="28"/>
        <v>0</v>
      </c>
      <c r="T11" s="72">
        <f t="shared" si="29"/>
        <v>0</v>
      </c>
      <c r="U11" s="72">
        <f t="shared" si="30"/>
        <v>0</v>
      </c>
      <c r="V11" s="72">
        <f t="shared" si="5"/>
        <v>32.869999999999997</v>
      </c>
      <c r="W11" s="72">
        <f t="shared" si="1"/>
        <v>0</v>
      </c>
      <c r="X11" s="72">
        <f t="shared" si="1"/>
        <v>0</v>
      </c>
      <c r="Z11" s="72">
        <f t="shared" si="6"/>
        <v>0</v>
      </c>
      <c r="AA11" s="72">
        <f t="shared" si="7"/>
        <v>0</v>
      </c>
      <c r="AB11" s="72">
        <f t="shared" si="8"/>
        <v>0</v>
      </c>
      <c r="AC11" s="72">
        <f t="shared" si="9"/>
        <v>0</v>
      </c>
      <c r="AD11" s="72">
        <f t="shared" si="10"/>
        <v>0</v>
      </c>
      <c r="AE11" s="72">
        <f t="shared" si="11"/>
        <v>0</v>
      </c>
      <c r="AF11" s="72">
        <f t="shared" si="12"/>
        <v>0</v>
      </c>
      <c r="AG11" s="72">
        <f t="shared" si="13"/>
        <v>0</v>
      </c>
      <c r="AH11" s="72">
        <f t="shared" si="14"/>
        <v>0</v>
      </c>
      <c r="AI11" s="72">
        <f t="shared" si="15"/>
        <v>0</v>
      </c>
      <c r="AJ11" s="72">
        <f t="shared" si="16"/>
        <v>0</v>
      </c>
      <c r="AK11" s="72">
        <f t="shared" si="17"/>
        <v>0</v>
      </c>
      <c r="AL11" s="72">
        <f t="shared" si="18"/>
        <v>0</v>
      </c>
      <c r="AM11" s="72">
        <f t="shared" si="2"/>
        <v>0</v>
      </c>
      <c r="AN11" s="72">
        <f t="shared" si="2"/>
        <v>0</v>
      </c>
      <c r="AQ11" s="71" t="s">
        <v>55</v>
      </c>
      <c r="AR11" s="97">
        <f t="shared" si="0"/>
        <v>78.3</v>
      </c>
      <c r="AS11" s="58">
        <f>AI63</f>
        <v>0</v>
      </c>
      <c r="AT11" s="58">
        <f>S63</f>
        <v>78.3</v>
      </c>
    </row>
    <row r="12" spans="2:51">
      <c r="B12" s="60">
        <v>45007</v>
      </c>
      <c r="C12" s="62" t="s">
        <v>309</v>
      </c>
      <c r="D12" s="79" t="s">
        <v>40</v>
      </c>
      <c r="E12" s="56">
        <v>32.39</v>
      </c>
      <c r="F12" s="76" t="s">
        <v>65</v>
      </c>
      <c r="G12" s="77">
        <f t="shared" si="3"/>
        <v>0</v>
      </c>
      <c r="H12" s="78">
        <f t="shared" si="4"/>
        <v>32.39</v>
      </c>
      <c r="I12" s="481" t="s">
        <v>348</v>
      </c>
      <c r="J12" s="72">
        <f t="shared" si="19"/>
        <v>0</v>
      </c>
      <c r="K12" s="72">
        <f t="shared" si="20"/>
        <v>0</v>
      </c>
      <c r="L12" s="72">
        <f t="shared" si="21"/>
        <v>0</v>
      </c>
      <c r="M12" s="72">
        <f t="shared" si="22"/>
        <v>0</v>
      </c>
      <c r="N12" s="72">
        <f t="shared" si="23"/>
        <v>0</v>
      </c>
      <c r="O12" s="72">
        <f t="shared" si="24"/>
        <v>0</v>
      </c>
      <c r="P12" s="72">
        <f t="shared" si="25"/>
        <v>0</v>
      </c>
      <c r="Q12" s="72">
        <f t="shared" si="26"/>
        <v>0</v>
      </c>
      <c r="R12" s="72">
        <f t="shared" si="27"/>
        <v>32.39</v>
      </c>
      <c r="S12" s="72">
        <f t="shared" si="28"/>
        <v>0</v>
      </c>
      <c r="T12" s="72">
        <f t="shared" si="29"/>
        <v>0</v>
      </c>
      <c r="U12" s="72">
        <f t="shared" si="30"/>
        <v>0</v>
      </c>
      <c r="V12" s="72">
        <f t="shared" si="5"/>
        <v>0</v>
      </c>
      <c r="W12" s="72">
        <f t="shared" si="1"/>
        <v>0</v>
      </c>
      <c r="X12" s="72">
        <f t="shared" si="1"/>
        <v>0</v>
      </c>
      <c r="Z12" s="72">
        <f t="shared" si="6"/>
        <v>0</v>
      </c>
      <c r="AA12" s="72">
        <f t="shared" si="7"/>
        <v>0</v>
      </c>
      <c r="AB12" s="72">
        <f t="shared" si="8"/>
        <v>0</v>
      </c>
      <c r="AC12" s="72">
        <f t="shared" si="9"/>
        <v>0</v>
      </c>
      <c r="AD12" s="72">
        <f t="shared" si="10"/>
        <v>0</v>
      </c>
      <c r="AE12" s="72">
        <f t="shared" si="11"/>
        <v>0</v>
      </c>
      <c r="AF12" s="72">
        <f t="shared" si="12"/>
        <v>0</v>
      </c>
      <c r="AG12" s="72">
        <f t="shared" si="13"/>
        <v>0</v>
      </c>
      <c r="AH12" s="72">
        <f t="shared" si="14"/>
        <v>0</v>
      </c>
      <c r="AI12" s="72">
        <f t="shared" si="15"/>
        <v>0</v>
      </c>
      <c r="AJ12" s="72">
        <f t="shared" si="16"/>
        <v>0</v>
      </c>
      <c r="AK12" s="72">
        <f t="shared" si="17"/>
        <v>0</v>
      </c>
      <c r="AL12" s="72">
        <f t="shared" si="18"/>
        <v>0</v>
      </c>
      <c r="AM12" s="72">
        <f t="shared" si="2"/>
        <v>0</v>
      </c>
      <c r="AN12" s="72">
        <f t="shared" si="2"/>
        <v>0</v>
      </c>
      <c r="AQ12" s="71" t="s">
        <v>58</v>
      </c>
      <c r="AR12" s="97">
        <f t="shared" si="0"/>
        <v>60.67</v>
      </c>
      <c r="AS12" s="58">
        <f>AJ63</f>
        <v>0</v>
      </c>
      <c r="AT12" s="58">
        <f>T63</f>
        <v>60.67</v>
      </c>
      <c r="AY12" s="56">
        <v>64.22</v>
      </c>
    </row>
    <row r="13" spans="2:51">
      <c r="B13" s="60">
        <v>45030</v>
      </c>
      <c r="C13" s="62" t="s">
        <v>408</v>
      </c>
      <c r="D13" s="79" t="s">
        <v>40</v>
      </c>
      <c r="E13" s="56">
        <v>40</v>
      </c>
      <c r="F13" s="76" t="s">
        <v>65</v>
      </c>
      <c r="G13" s="77">
        <f t="shared" si="3"/>
        <v>0</v>
      </c>
      <c r="H13" s="78">
        <f t="shared" si="4"/>
        <v>40</v>
      </c>
      <c r="I13" s="481" t="s">
        <v>426</v>
      </c>
      <c r="J13" s="72">
        <f t="shared" si="19"/>
        <v>0</v>
      </c>
      <c r="K13" s="72">
        <f t="shared" si="20"/>
        <v>0</v>
      </c>
      <c r="L13" s="72">
        <f t="shared" si="21"/>
        <v>0</v>
      </c>
      <c r="M13" s="72">
        <f t="shared" si="22"/>
        <v>0</v>
      </c>
      <c r="N13" s="72">
        <f t="shared" si="23"/>
        <v>0</v>
      </c>
      <c r="O13" s="72">
        <f t="shared" si="24"/>
        <v>0</v>
      </c>
      <c r="P13" s="72">
        <f t="shared" si="25"/>
        <v>0</v>
      </c>
      <c r="Q13" s="72">
        <f t="shared" si="26"/>
        <v>0</v>
      </c>
      <c r="R13" s="72">
        <f t="shared" si="27"/>
        <v>40</v>
      </c>
      <c r="S13" s="72">
        <f t="shared" si="28"/>
        <v>0</v>
      </c>
      <c r="T13" s="72">
        <f t="shared" si="29"/>
        <v>0</v>
      </c>
      <c r="U13" s="72">
        <f t="shared" si="30"/>
        <v>0</v>
      </c>
      <c r="V13" s="72">
        <f t="shared" si="5"/>
        <v>0</v>
      </c>
      <c r="W13" s="72">
        <f t="shared" si="1"/>
        <v>0</v>
      </c>
      <c r="X13" s="72">
        <f t="shared" si="1"/>
        <v>0</v>
      </c>
      <c r="Z13" s="72">
        <f t="shared" si="6"/>
        <v>0</v>
      </c>
      <c r="AA13" s="72">
        <f t="shared" si="7"/>
        <v>0</v>
      </c>
      <c r="AB13" s="72">
        <f t="shared" si="8"/>
        <v>0</v>
      </c>
      <c r="AC13" s="72">
        <f t="shared" si="9"/>
        <v>0</v>
      </c>
      <c r="AD13" s="72">
        <f t="shared" si="10"/>
        <v>0</v>
      </c>
      <c r="AE13" s="72">
        <f t="shared" si="11"/>
        <v>0</v>
      </c>
      <c r="AF13" s="72">
        <f t="shared" si="12"/>
        <v>0</v>
      </c>
      <c r="AG13" s="72">
        <f t="shared" si="13"/>
        <v>0</v>
      </c>
      <c r="AH13" s="72">
        <f t="shared" si="14"/>
        <v>0</v>
      </c>
      <c r="AI13" s="72">
        <f t="shared" si="15"/>
        <v>0</v>
      </c>
      <c r="AJ13" s="72">
        <f t="shared" si="16"/>
        <v>0</v>
      </c>
      <c r="AK13" s="72">
        <f t="shared" si="17"/>
        <v>0</v>
      </c>
      <c r="AL13" s="72">
        <f t="shared" si="18"/>
        <v>0</v>
      </c>
      <c r="AM13" s="72">
        <f t="shared" si="2"/>
        <v>0</v>
      </c>
      <c r="AN13" s="72">
        <f t="shared" si="2"/>
        <v>0</v>
      </c>
      <c r="AQ13" s="71" t="s">
        <v>52</v>
      </c>
      <c r="AR13" s="97">
        <f t="shared" si="0"/>
        <v>0</v>
      </c>
      <c r="AS13" s="58">
        <f>AK63</f>
        <v>0</v>
      </c>
      <c r="AT13" s="58">
        <f>U63</f>
        <v>0</v>
      </c>
      <c r="AY13" s="56">
        <f>299.88*3</f>
        <v>899.64</v>
      </c>
    </row>
    <row r="14" spans="2:51">
      <c r="B14" s="60">
        <v>45065</v>
      </c>
      <c r="C14" s="62" t="s">
        <v>81</v>
      </c>
      <c r="D14" s="79" t="s">
        <v>36</v>
      </c>
      <c r="E14" s="56">
        <v>64.22</v>
      </c>
      <c r="F14" s="76" t="s">
        <v>65</v>
      </c>
      <c r="G14" s="77">
        <f t="shared" si="3"/>
        <v>0</v>
      </c>
      <c r="H14" s="78">
        <f t="shared" si="4"/>
        <v>64.22</v>
      </c>
      <c r="I14" s="481"/>
      <c r="J14" s="72">
        <f t="shared" si="19"/>
        <v>0</v>
      </c>
      <c r="K14" s="72">
        <f t="shared" si="20"/>
        <v>0</v>
      </c>
      <c r="L14" s="72">
        <f t="shared" si="21"/>
        <v>0</v>
      </c>
      <c r="M14" s="72">
        <f t="shared" si="22"/>
        <v>64.22</v>
      </c>
      <c r="N14" s="72">
        <f t="shared" si="23"/>
        <v>0</v>
      </c>
      <c r="O14" s="72">
        <f t="shared" si="24"/>
        <v>0</v>
      </c>
      <c r="P14" s="72">
        <f t="shared" si="25"/>
        <v>0</v>
      </c>
      <c r="Q14" s="72">
        <f t="shared" si="26"/>
        <v>0</v>
      </c>
      <c r="R14" s="72">
        <f t="shared" si="27"/>
        <v>0</v>
      </c>
      <c r="S14" s="72">
        <f t="shared" si="28"/>
        <v>0</v>
      </c>
      <c r="T14" s="72">
        <f t="shared" si="29"/>
        <v>0</v>
      </c>
      <c r="U14" s="72">
        <f t="shared" si="30"/>
        <v>0</v>
      </c>
      <c r="V14" s="72">
        <f t="shared" si="5"/>
        <v>0</v>
      </c>
      <c r="W14" s="72">
        <f t="shared" si="1"/>
        <v>0</v>
      </c>
      <c r="X14" s="72">
        <f t="shared" si="1"/>
        <v>0</v>
      </c>
      <c r="Z14" s="72">
        <f t="shared" si="6"/>
        <v>0</v>
      </c>
      <c r="AA14" s="72">
        <f t="shared" si="7"/>
        <v>0</v>
      </c>
      <c r="AB14" s="72">
        <f t="shared" si="8"/>
        <v>0</v>
      </c>
      <c r="AC14" s="72">
        <f t="shared" si="9"/>
        <v>0</v>
      </c>
      <c r="AD14" s="72">
        <f t="shared" si="10"/>
        <v>0</v>
      </c>
      <c r="AE14" s="72">
        <f t="shared" si="11"/>
        <v>0</v>
      </c>
      <c r="AF14" s="72">
        <f t="shared" si="12"/>
        <v>0</v>
      </c>
      <c r="AG14" s="72">
        <f t="shared" si="13"/>
        <v>0</v>
      </c>
      <c r="AH14" s="72">
        <f t="shared" si="14"/>
        <v>0</v>
      </c>
      <c r="AI14" s="72">
        <f t="shared" si="15"/>
        <v>0</v>
      </c>
      <c r="AJ14" s="72">
        <f t="shared" si="16"/>
        <v>0</v>
      </c>
      <c r="AK14" s="72">
        <f t="shared" si="17"/>
        <v>0</v>
      </c>
      <c r="AL14" s="72">
        <f t="shared" si="18"/>
        <v>0</v>
      </c>
      <c r="AM14" s="72">
        <f t="shared" si="2"/>
        <v>0</v>
      </c>
      <c r="AN14" s="72">
        <f t="shared" si="2"/>
        <v>0</v>
      </c>
      <c r="AQ14" s="71" t="s">
        <v>143</v>
      </c>
      <c r="AR14" s="97">
        <f t="shared" si="0"/>
        <v>32.869999999999997</v>
      </c>
      <c r="AS14" s="58">
        <f>AL63</f>
        <v>0</v>
      </c>
      <c r="AT14" s="58">
        <f>V63</f>
        <v>32.869999999999997</v>
      </c>
      <c r="AY14" s="56">
        <v>60.96</v>
      </c>
    </row>
    <row r="15" spans="2:51">
      <c r="B15" s="60">
        <v>45065</v>
      </c>
      <c r="C15" s="62" t="s">
        <v>475</v>
      </c>
      <c r="D15" s="79" t="s">
        <v>268</v>
      </c>
      <c r="E15" s="56">
        <v>299.88</v>
      </c>
      <c r="F15" s="76" t="s">
        <v>65</v>
      </c>
      <c r="G15" s="77">
        <f t="shared" si="3"/>
        <v>0</v>
      </c>
      <c r="H15" s="78">
        <f t="shared" si="4"/>
        <v>299.88</v>
      </c>
      <c r="I15" s="481" t="s">
        <v>258</v>
      </c>
      <c r="J15" s="72">
        <f t="shared" si="19"/>
        <v>0</v>
      </c>
      <c r="K15" s="72">
        <f t="shared" si="20"/>
        <v>0</v>
      </c>
      <c r="L15" s="72">
        <f t="shared" si="21"/>
        <v>0</v>
      </c>
      <c r="M15" s="72">
        <f t="shared" si="22"/>
        <v>0</v>
      </c>
      <c r="N15" s="72">
        <f t="shared" si="23"/>
        <v>0</v>
      </c>
      <c r="O15" s="72">
        <f t="shared" si="24"/>
        <v>0</v>
      </c>
      <c r="P15" s="72">
        <f t="shared" si="25"/>
        <v>0</v>
      </c>
      <c r="Q15" s="72">
        <f t="shared" si="26"/>
        <v>0</v>
      </c>
      <c r="R15" s="72">
        <f t="shared" si="27"/>
        <v>0</v>
      </c>
      <c r="S15" s="72">
        <f t="shared" si="28"/>
        <v>0</v>
      </c>
      <c r="T15" s="72">
        <f t="shared" si="29"/>
        <v>0</v>
      </c>
      <c r="U15" s="72">
        <f t="shared" si="30"/>
        <v>0</v>
      </c>
      <c r="V15" s="72">
        <f t="shared" si="5"/>
        <v>0</v>
      </c>
      <c r="W15" s="72">
        <f t="shared" si="1"/>
        <v>299.88</v>
      </c>
      <c r="X15" s="72">
        <f t="shared" si="1"/>
        <v>0</v>
      </c>
      <c r="Z15" s="72">
        <f t="shared" si="6"/>
        <v>0</v>
      </c>
      <c r="AA15" s="72">
        <f t="shared" si="7"/>
        <v>0</v>
      </c>
      <c r="AB15" s="72">
        <f t="shared" si="8"/>
        <v>0</v>
      </c>
      <c r="AC15" s="72">
        <f t="shared" si="9"/>
        <v>0</v>
      </c>
      <c r="AD15" s="72">
        <f t="shared" si="10"/>
        <v>0</v>
      </c>
      <c r="AE15" s="72">
        <f t="shared" si="11"/>
        <v>0</v>
      </c>
      <c r="AF15" s="72">
        <f t="shared" si="12"/>
        <v>0</v>
      </c>
      <c r="AG15" s="72">
        <f t="shared" si="13"/>
        <v>0</v>
      </c>
      <c r="AH15" s="72">
        <f t="shared" si="14"/>
        <v>0</v>
      </c>
      <c r="AI15" s="72">
        <f t="shared" si="15"/>
        <v>0</v>
      </c>
      <c r="AJ15" s="72">
        <f t="shared" si="16"/>
        <v>0</v>
      </c>
      <c r="AK15" s="72">
        <f t="shared" si="17"/>
        <v>0</v>
      </c>
      <c r="AL15" s="72">
        <f t="shared" si="18"/>
        <v>0</v>
      </c>
      <c r="AM15" s="72">
        <f t="shared" si="2"/>
        <v>0</v>
      </c>
      <c r="AN15" s="72">
        <f t="shared" si="2"/>
        <v>0</v>
      </c>
      <c r="AQ15" s="71" t="s">
        <v>268</v>
      </c>
      <c r="AR15" s="97">
        <f t="shared" si="0"/>
        <v>384.59</v>
      </c>
      <c r="AS15" s="58">
        <f>AM63</f>
        <v>0</v>
      </c>
      <c r="AT15" s="58">
        <f>W63</f>
        <v>384.59</v>
      </c>
      <c r="AY15" s="59"/>
    </row>
    <row r="16" spans="2:51">
      <c r="B16" s="60">
        <v>45065</v>
      </c>
      <c r="C16" s="62" t="s">
        <v>476</v>
      </c>
      <c r="D16" s="79" t="s">
        <v>268</v>
      </c>
      <c r="E16" s="56">
        <v>60.96</v>
      </c>
      <c r="F16" s="76" t="s">
        <v>65</v>
      </c>
      <c r="G16" s="77">
        <f t="shared" si="3"/>
        <v>0</v>
      </c>
      <c r="H16" s="78">
        <f t="shared" si="4"/>
        <v>60.96</v>
      </c>
      <c r="I16" s="481"/>
      <c r="J16" s="72">
        <f t="shared" si="19"/>
        <v>0</v>
      </c>
      <c r="K16" s="72">
        <f t="shared" si="20"/>
        <v>0</v>
      </c>
      <c r="L16" s="72">
        <f t="shared" si="21"/>
        <v>0</v>
      </c>
      <c r="M16" s="72">
        <f t="shared" si="22"/>
        <v>0</v>
      </c>
      <c r="N16" s="72">
        <f t="shared" si="23"/>
        <v>0</v>
      </c>
      <c r="O16" s="72">
        <f t="shared" si="24"/>
        <v>0</v>
      </c>
      <c r="P16" s="72">
        <f t="shared" si="25"/>
        <v>0</v>
      </c>
      <c r="Q16" s="72">
        <f t="shared" si="26"/>
        <v>0</v>
      </c>
      <c r="R16" s="72">
        <f t="shared" si="27"/>
        <v>0</v>
      </c>
      <c r="S16" s="72">
        <f t="shared" si="28"/>
        <v>0</v>
      </c>
      <c r="T16" s="72">
        <f t="shared" si="29"/>
        <v>0</v>
      </c>
      <c r="U16" s="72">
        <f t="shared" si="30"/>
        <v>0</v>
      </c>
      <c r="V16" s="72">
        <f t="shared" si="5"/>
        <v>0</v>
      </c>
      <c r="W16" s="72">
        <f t="shared" si="1"/>
        <v>60.96</v>
      </c>
      <c r="X16" s="72">
        <f t="shared" si="1"/>
        <v>0</v>
      </c>
      <c r="Z16" s="72">
        <f t="shared" si="6"/>
        <v>0</v>
      </c>
      <c r="AA16" s="72">
        <f t="shared" si="7"/>
        <v>0</v>
      </c>
      <c r="AB16" s="72">
        <f t="shared" si="8"/>
        <v>0</v>
      </c>
      <c r="AC16" s="72">
        <f t="shared" si="9"/>
        <v>0</v>
      </c>
      <c r="AD16" s="72">
        <f t="shared" si="10"/>
        <v>0</v>
      </c>
      <c r="AE16" s="72">
        <f t="shared" si="11"/>
        <v>0</v>
      </c>
      <c r="AF16" s="72">
        <f t="shared" si="12"/>
        <v>0</v>
      </c>
      <c r="AG16" s="72">
        <f t="shared" si="13"/>
        <v>0</v>
      </c>
      <c r="AH16" s="72">
        <f t="shared" si="14"/>
        <v>0</v>
      </c>
      <c r="AI16" s="72">
        <f t="shared" si="15"/>
        <v>0</v>
      </c>
      <c r="AJ16" s="72">
        <f t="shared" si="16"/>
        <v>0</v>
      </c>
      <c r="AK16" s="72">
        <f t="shared" si="17"/>
        <v>0</v>
      </c>
      <c r="AL16" s="72">
        <f t="shared" si="18"/>
        <v>0</v>
      </c>
      <c r="AM16" s="72">
        <f t="shared" si="2"/>
        <v>0</v>
      </c>
      <c r="AN16" s="72">
        <f t="shared" si="2"/>
        <v>0</v>
      </c>
      <c r="AQ16" s="71"/>
      <c r="AR16" s="97">
        <f t="shared" si="0"/>
        <v>0</v>
      </c>
      <c r="AS16" s="95">
        <f>AN63</f>
        <v>0</v>
      </c>
      <c r="AT16" s="95">
        <f>X63</f>
        <v>0</v>
      </c>
      <c r="AU16" s="59"/>
      <c r="AY16" s="59">
        <f>SUM(AY12:AY14)</f>
        <v>1024.82</v>
      </c>
    </row>
    <row r="17" spans="2:52">
      <c r="B17" s="60">
        <v>45065</v>
      </c>
      <c r="C17" s="62" t="s">
        <v>477</v>
      </c>
      <c r="D17" s="79" t="s">
        <v>56</v>
      </c>
      <c r="E17" s="56">
        <f>70.7+10.9+13.9+14</f>
        <v>109.50000000000001</v>
      </c>
      <c r="F17" s="76" t="s">
        <v>65</v>
      </c>
      <c r="G17" s="77">
        <f t="shared" si="3"/>
        <v>0</v>
      </c>
      <c r="H17" s="78">
        <f t="shared" si="4"/>
        <v>109.50000000000001</v>
      </c>
      <c r="I17" s="481"/>
      <c r="J17" s="72">
        <f t="shared" si="19"/>
        <v>0</v>
      </c>
      <c r="K17" s="72">
        <f t="shared" si="20"/>
        <v>0</v>
      </c>
      <c r="L17" s="72">
        <f t="shared" si="21"/>
        <v>0</v>
      </c>
      <c r="M17" s="72">
        <f t="shared" si="22"/>
        <v>0</v>
      </c>
      <c r="N17" s="72">
        <f t="shared" si="23"/>
        <v>109.50000000000001</v>
      </c>
      <c r="O17" s="72">
        <f t="shared" si="24"/>
        <v>0</v>
      </c>
      <c r="P17" s="72">
        <f t="shared" si="25"/>
        <v>0</v>
      </c>
      <c r="Q17" s="72">
        <f t="shared" si="26"/>
        <v>0</v>
      </c>
      <c r="R17" s="72">
        <f t="shared" si="27"/>
        <v>0</v>
      </c>
      <c r="S17" s="72">
        <f t="shared" si="28"/>
        <v>0</v>
      </c>
      <c r="T17" s="72">
        <f t="shared" si="29"/>
        <v>0</v>
      </c>
      <c r="U17" s="72">
        <f t="shared" si="30"/>
        <v>0</v>
      </c>
      <c r="V17" s="72">
        <f t="shared" si="5"/>
        <v>0</v>
      </c>
      <c r="W17" s="72">
        <f t="shared" si="1"/>
        <v>0</v>
      </c>
      <c r="X17" s="72">
        <f t="shared" si="1"/>
        <v>0</v>
      </c>
      <c r="Z17" s="72">
        <f t="shared" si="6"/>
        <v>0</v>
      </c>
      <c r="AA17" s="72">
        <f t="shared" si="7"/>
        <v>0</v>
      </c>
      <c r="AB17" s="72">
        <f t="shared" si="8"/>
        <v>0</v>
      </c>
      <c r="AC17" s="72">
        <f t="shared" si="9"/>
        <v>0</v>
      </c>
      <c r="AD17" s="72">
        <f t="shared" si="10"/>
        <v>0</v>
      </c>
      <c r="AE17" s="72">
        <f t="shared" si="11"/>
        <v>0</v>
      </c>
      <c r="AF17" s="72">
        <f t="shared" si="12"/>
        <v>0</v>
      </c>
      <c r="AG17" s="72">
        <f t="shared" si="13"/>
        <v>0</v>
      </c>
      <c r="AH17" s="72">
        <f t="shared" si="14"/>
        <v>0</v>
      </c>
      <c r="AI17" s="72">
        <f t="shared" si="15"/>
        <v>0</v>
      </c>
      <c r="AJ17" s="72">
        <f t="shared" si="16"/>
        <v>0</v>
      </c>
      <c r="AK17" s="72">
        <f t="shared" si="17"/>
        <v>0</v>
      </c>
      <c r="AL17" s="72">
        <f t="shared" si="18"/>
        <v>0</v>
      </c>
      <c r="AM17" s="72">
        <f t="shared" si="2"/>
        <v>0</v>
      </c>
      <c r="AN17" s="72">
        <f t="shared" si="2"/>
        <v>0</v>
      </c>
      <c r="AQ17" s="87" t="s">
        <v>67</v>
      </c>
      <c r="AR17" s="96">
        <f>SUM(AR2:AR16)</f>
        <v>1895.6299999999999</v>
      </c>
      <c r="AS17" s="88">
        <f>SUM(AS2:AS16)</f>
        <v>217.42500000000001</v>
      </c>
      <c r="AT17" s="88">
        <f>SUM(AT2:AT16)</f>
        <v>1678.2049999999999</v>
      </c>
      <c r="AY17" s="55">
        <v>6500</v>
      </c>
    </row>
    <row r="18" spans="2:52">
      <c r="B18" s="60">
        <v>45065</v>
      </c>
      <c r="C18" s="62" t="s">
        <v>478</v>
      </c>
      <c r="D18" s="79" t="s">
        <v>120</v>
      </c>
      <c r="E18" s="56">
        <v>59.95</v>
      </c>
      <c r="F18" s="76" t="s">
        <v>65</v>
      </c>
      <c r="G18" s="77">
        <f t="shared" si="3"/>
        <v>0</v>
      </c>
      <c r="H18" s="78">
        <f t="shared" si="4"/>
        <v>59.95</v>
      </c>
      <c r="I18" s="481" t="s">
        <v>155</v>
      </c>
      <c r="J18" s="72">
        <f t="shared" si="19"/>
        <v>0</v>
      </c>
      <c r="K18" s="72">
        <f t="shared" si="20"/>
        <v>0</v>
      </c>
      <c r="L18" s="72">
        <f t="shared" si="21"/>
        <v>59.95</v>
      </c>
      <c r="M18" s="72">
        <f t="shared" si="22"/>
        <v>0</v>
      </c>
      <c r="N18" s="72">
        <f t="shared" si="23"/>
        <v>0</v>
      </c>
      <c r="O18" s="72">
        <f t="shared" si="24"/>
        <v>0</v>
      </c>
      <c r="P18" s="72">
        <f t="shared" si="25"/>
        <v>0</v>
      </c>
      <c r="Q18" s="72">
        <f t="shared" si="26"/>
        <v>0</v>
      </c>
      <c r="R18" s="72">
        <f t="shared" si="27"/>
        <v>0</v>
      </c>
      <c r="S18" s="72">
        <f t="shared" si="28"/>
        <v>0</v>
      </c>
      <c r="T18" s="72">
        <f t="shared" si="29"/>
        <v>0</v>
      </c>
      <c r="U18" s="72">
        <f t="shared" si="30"/>
        <v>0</v>
      </c>
      <c r="V18" s="72">
        <f t="shared" si="5"/>
        <v>0</v>
      </c>
      <c r="W18" s="72">
        <f t="shared" si="1"/>
        <v>0</v>
      </c>
      <c r="X18" s="72">
        <f t="shared" si="1"/>
        <v>0</v>
      </c>
      <c r="Z18" s="72">
        <f t="shared" si="6"/>
        <v>0</v>
      </c>
      <c r="AA18" s="72">
        <f t="shared" si="7"/>
        <v>0</v>
      </c>
      <c r="AB18" s="72">
        <f t="shared" si="8"/>
        <v>0</v>
      </c>
      <c r="AC18" s="72">
        <f t="shared" si="9"/>
        <v>0</v>
      </c>
      <c r="AD18" s="72">
        <f t="shared" si="10"/>
        <v>0</v>
      </c>
      <c r="AE18" s="72">
        <f t="shared" si="11"/>
        <v>0</v>
      </c>
      <c r="AF18" s="72">
        <f t="shared" si="12"/>
        <v>0</v>
      </c>
      <c r="AG18" s="72">
        <f t="shared" si="13"/>
        <v>0</v>
      </c>
      <c r="AH18" s="72">
        <f t="shared" si="14"/>
        <v>0</v>
      </c>
      <c r="AI18" s="72">
        <f t="shared" si="15"/>
        <v>0</v>
      </c>
      <c r="AJ18" s="72">
        <f t="shared" si="16"/>
        <v>0</v>
      </c>
      <c r="AK18" s="72">
        <f t="shared" si="17"/>
        <v>0</v>
      </c>
      <c r="AL18" s="72">
        <f t="shared" si="18"/>
        <v>0</v>
      </c>
      <c r="AM18" s="72">
        <f t="shared" si="2"/>
        <v>0</v>
      </c>
      <c r="AN18" s="72">
        <f t="shared" si="2"/>
        <v>0</v>
      </c>
      <c r="AQ18" s="80" t="s">
        <v>65</v>
      </c>
      <c r="AR18" s="850" t="s">
        <v>45</v>
      </c>
      <c r="AS18" s="851"/>
      <c r="AT18" s="852"/>
      <c r="AU18" s="99"/>
      <c r="AV18" s="98"/>
      <c r="AY18" s="59">
        <f>AY17-AY16</f>
        <v>5475.18</v>
      </c>
    </row>
    <row r="19" spans="2:52">
      <c r="B19" s="60">
        <v>45066</v>
      </c>
      <c r="C19" s="62" t="s">
        <v>479</v>
      </c>
      <c r="D19" s="79" t="s">
        <v>58</v>
      </c>
      <c r="E19" s="56">
        <v>60.67</v>
      </c>
      <c r="F19" s="76" t="s">
        <v>65</v>
      </c>
      <c r="G19" s="77">
        <f t="shared" si="3"/>
        <v>0</v>
      </c>
      <c r="H19" s="78">
        <f t="shared" si="4"/>
        <v>60.67</v>
      </c>
      <c r="I19" s="481" t="s">
        <v>258</v>
      </c>
      <c r="J19" s="72">
        <f t="shared" si="19"/>
        <v>0</v>
      </c>
      <c r="K19" s="72">
        <f t="shared" si="20"/>
        <v>0</v>
      </c>
      <c r="L19" s="72">
        <f t="shared" si="21"/>
        <v>0</v>
      </c>
      <c r="M19" s="72">
        <f t="shared" si="22"/>
        <v>0</v>
      </c>
      <c r="N19" s="72">
        <f t="shared" si="23"/>
        <v>0</v>
      </c>
      <c r="O19" s="72">
        <f t="shared" si="24"/>
        <v>0</v>
      </c>
      <c r="P19" s="72">
        <f t="shared" si="25"/>
        <v>0</v>
      </c>
      <c r="Q19" s="72">
        <f t="shared" si="26"/>
        <v>0</v>
      </c>
      <c r="R19" s="72">
        <f t="shared" si="27"/>
        <v>0</v>
      </c>
      <c r="S19" s="72">
        <f t="shared" si="28"/>
        <v>0</v>
      </c>
      <c r="T19" s="72">
        <f t="shared" si="29"/>
        <v>60.67</v>
      </c>
      <c r="U19" s="72">
        <f t="shared" si="30"/>
        <v>0</v>
      </c>
      <c r="V19" s="72">
        <f t="shared" si="5"/>
        <v>0</v>
      </c>
      <c r="W19" s="72">
        <f t="shared" si="5"/>
        <v>0</v>
      </c>
      <c r="X19" s="72">
        <f t="shared" si="5"/>
        <v>0</v>
      </c>
      <c r="Z19" s="72">
        <f t="shared" si="6"/>
        <v>0</v>
      </c>
      <c r="AA19" s="72">
        <f t="shared" si="7"/>
        <v>0</v>
      </c>
      <c r="AB19" s="72">
        <f t="shared" si="8"/>
        <v>0</v>
      </c>
      <c r="AC19" s="72">
        <f t="shared" si="9"/>
        <v>0</v>
      </c>
      <c r="AD19" s="72">
        <f t="shared" si="10"/>
        <v>0</v>
      </c>
      <c r="AE19" s="72">
        <f t="shared" si="11"/>
        <v>0</v>
      </c>
      <c r="AF19" s="72">
        <f t="shared" si="12"/>
        <v>0</v>
      </c>
      <c r="AG19" s="72">
        <f t="shared" si="13"/>
        <v>0</v>
      </c>
      <c r="AH19" s="72">
        <f t="shared" si="14"/>
        <v>0</v>
      </c>
      <c r="AI19" s="72">
        <f t="shared" si="15"/>
        <v>0</v>
      </c>
      <c r="AJ19" s="72">
        <f t="shared" si="16"/>
        <v>0</v>
      </c>
      <c r="AK19" s="72">
        <f t="shared" si="17"/>
        <v>0</v>
      </c>
      <c r="AL19" s="72">
        <f t="shared" si="18"/>
        <v>0</v>
      </c>
      <c r="AM19" s="72">
        <f t="shared" si="18"/>
        <v>0</v>
      </c>
      <c r="AN19" s="72">
        <f t="shared" si="18"/>
        <v>0</v>
      </c>
      <c r="AQ19" s="80" t="s">
        <v>66</v>
      </c>
      <c r="AU19" s="98"/>
    </row>
    <row r="20" spans="2:52">
      <c r="B20" s="60">
        <v>45066</v>
      </c>
      <c r="C20" s="62" t="s">
        <v>306</v>
      </c>
      <c r="D20" s="79" t="s">
        <v>55</v>
      </c>
      <c r="E20" s="56">
        <v>29.7</v>
      </c>
      <c r="F20" s="76" t="s">
        <v>65</v>
      </c>
      <c r="G20" s="77">
        <f t="shared" si="3"/>
        <v>0</v>
      </c>
      <c r="H20" s="78">
        <f t="shared" si="4"/>
        <v>29.7</v>
      </c>
      <c r="I20" s="481"/>
      <c r="J20" s="72">
        <f t="shared" si="19"/>
        <v>0</v>
      </c>
      <c r="K20" s="72">
        <f t="shared" si="20"/>
        <v>0</v>
      </c>
      <c r="L20" s="72">
        <f t="shared" si="21"/>
        <v>0</v>
      </c>
      <c r="M20" s="72">
        <f t="shared" si="22"/>
        <v>0</v>
      </c>
      <c r="N20" s="72">
        <f t="shared" si="23"/>
        <v>0</v>
      </c>
      <c r="O20" s="72">
        <f t="shared" si="24"/>
        <v>0</v>
      </c>
      <c r="P20" s="72">
        <f t="shared" si="25"/>
        <v>0</v>
      </c>
      <c r="Q20" s="72">
        <f t="shared" si="26"/>
        <v>0</v>
      </c>
      <c r="R20" s="72">
        <f t="shared" si="27"/>
        <v>0</v>
      </c>
      <c r="S20" s="72">
        <f t="shared" si="28"/>
        <v>29.7</v>
      </c>
      <c r="T20" s="72">
        <f t="shared" si="29"/>
        <v>0</v>
      </c>
      <c r="U20" s="72">
        <f t="shared" si="30"/>
        <v>0</v>
      </c>
      <c r="V20" s="72">
        <f t="shared" si="5"/>
        <v>0</v>
      </c>
      <c r="W20" s="72">
        <f t="shared" si="5"/>
        <v>0</v>
      </c>
      <c r="X20" s="72">
        <f t="shared" si="5"/>
        <v>0</v>
      </c>
      <c r="Z20" s="72">
        <f t="shared" si="6"/>
        <v>0</v>
      </c>
      <c r="AA20" s="72">
        <f t="shared" si="7"/>
        <v>0</v>
      </c>
      <c r="AB20" s="72">
        <f t="shared" si="8"/>
        <v>0</v>
      </c>
      <c r="AC20" s="72">
        <f t="shared" si="9"/>
        <v>0</v>
      </c>
      <c r="AD20" s="72">
        <f t="shared" si="10"/>
        <v>0</v>
      </c>
      <c r="AE20" s="72">
        <f t="shared" si="11"/>
        <v>0</v>
      </c>
      <c r="AF20" s="72">
        <f t="shared" si="12"/>
        <v>0</v>
      </c>
      <c r="AG20" s="72">
        <f t="shared" si="13"/>
        <v>0</v>
      </c>
      <c r="AH20" s="72">
        <f t="shared" si="14"/>
        <v>0</v>
      </c>
      <c r="AI20" s="72">
        <f t="shared" si="15"/>
        <v>0</v>
      </c>
      <c r="AJ20" s="72">
        <f t="shared" si="16"/>
        <v>0</v>
      </c>
      <c r="AK20" s="72">
        <f t="shared" si="17"/>
        <v>0</v>
      </c>
      <c r="AL20" s="72">
        <f t="shared" si="18"/>
        <v>0</v>
      </c>
      <c r="AM20" s="72">
        <f t="shared" si="18"/>
        <v>0</v>
      </c>
      <c r="AN20" s="72">
        <f t="shared" si="18"/>
        <v>0</v>
      </c>
    </row>
    <row r="21" spans="2:52">
      <c r="B21" s="60">
        <v>45073</v>
      </c>
      <c r="C21" s="62" t="s">
        <v>480</v>
      </c>
      <c r="D21" s="79" t="s">
        <v>268</v>
      </c>
      <c r="E21" s="56">
        <v>23.75</v>
      </c>
      <c r="F21" s="76" t="s">
        <v>65</v>
      </c>
      <c r="G21" s="77">
        <f t="shared" ref="G21" si="33">IF(F21="MARCIA",E21,IF(F21="AMBOS",E21/2,0))</f>
        <v>0</v>
      </c>
      <c r="H21" s="78">
        <f t="shared" ref="H21" si="34">IF(F21="LUCIANO",E21,IF(F21="AMBOS",E21/2,0))</f>
        <v>23.75</v>
      </c>
      <c r="I21" s="481"/>
      <c r="J21" s="72">
        <f t="shared" si="19"/>
        <v>0</v>
      </c>
      <c r="K21" s="72">
        <f t="shared" si="20"/>
        <v>0</v>
      </c>
      <c r="L21" s="72">
        <f t="shared" si="21"/>
        <v>0</v>
      </c>
      <c r="M21" s="72">
        <f t="shared" si="22"/>
        <v>0</v>
      </c>
      <c r="N21" s="72">
        <f t="shared" si="23"/>
        <v>0</v>
      </c>
      <c r="O21" s="72">
        <f t="shared" si="24"/>
        <v>0</v>
      </c>
      <c r="P21" s="72">
        <f t="shared" si="25"/>
        <v>0</v>
      </c>
      <c r="Q21" s="72">
        <f t="shared" si="26"/>
        <v>0</v>
      </c>
      <c r="R21" s="72">
        <f t="shared" si="27"/>
        <v>0</v>
      </c>
      <c r="S21" s="72">
        <f t="shared" si="28"/>
        <v>0</v>
      </c>
      <c r="T21" s="72">
        <f t="shared" si="29"/>
        <v>0</v>
      </c>
      <c r="U21" s="72">
        <f t="shared" si="30"/>
        <v>0</v>
      </c>
      <c r="V21" s="72">
        <f t="shared" si="5"/>
        <v>0</v>
      </c>
      <c r="W21" s="72">
        <f t="shared" si="5"/>
        <v>23.75</v>
      </c>
      <c r="X21" s="72">
        <f t="shared" si="5"/>
        <v>0</v>
      </c>
      <c r="Z21" s="72">
        <f t="shared" si="6"/>
        <v>0</v>
      </c>
      <c r="AA21" s="72">
        <f t="shared" si="7"/>
        <v>0</v>
      </c>
      <c r="AB21" s="72">
        <f t="shared" si="8"/>
        <v>0</v>
      </c>
      <c r="AC21" s="72">
        <f t="shared" si="9"/>
        <v>0</v>
      </c>
      <c r="AD21" s="72">
        <f t="shared" si="10"/>
        <v>0</v>
      </c>
      <c r="AE21" s="72">
        <f t="shared" si="11"/>
        <v>0</v>
      </c>
      <c r="AF21" s="72">
        <f t="shared" si="12"/>
        <v>0</v>
      </c>
      <c r="AG21" s="72">
        <f t="shared" si="13"/>
        <v>0</v>
      </c>
      <c r="AH21" s="72">
        <f t="shared" si="14"/>
        <v>0</v>
      </c>
      <c r="AI21" s="72">
        <f t="shared" si="15"/>
        <v>0</v>
      </c>
      <c r="AJ21" s="72">
        <f t="shared" si="16"/>
        <v>0</v>
      </c>
      <c r="AK21" s="72">
        <f t="shared" si="17"/>
        <v>0</v>
      </c>
      <c r="AL21" s="72">
        <f t="shared" si="18"/>
        <v>0</v>
      </c>
      <c r="AM21" s="72">
        <f t="shared" si="18"/>
        <v>0</v>
      </c>
      <c r="AN21" s="72">
        <f t="shared" si="18"/>
        <v>0</v>
      </c>
    </row>
    <row r="22" spans="2:52">
      <c r="B22" s="60">
        <v>45073</v>
      </c>
      <c r="C22" s="62" t="s">
        <v>481</v>
      </c>
      <c r="D22" s="79" t="s">
        <v>57</v>
      </c>
      <c r="E22" s="56">
        <v>49.42</v>
      </c>
      <c r="F22" s="76" t="s">
        <v>65</v>
      </c>
      <c r="G22" s="77">
        <f t="shared" si="3"/>
        <v>0</v>
      </c>
      <c r="H22" s="78">
        <f t="shared" si="4"/>
        <v>49.42</v>
      </c>
      <c r="I22" s="482"/>
      <c r="J22" s="72">
        <f t="shared" si="19"/>
        <v>49.42</v>
      </c>
      <c r="K22" s="72">
        <f t="shared" si="20"/>
        <v>0</v>
      </c>
      <c r="L22" s="72">
        <f t="shared" si="21"/>
        <v>0</v>
      </c>
      <c r="M22" s="72">
        <f t="shared" si="22"/>
        <v>0</v>
      </c>
      <c r="N22" s="72">
        <f t="shared" si="23"/>
        <v>0</v>
      </c>
      <c r="O22" s="72">
        <f t="shared" si="24"/>
        <v>0</v>
      </c>
      <c r="P22" s="72">
        <f t="shared" si="25"/>
        <v>0</v>
      </c>
      <c r="Q22" s="72">
        <f t="shared" si="26"/>
        <v>0</v>
      </c>
      <c r="R22" s="72">
        <f t="shared" si="27"/>
        <v>0</v>
      </c>
      <c r="S22" s="72">
        <f t="shared" si="28"/>
        <v>0</v>
      </c>
      <c r="T22" s="72">
        <f t="shared" si="29"/>
        <v>0</v>
      </c>
      <c r="U22" s="72">
        <f t="shared" si="30"/>
        <v>0</v>
      </c>
      <c r="V22" s="72">
        <f t="shared" si="5"/>
        <v>0</v>
      </c>
      <c r="W22" s="72">
        <f t="shared" si="5"/>
        <v>0</v>
      </c>
      <c r="X22" s="72">
        <f t="shared" si="5"/>
        <v>0</v>
      </c>
      <c r="Y22" s="61"/>
      <c r="Z22" s="72">
        <f t="shared" si="6"/>
        <v>0</v>
      </c>
      <c r="AA22" s="72">
        <f t="shared" si="7"/>
        <v>0</v>
      </c>
      <c r="AB22" s="72">
        <f t="shared" si="8"/>
        <v>0</v>
      </c>
      <c r="AC22" s="72">
        <f t="shared" si="9"/>
        <v>0</v>
      </c>
      <c r="AD22" s="72">
        <f t="shared" si="10"/>
        <v>0</v>
      </c>
      <c r="AE22" s="72">
        <f t="shared" si="11"/>
        <v>0</v>
      </c>
      <c r="AF22" s="72">
        <f t="shared" si="12"/>
        <v>0</v>
      </c>
      <c r="AG22" s="72">
        <f t="shared" si="13"/>
        <v>0</v>
      </c>
      <c r="AH22" s="72">
        <f t="shared" si="14"/>
        <v>0</v>
      </c>
      <c r="AI22" s="72">
        <f t="shared" si="15"/>
        <v>0</v>
      </c>
      <c r="AJ22" s="72">
        <f t="shared" si="16"/>
        <v>0</v>
      </c>
      <c r="AK22" s="72">
        <f t="shared" si="17"/>
        <v>0</v>
      </c>
      <c r="AL22" s="72">
        <f t="shared" si="18"/>
        <v>0</v>
      </c>
      <c r="AM22" s="72">
        <f t="shared" si="18"/>
        <v>0</v>
      </c>
      <c r="AN22" s="72">
        <f t="shared" si="18"/>
        <v>0</v>
      </c>
      <c r="AO22" s="61"/>
      <c r="AP22" s="61"/>
    </row>
    <row r="23" spans="2:52" ht="17.25" thickBot="1">
      <c r="B23" s="60">
        <v>45076</v>
      </c>
      <c r="C23" s="62" t="s">
        <v>482</v>
      </c>
      <c r="D23" s="79" t="s">
        <v>54</v>
      </c>
      <c r="E23" s="56">
        <v>167.98</v>
      </c>
      <c r="F23" s="76" t="s">
        <v>65</v>
      </c>
      <c r="G23" s="77">
        <f t="shared" si="3"/>
        <v>0</v>
      </c>
      <c r="H23" s="78">
        <f t="shared" si="4"/>
        <v>167.98</v>
      </c>
      <c r="I23" s="481"/>
      <c r="J23" s="72">
        <f t="shared" si="19"/>
        <v>0</v>
      </c>
      <c r="K23" s="72">
        <f t="shared" si="20"/>
        <v>0</v>
      </c>
      <c r="L23" s="72">
        <f t="shared" si="21"/>
        <v>0</v>
      </c>
      <c r="M23" s="72">
        <f t="shared" si="22"/>
        <v>0</v>
      </c>
      <c r="N23" s="72">
        <f t="shared" si="23"/>
        <v>0</v>
      </c>
      <c r="O23" s="72">
        <f t="shared" si="24"/>
        <v>0</v>
      </c>
      <c r="P23" s="72">
        <f t="shared" si="25"/>
        <v>167.98</v>
      </c>
      <c r="Q23" s="72">
        <f t="shared" si="26"/>
        <v>0</v>
      </c>
      <c r="R23" s="72">
        <f t="shared" si="27"/>
        <v>0</v>
      </c>
      <c r="S23" s="72">
        <f t="shared" si="28"/>
        <v>0</v>
      </c>
      <c r="T23" s="72">
        <f t="shared" si="29"/>
        <v>0</v>
      </c>
      <c r="U23" s="72">
        <f t="shared" si="30"/>
        <v>0</v>
      </c>
      <c r="V23" s="72">
        <f t="shared" si="5"/>
        <v>0</v>
      </c>
      <c r="W23" s="72">
        <f t="shared" si="5"/>
        <v>0</v>
      </c>
      <c r="X23" s="72">
        <f t="shared" si="5"/>
        <v>0</v>
      </c>
      <c r="Z23" s="72">
        <f t="shared" si="6"/>
        <v>0</v>
      </c>
      <c r="AA23" s="72">
        <f t="shared" si="7"/>
        <v>0</v>
      </c>
      <c r="AB23" s="72">
        <f t="shared" si="8"/>
        <v>0</v>
      </c>
      <c r="AC23" s="72">
        <f t="shared" si="9"/>
        <v>0</v>
      </c>
      <c r="AD23" s="72">
        <f t="shared" si="10"/>
        <v>0</v>
      </c>
      <c r="AE23" s="72">
        <f t="shared" si="11"/>
        <v>0</v>
      </c>
      <c r="AF23" s="72">
        <f t="shared" si="12"/>
        <v>0</v>
      </c>
      <c r="AG23" s="72">
        <f t="shared" si="13"/>
        <v>0</v>
      </c>
      <c r="AH23" s="72">
        <f t="shared" si="14"/>
        <v>0</v>
      </c>
      <c r="AI23" s="72">
        <f t="shared" si="15"/>
        <v>0</v>
      </c>
      <c r="AJ23" s="72">
        <f t="shared" si="16"/>
        <v>0</v>
      </c>
      <c r="AK23" s="72">
        <f t="shared" si="17"/>
        <v>0</v>
      </c>
      <c r="AL23" s="72">
        <f t="shared" si="18"/>
        <v>0</v>
      </c>
      <c r="AM23" s="72">
        <f t="shared" si="18"/>
        <v>0</v>
      </c>
      <c r="AN23" s="72">
        <f t="shared" si="18"/>
        <v>0</v>
      </c>
      <c r="AV23" s="864" t="s">
        <v>134</v>
      </c>
      <c r="AW23" s="864"/>
      <c r="AY23" s="866" t="s">
        <v>133</v>
      </c>
      <c r="AZ23" s="866"/>
    </row>
    <row r="24" spans="2:52">
      <c r="B24" s="60">
        <v>45080</v>
      </c>
      <c r="C24" s="62" t="s">
        <v>498</v>
      </c>
      <c r="D24" s="79" t="s">
        <v>51</v>
      </c>
      <c r="E24" s="56">
        <v>184.5</v>
      </c>
      <c r="F24" s="76" t="s">
        <v>66</v>
      </c>
      <c r="G24" s="77">
        <f t="shared" si="3"/>
        <v>92.25</v>
      </c>
      <c r="H24" s="78">
        <f t="shared" si="4"/>
        <v>92.25</v>
      </c>
      <c r="I24" s="481"/>
      <c r="J24" s="72">
        <f t="shared" si="19"/>
        <v>0</v>
      </c>
      <c r="K24" s="72">
        <f t="shared" si="20"/>
        <v>92.25</v>
      </c>
      <c r="L24" s="72">
        <f t="shared" si="21"/>
        <v>0</v>
      </c>
      <c r="M24" s="72">
        <f t="shared" si="22"/>
        <v>0</v>
      </c>
      <c r="N24" s="72">
        <f t="shared" si="23"/>
        <v>0</v>
      </c>
      <c r="O24" s="72">
        <f t="shared" si="24"/>
        <v>0</v>
      </c>
      <c r="P24" s="72">
        <f t="shared" si="25"/>
        <v>0</v>
      </c>
      <c r="Q24" s="72">
        <f t="shared" si="26"/>
        <v>0</v>
      </c>
      <c r="R24" s="72">
        <f t="shared" si="27"/>
        <v>0</v>
      </c>
      <c r="S24" s="72">
        <f t="shared" si="28"/>
        <v>0</v>
      </c>
      <c r="T24" s="72">
        <f t="shared" si="29"/>
        <v>0</v>
      </c>
      <c r="U24" s="72">
        <f t="shared" si="30"/>
        <v>0</v>
      </c>
      <c r="V24" s="72">
        <f t="shared" si="5"/>
        <v>0</v>
      </c>
      <c r="W24" s="72">
        <f t="shared" si="5"/>
        <v>0</v>
      </c>
      <c r="X24" s="72">
        <f t="shared" si="5"/>
        <v>0</v>
      </c>
      <c r="Z24" s="72">
        <f t="shared" si="6"/>
        <v>0</v>
      </c>
      <c r="AA24" s="72">
        <f t="shared" si="7"/>
        <v>92.25</v>
      </c>
      <c r="AB24" s="72">
        <f t="shared" si="8"/>
        <v>0</v>
      </c>
      <c r="AC24" s="72">
        <f t="shared" si="9"/>
        <v>0</v>
      </c>
      <c r="AD24" s="72">
        <f t="shared" si="10"/>
        <v>0</v>
      </c>
      <c r="AE24" s="72">
        <f t="shared" si="11"/>
        <v>0</v>
      </c>
      <c r="AF24" s="72">
        <f t="shared" si="12"/>
        <v>0</v>
      </c>
      <c r="AG24" s="72">
        <f t="shared" si="13"/>
        <v>0</v>
      </c>
      <c r="AH24" s="72">
        <f t="shared" si="14"/>
        <v>0</v>
      </c>
      <c r="AI24" s="72">
        <f t="shared" si="15"/>
        <v>0</v>
      </c>
      <c r="AJ24" s="72">
        <f t="shared" si="16"/>
        <v>0</v>
      </c>
      <c r="AK24" s="72">
        <f t="shared" si="17"/>
        <v>0</v>
      </c>
      <c r="AL24" s="72">
        <f t="shared" si="18"/>
        <v>0</v>
      </c>
      <c r="AM24" s="72">
        <f t="shared" si="18"/>
        <v>0</v>
      </c>
      <c r="AN24" s="72">
        <f t="shared" si="18"/>
        <v>0</v>
      </c>
      <c r="AP24" s="491"/>
      <c r="AQ24" s="487" t="s">
        <v>350</v>
      </c>
      <c r="AR24" s="494">
        <f>AR17</f>
        <v>1895.6299999999999</v>
      </c>
      <c r="AV24" s="112" t="s">
        <v>75</v>
      </c>
      <c r="AW24" s="1">
        <v>122.45</v>
      </c>
      <c r="AY24" s="502" t="s">
        <v>130</v>
      </c>
      <c r="AZ24" s="503">
        <f>AS17</f>
        <v>217.42500000000001</v>
      </c>
    </row>
    <row r="25" spans="2:52">
      <c r="B25" s="60">
        <v>45084</v>
      </c>
      <c r="C25" s="62" t="s">
        <v>499</v>
      </c>
      <c r="D25" s="79" t="s">
        <v>55</v>
      </c>
      <c r="E25" s="56">
        <v>18.899999999999999</v>
      </c>
      <c r="F25" s="76" t="s">
        <v>65</v>
      </c>
      <c r="G25" s="77">
        <f t="shared" si="3"/>
        <v>0</v>
      </c>
      <c r="H25" s="78">
        <f t="shared" si="4"/>
        <v>18.899999999999999</v>
      </c>
      <c r="I25" s="481"/>
      <c r="J25" s="72">
        <f t="shared" si="19"/>
        <v>0</v>
      </c>
      <c r="K25" s="72">
        <f t="shared" si="20"/>
        <v>0</v>
      </c>
      <c r="L25" s="72">
        <f t="shared" si="21"/>
        <v>0</v>
      </c>
      <c r="M25" s="72">
        <f t="shared" si="22"/>
        <v>0</v>
      </c>
      <c r="N25" s="72">
        <f t="shared" si="23"/>
        <v>0</v>
      </c>
      <c r="O25" s="72">
        <f t="shared" si="24"/>
        <v>0</v>
      </c>
      <c r="P25" s="72">
        <f t="shared" si="25"/>
        <v>0</v>
      </c>
      <c r="Q25" s="72">
        <f t="shared" si="26"/>
        <v>0</v>
      </c>
      <c r="R25" s="72">
        <f t="shared" si="27"/>
        <v>0</v>
      </c>
      <c r="S25" s="72">
        <f t="shared" si="28"/>
        <v>18.899999999999999</v>
      </c>
      <c r="T25" s="72">
        <f t="shared" si="29"/>
        <v>0</v>
      </c>
      <c r="U25" s="72">
        <f t="shared" si="30"/>
        <v>0</v>
      </c>
      <c r="V25" s="72">
        <f t="shared" si="5"/>
        <v>0</v>
      </c>
      <c r="W25" s="72">
        <f t="shared" si="5"/>
        <v>0</v>
      </c>
      <c r="X25" s="72">
        <f t="shared" si="5"/>
        <v>0</v>
      </c>
      <c r="Z25" s="72">
        <f t="shared" si="6"/>
        <v>0</v>
      </c>
      <c r="AA25" s="72">
        <f t="shared" si="7"/>
        <v>0</v>
      </c>
      <c r="AB25" s="72">
        <f t="shared" si="8"/>
        <v>0</v>
      </c>
      <c r="AC25" s="72">
        <f t="shared" si="9"/>
        <v>0</v>
      </c>
      <c r="AD25" s="72">
        <f t="shared" si="10"/>
        <v>0</v>
      </c>
      <c r="AE25" s="72">
        <f t="shared" si="11"/>
        <v>0</v>
      </c>
      <c r="AF25" s="72">
        <f t="shared" si="12"/>
        <v>0</v>
      </c>
      <c r="AG25" s="72">
        <f t="shared" si="13"/>
        <v>0</v>
      </c>
      <c r="AH25" s="72">
        <f t="shared" si="14"/>
        <v>0</v>
      </c>
      <c r="AI25" s="72">
        <f t="shared" si="15"/>
        <v>0</v>
      </c>
      <c r="AJ25" s="72">
        <f t="shared" si="16"/>
        <v>0</v>
      </c>
      <c r="AK25" s="72">
        <f t="shared" si="17"/>
        <v>0</v>
      </c>
      <c r="AL25" s="72">
        <f t="shared" si="18"/>
        <v>0</v>
      </c>
      <c r="AM25" s="72">
        <f t="shared" si="18"/>
        <v>0</v>
      </c>
      <c r="AN25" s="72">
        <f t="shared" si="18"/>
        <v>0</v>
      </c>
      <c r="AP25" s="492"/>
      <c r="AQ25" s="488" t="s">
        <v>349</v>
      </c>
      <c r="AR25" s="501">
        <f>AY4+AY6</f>
        <v>175.97</v>
      </c>
      <c r="AS25" s="869" t="s">
        <v>356</v>
      </c>
      <c r="AT25" s="870"/>
      <c r="AV25" s="112" t="s">
        <v>76</v>
      </c>
      <c r="AW25" s="1">
        <v>218.37</v>
      </c>
      <c r="AY25" s="502" t="s">
        <v>131</v>
      </c>
      <c r="AZ25" s="504">
        <f>AR27</f>
        <v>40.96</v>
      </c>
    </row>
    <row r="26" spans="2:52">
      <c r="B26" s="60">
        <v>45087</v>
      </c>
      <c r="C26" s="62" t="s">
        <v>500</v>
      </c>
      <c r="D26" s="79" t="s">
        <v>57</v>
      </c>
      <c r="E26" s="56">
        <v>16.5</v>
      </c>
      <c r="F26" s="76" t="s">
        <v>65</v>
      </c>
      <c r="G26" s="77">
        <f t="shared" si="3"/>
        <v>0</v>
      </c>
      <c r="H26" s="78">
        <f t="shared" si="4"/>
        <v>16.5</v>
      </c>
      <c r="I26" s="481"/>
      <c r="J26" s="72">
        <f t="shared" si="19"/>
        <v>16.5</v>
      </c>
      <c r="K26" s="72">
        <f t="shared" si="20"/>
        <v>0</v>
      </c>
      <c r="L26" s="72">
        <f t="shared" si="21"/>
        <v>0</v>
      </c>
      <c r="M26" s="72">
        <f t="shared" si="22"/>
        <v>0</v>
      </c>
      <c r="N26" s="72">
        <f t="shared" si="23"/>
        <v>0</v>
      </c>
      <c r="O26" s="72">
        <f t="shared" si="24"/>
        <v>0</v>
      </c>
      <c r="P26" s="72">
        <f t="shared" si="25"/>
        <v>0</v>
      </c>
      <c r="Q26" s="72">
        <f t="shared" si="26"/>
        <v>0</v>
      </c>
      <c r="R26" s="72">
        <f t="shared" si="27"/>
        <v>0</v>
      </c>
      <c r="S26" s="72">
        <f t="shared" si="28"/>
        <v>0</v>
      </c>
      <c r="T26" s="72">
        <f t="shared" si="29"/>
        <v>0</v>
      </c>
      <c r="U26" s="72">
        <f t="shared" si="30"/>
        <v>0</v>
      </c>
      <c r="V26" s="72">
        <f t="shared" si="5"/>
        <v>0</v>
      </c>
      <c r="W26" s="72">
        <f t="shared" si="5"/>
        <v>0</v>
      </c>
      <c r="X26" s="72">
        <f t="shared" si="5"/>
        <v>0</v>
      </c>
      <c r="Z26" s="72">
        <f t="shared" si="6"/>
        <v>0</v>
      </c>
      <c r="AA26" s="72">
        <f t="shared" si="7"/>
        <v>0</v>
      </c>
      <c r="AB26" s="72">
        <f t="shared" si="8"/>
        <v>0</v>
      </c>
      <c r="AC26" s="72">
        <f t="shared" si="9"/>
        <v>0</v>
      </c>
      <c r="AD26" s="72">
        <f t="shared" si="10"/>
        <v>0</v>
      </c>
      <c r="AE26" s="72">
        <f t="shared" si="11"/>
        <v>0</v>
      </c>
      <c r="AF26" s="72">
        <f t="shared" si="12"/>
        <v>0</v>
      </c>
      <c r="AG26" s="72">
        <f t="shared" si="13"/>
        <v>0</v>
      </c>
      <c r="AH26" s="72">
        <f t="shared" si="14"/>
        <v>0</v>
      </c>
      <c r="AI26" s="72">
        <f t="shared" si="15"/>
        <v>0</v>
      </c>
      <c r="AJ26" s="72">
        <f t="shared" si="16"/>
        <v>0</v>
      </c>
      <c r="AK26" s="72">
        <f t="shared" si="17"/>
        <v>0</v>
      </c>
      <c r="AL26" s="72">
        <f t="shared" si="18"/>
        <v>0</v>
      </c>
      <c r="AM26" s="72">
        <f t="shared" si="18"/>
        <v>0</v>
      </c>
      <c r="AN26" s="72">
        <f t="shared" si="18"/>
        <v>0</v>
      </c>
      <c r="AP26" s="492"/>
      <c r="AQ26" s="488" t="s">
        <v>353</v>
      </c>
      <c r="AR26" s="495">
        <f>AR24-AR25</f>
        <v>1719.6599999999999</v>
      </c>
      <c r="AV26" s="112" t="s">
        <v>77</v>
      </c>
      <c r="AW26" s="1">
        <v>700</v>
      </c>
      <c r="AY26" s="502" t="s">
        <v>134</v>
      </c>
      <c r="AZ26" s="505">
        <f>AW31</f>
        <v>627.46499999999992</v>
      </c>
    </row>
    <row r="27" spans="2:52">
      <c r="B27" s="60">
        <v>45087</v>
      </c>
      <c r="C27" s="62" t="s">
        <v>501</v>
      </c>
      <c r="D27" s="79" t="s">
        <v>120</v>
      </c>
      <c r="E27" s="56">
        <v>45</v>
      </c>
      <c r="F27" s="76" t="s">
        <v>65</v>
      </c>
      <c r="G27" s="77">
        <f t="shared" si="3"/>
        <v>0</v>
      </c>
      <c r="H27" s="78">
        <f t="shared" si="4"/>
        <v>45</v>
      </c>
      <c r="I27" s="481"/>
      <c r="J27" s="72">
        <f t="shared" si="19"/>
        <v>0</v>
      </c>
      <c r="K27" s="72">
        <f t="shared" si="20"/>
        <v>0</v>
      </c>
      <c r="L27" s="72">
        <f t="shared" si="21"/>
        <v>45</v>
      </c>
      <c r="M27" s="72">
        <f t="shared" si="22"/>
        <v>0</v>
      </c>
      <c r="N27" s="72">
        <f t="shared" si="23"/>
        <v>0</v>
      </c>
      <c r="O27" s="72">
        <f t="shared" si="24"/>
        <v>0</v>
      </c>
      <c r="P27" s="72">
        <f t="shared" si="25"/>
        <v>0</v>
      </c>
      <c r="Q27" s="72">
        <f t="shared" si="26"/>
        <v>0</v>
      </c>
      <c r="R27" s="72">
        <f t="shared" si="27"/>
        <v>0</v>
      </c>
      <c r="S27" s="72">
        <f t="shared" si="28"/>
        <v>0</v>
      </c>
      <c r="T27" s="72">
        <f t="shared" si="29"/>
        <v>0</v>
      </c>
      <c r="U27" s="72">
        <f t="shared" si="30"/>
        <v>0</v>
      </c>
      <c r="V27" s="72">
        <f t="shared" si="5"/>
        <v>0</v>
      </c>
      <c r="W27" s="72">
        <f t="shared" si="5"/>
        <v>0</v>
      </c>
      <c r="X27" s="72">
        <f t="shared" si="5"/>
        <v>0</v>
      </c>
      <c r="Z27" s="72">
        <f t="shared" si="6"/>
        <v>0</v>
      </c>
      <c r="AA27" s="72">
        <f t="shared" si="7"/>
        <v>0</v>
      </c>
      <c r="AB27" s="72">
        <f t="shared" si="8"/>
        <v>0</v>
      </c>
      <c r="AC27" s="72">
        <f t="shared" si="9"/>
        <v>0</v>
      </c>
      <c r="AD27" s="72">
        <f t="shared" si="10"/>
        <v>0</v>
      </c>
      <c r="AE27" s="72">
        <f t="shared" si="11"/>
        <v>0</v>
      </c>
      <c r="AF27" s="72">
        <f t="shared" si="12"/>
        <v>0</v>
      </c>
      <c r="AG27" s="72">
        <f t="shared" si="13"/>
        <v>0</v>
      </c>
      <c r="AH27" s="72">
        <f t="shared" si="14"/>
        <v>0</v>
      </c>
      <c r="AI27" s="72">
        <f t="shared" si="15"/>
        <v>0</v>
      </c>
      <c r="AJ27" s="72">
        <f t="shared" si="16"/>
        <v>0</v>
      </c>
      <c r="AK27" s="72">
        <f t="shared" si="17"/>
        <v>0</v>
      </c>
      <c r="AL27" s="72">
        <f t="shared" si="18"/>
        <v>0</v>
      </c>
      <c r="AM27" s="72">
        <f t="shared" si="18"/>
        <v>0</v>
      </c>
      <c r="AN27" s="72">
        <f t="shared" si="18"/>
        <v>0</v>
      </c>
      <c r="AP27" s="492"/>
      <c r="AQ27" s="489" t="s">
        <v>351</v>
      </c>
      <c r="AR27" s="486">
        <v>40.96</v>
      </c>
      <c r="AS27" s="867" t="s">
        <v>357</v>
      </c>
      <c r="AT27" s="868"/>
      <c r="AV27" s="112" t="s">
        <v>78</v>
      </c>
      <c r="AW27" s="54">
        <v>214.11</v>
      </c>
      <c r="AY27" s="502" t="s">
        <v>355</v>
      </c>
      <c r="AZ27" s="165">
        <f>149.5/2</f>
        <v>74.75</v>
      </c>
    </row>
    <row r="28" spans="2:52" ht="17.25" thickBot="1">
      <c r="B28" s="871" t="s">
        <v>267</v>
      </c>
      <c r="C28" s="872"/>
      <c r="D28" s="872"/>
      <c r="E28" s="872"/>
      <c r="F28" s="872"/>
      <c r="G28" s="872"/>
      <c r="H28" s="873"/>
      <c r="I28" s="481"/>
      <c r="J28" s="72">
        <f t="shared" si="19"/>
        <v>0</v>
      </c>
      <c r="K28" s="72">
        <f t="shared" si="20"/>
        <v>0</v>
      </c>
      <c r="L28" s="72">
        <f t="shared" si="21"/>
        <v>0</v>
      </c>
      <c r="M28" s="72">
        <f t="shared" si="22"/>
        <v>0</v>
      </c>
      <c r="N28" s="72">
        <f t="shared" si="23"/>
        <v>0</v>
      </c>
      <c r="O28" s="72">
        <f t="shared" si="24"/>
        <v>0</v>
      </c>
      <c r="P28" s="72">
        <f t="shared" si="25"/>
        <v>0</v>
      </c>
      <c r="Q28" s="72">
        <f t="shared" si="26"/>
        <v>0</v>
      </c>
      <c r="R28" s="72">
        <f t="shared" si="27"/>
        <v>0</v>
      </c>
      <c r="S28" s="72">
        <f t="shared" si="28"/>
        <v>0</v>
      </c>
      <c r="T28" s="72">
        <f t="shared" si="29"/>
        <v>0</v>
      </c>
      <c r="U28" s="72">
        <f t="shared" si="30"/>
        <v>0</v>
      </c>
      <c r="V28" s="72">
        <f t="shared" si="5"/>
        <v>0</v>
      </c>
      <c r="W28" s="72">
        <f t="shared" si="5"/>
        <v>0</v>
      </c>
      <c r="X28" s="72">
        <f t="shared" si="5"/>
        <v>0</v>
      </c>
      <c r="Z28" s="72">
        <f t="shared" si="6"/>
        <v>0</v>
      </c>
      <c r="AA28" s="72">
        <f t="shared" si="7"/>
        <v>0</v>
      </c>
      <c r="AB28" s="72">
        <f t="shared" si="8"/>
        <v>0</v>
      </c>
      <c r="AC28" s="72">
        <f t="shared" si="9"/>
        <v>0</v>
      </c>
      <c r="AD28" s="72">
        <f t="shared" si="10"/>
        <v>0</v>
      </c>
      <c r="AE28" s="72">
        <f t="shared" si="11"/>
        <v>0</v>
      </c>
      <c r="AF28" s="72">
        <f t="shared" si="12"/>
        <v>0</v>
      </c>
      <c r="AG28" s="72">
        <f t="shared" si="13"/>
        <v>0</v>
      </c>
      <c r="AH28" s="72">
        <f t="shared" si="14"/>
        <v>0</v>
      </c>
      <c r="AI28" s="72">
        <f t="shared" si="15"/>
        <v>0</v>
      </c>
      <c r="AJ28" s="72">
        <f t="shared" si="16"/>
        <v>0</v>
      </c>
      <c r="AK28" s="72">
        <f t="shared" si="17"/>
        <v>0</v>
      </c>
      <c r="AL28" s="72">
        <f t="shared" si="18"/>
        <v>0</v>
      </c>
      <c r="AM28" s="72">
        <f t="shared" si="18"/>
        <v>0</v>
      </c>
      <c r="AN28" s="72">
        <f t="shared" si="18"/>
        <v>0</v>
      </c>
      <c r="AP28" s="493"/>
      <c r="AQ28" s="490" t="s">
        <v>352</v>
      </c>
      <c r="AR28" s="500">
        <f>AR27+AR26</f>
        <v>1760.62</v>
      </c>
      <c r="AS28" s="867"/>
      <c r="AT28" s="868"/>
      <c r="AV28" s="112" t="s">
        <v>45</v>
      </c>
      <c r="AW28" s="1">
        <f>+SUM(AW24:AW27)</f>
        <v>1254.9299999999998</v>
      </c>
      <c r="AY28" s="502" t="s">
        <v>45</v>
      </c>
      <c r="AZ28" s="166">
        <f>AZ24+AZ25+AZ26-AZ27</f>
        <v>811.09999999999991</v>
      </c>
    </row>
    <row r="29" spans="2:52">
      <c r="B29" s="874"/>
      <c r="C29" s="875"/>
      <c r="D29" s="875"/>
      <c r="E29" s="875"/>
      <c r="F29" s="875"/>
      <c r="G29" s="875"/>
      <c r="H29" s="876"/>
      <c r="I29" s="481"/>
      <c r="J29" s="72">
        <f t="shared" si="19"/>
        <v>0</v>
      </c>
      <c r="K29" s="72">
        <f t="shared" si="20"/>
        <v>0</v>
      </c>
      <c r="L29" s="72">
        <f t="shared" si="21"/>
        <v>0</v>
      </c>
      <c r="M29" s="72">
        <f t="shared" si="22"/>
        <v>0</v>
      </c>
      <c r="N29" s="72">
        <f t="shared" si="23"/>
        <v>0</v>
      </c>
      <c r="O29" s="72">
        <f t="shared" si="24"/>
        <v>0</v>
      </c>
      <c r="P29" s="72">
        <f t="shared" si="25"/>
        <v>0</v>
      </c>
      <c r="Q29" s="72">
        <f t="shared" si="26"/>
        <v>0</v>
      </c>
      <c r="R29" s="72">
        <f t="shared" si="27"/>
        <v>0</v>
      </c>
      <c r="S29" s="72">
        <f t="shared" si="28"/>
        <v>0</v>
      </c>
      <c r="T29" s="72">
        <f t="shared" si="29"/>
        <v>0</v>
      </c>
      <c r="U29" s="72">
        <f t="shared" si="30"/>
        <v>0</v>
      </c>
      <c r="V29" s="72">
        <f t="shared" si="5"/>
        <v>0</v>
      </c>
      <c r="W29" s="72">
        <f t="shared" si="5"/>
        <v>0</v>
      </c>
      <c r="X29" s="72">
        <f t="shared" si="5"/>
        <v>0</v>
      </c>
      <c r="Z29" s="72">
        <f t="shared" si="6"/>
        <v>0</v>
      </c>
      <c r="AA29" s="72">
        <f t="shared" si="7"/>
        <v>0</v>
      </c>
      <c r="AB29" s="72">
        <f t="shared" si="8"/>
        <v>0</v>
      </c>
      <c r="AC29" s="72">
        <f t="shared" si="9"/>
        <v>0</v>
      </c>
      <c r="AD29" s="72">
        <f t="shared" si="10"/>
        <v>0</v>
      </c>
      <c r="AE29" s="72">
        <f t="shared" si="11"/>
        <v>0</v>
      </c>
      <c r="AF29" s="72">
        <f t="shared" si="12"/>
        <v>0</v>
      </c>
      <c r="AG29" s="72">
        <f t="shared" si="13"/>
        <v>0</v>
      </c>
      <c r="AH29" s="72">
        <f t="shared" si="14"/>
        <v>0</v>
      </c>
      <c r="AI29" s="72">
        <f t="shared" si="15"/>
        <v>0</v>
      </c>
      <c r="AJ29" s="72">
        <f t="shared" si="16"/>
        <v>0</v>
      </c>
      <c r="AK29" s="72">
        <f t="shared" si="17"/>
        <v>0</v>
      </c>
      <c r="AL29" s="72">
        <f t="shared" si="18"/>
        <v>0</v>
      </c>
      <c r="AM29" s="72">
        <f t="shared" si="18"/>
        <v>0</v>
      </c>
      <c r="AN29" s="72">
        <f t="shared" si="18"/>
        <v>0</v>
      </c>
      <c r="AR29" s="59"/>
      <c r="AV29" s="112"/>
      <c r="AW29" s="1"/>
    </row>
    <row r="30" spans="2:52" ht="17.25" thickBot="1">
      <c r="B30" s="874"/>
      <c r="C30" s="875"/>
      <c r="D30" s="875"/>
      <c r="E30" s="875"/>
      <c r="F30" s="875"/>
      <c r="G30" s="875"/>
      <c r="H30" s="876"/>
      <c r="I30" s="481"/>
      <c r="J30" s="72">
        <f t="shared" si="19"/>
        <v>0</v>
      </c>
      <c r="K30" s="72">
        <f t="shared" si="20"/>
        <v>0</v>
      </c>
      <c r="L30" s="72">
        <f t="shared" si="21"/>
        <v>0</v>
      </c>
      <c r="M30" s="72">
        <f t="shared" si="22"/>
        <v>0</v>
      </c>
      <c r="N30" s="72">
        <f t="shared" si="23"/>
        <v>0</v>
      </c>
      <c r="O30" s="72">
        <f t="shared" si="24"/>
        <v>0</v>
      </c>
      <c r="P30" s="72">
        <f t="shared" si="25"/>
        <v>0</v>
      </c>
      <c r="Q30" s="72">
        <f t="shared" si="26"/>
        <v>0</v>
      </c>
      <c r="R30" s="72">
        <f t="shared" si="27"/>
        <v>0</v>
      </c>
      <c r="S30" s="72">
        <f t="shared" si="28"/>
        <v>0</v>
      </c>
      <c r="T30" s="72">
        <f t="shared" si="29"/>
        <v>0</v>
      </c>
      <c r="U30" s="72">
        <f t="shared" si="30"/>
        <v>0</v>
      </c>
      <c r="V30" s="72">
        <f t="shared" si="5"/>
        <v>0</v>
      </c>
      <c r="W30" s="72">
        <f t="shared" si="5"/>
        <v>0</v>
      </c>
      <c r="X30" s="72">
        <f t="shared" si="5"/>
        <v>0</v>
      </c>
      <c r="Z30" s="72">
        <f t="shared" si="6"/>
        <v>0</v>
      </c>
      <c r="AA30" s="72">
        <f t="shared" si="7"/>
        <v>0</v>
      </c>
      <c r="AB30" s="72">
        <f t="shared" si="8"/>
        <v>0</v>
      </c>
      <c r="AC30" s="72">
        <f t="shared" si="9"/>
        <v>0</v>
      </c>
      <c r="AD30" s="72">
        <f t="shared" si="10"/>
        <v>0</v>
      </c>
      <c r="AE30" s="72">
        <f t="shared" si="11"/>
        <v>0</v>
      </c>
      <c r="AF30" s="72">
        <f t="shared" si="12"/>
        <v>0</v>
      </c>
      <c r="AG30" s="72">
        <f t="shared" si="13"/>
        <v>0</v>
      </c>
      <c r="AH30" s="72">
        <f t="shared" si="14"/>
        <v>0</v>
      </c>
      <c r="AI30" s="72">
        <f t="shared" si="15"/>
        <v>0</v>
      </c>
      <c r="AJ30" s="72">
        <f t="shared" si="16"/>
        <v>0</v>
      </c>
      <c r="AK30" s="72">
        <f t="shared" si="17"/>
        <v>0</v>
      </c>
      <c r="AL30" s="72">
        <f t="shared" si="18"/>
        <v>0</v>
      </c>
      <c r="AM30" s="72">
        <f t="shared" si="18"/>
        <v>0</v>
      </c>
      <c r="AN30" s="72">
        <f t="shared" si="18"/>
        <v>0</v>
      </c>
      <c r="AV30" s="1"/>
      <c r="AW30" s="1"/>
      <c r="AY30" s="485" t="s">
        <v>386</v>
      </c>
      <c r="AZ30" s="509">
        <f>AZ25+AZ24-AY6</f>
        <v>141.07499999999999</v>
      </c>
    </row>
    <row r="31" spans="2:52" ht="17.25" thickBot="1">
      <c r="B31" s="874"/>
      <c r="C31" s="875"/>
      <c r="D31" s="875"/>
      <c r="E31" s="875"/>
      <c r="F31" s="875"/>
      <c r="G31" s="875"/>
      <c r="H31" s="876"/>
      <c r="I31" s="481"/>
      <c r="J31" s="72">
        <f t="shared" si="19"/>
        <v>0</v>
      </c>
      <c r="K31" s="72">
        <f t="shared" si="20"/>
        <v>0</v>
      </c>
      <c r="L31" s="72">
        <f t="shared" si="21"/>
        <v>0</v>
      </c>
      <c r="M31" s="72">
        <f t="shared" si="22"/>
        <v>0</v>
      </c>
      <c r="N31" s="72">
        <f t="shared" si="23"/>
        <v>0</v>
      </c>
      <c r="O31" s="72">
        <f t="shared" si="24"/>
        <v>0</v>
      </c>
      <c r="P31" s="72">
        <f t="shared" si="25"/>
        <v>0</v>
      </c>
      <c r="Q31" s="72">
        <f t="shared" si="26"/>
        <v>0</v>
      </c>
      <c r="R31" s="72">
        <f t="shared" si="27"/>
        <v>0</v>
      </c>
      <c r="S31" s="72">
        <f t="shared" si="28"/>
        <v>0</v>
      </c>
      <c r="T31" s="72">
        <f t="shared" si="29"/>
        <v>0</v>
      </c>
      <c r="U31" s="72">
        <f t="shared" si="30"/>
        <v>0</v>
      </c>
      <c r="V31" s="72">
        <f t="shared" si="5"/>
        <v>0</v>
      </c>
      <c r="W31" s="72">
        <f t="shared" si="5"/>
        <v>0</v>
      </c>
      <c r="X31" s="72">
        <f t="shared" si="5"/>
        <v>0</v>
      </c>
      <c r="Z31" s="72">
        <f t="shared" si="6"/>
        <v>0</v>
      </c>
      <c r="AA31" s="72">
        <f t="shared" si="7"/>
        <v>0</v>
      </c>
      <c r="AB31" s="72">
        <f t="shared" si="8"/>
        <v>0</v>
      </c>
      <c r="AC31" s="72">
        <f t="shared" si="9"/>
        <v>0</v>
      </c>
      <c r="AD31" s="72">
        <f t="shared" si="10"/>
        <v>0</v>
      </c>
      <c r="AE31" s="72">
        <f t="shared" si="11"/>
        <v>0</v>
      </c>
      <c r="AF31" s="72">
        <f t="shared" si="12"/>
        <v>0</v>
      </c>
      <c r="AG31" s="72">
        <f t="shared" si="13"/>
        <v>0</v>
      </c>
      <c r="AH31" s="72">
        <f t="shared" si="14"/>
        <v>0</v>
      </c>
      <c r="AI31" s="72">
        <f t="shared" si="15"/>
        <v>0</v>
      </c>
      <c r="AJ31" s="72">
        <f t="shared" si="16"/>
        <v>0</v>
      </c>
      <c r="AK31" s="72">
        <f t="shared" si="17"/>
        <v>0</v>
      </c>
      <c r="AL31" s="72">
        <f t="shared" si="18"/>
        <v>0</v>
      </c>
      <c r="AM31" s="72">
        <f t="shared" si="18"/>
        <v>0</v>
      </c>
      <c r="AN31" s="72">
        <f t="shared" si="18"/>
        <v>0</v>
      </c>
      <c r="AQ31" s="485" t="s">
        <v>67</v>
      </c>
      <c r="AR31" s="496">
        <f>AR27+AS17</f>
        <v>258.38499999999999</v>
      </c>
      <c r="AV31" s="112" t="s">
        <v>80</v>
      </c>
      <c r="AW31" s="113">
        <f>AW28/2</f>
        <v>627.46499999999992</v>
      </c>
    </row>
    <row r="32" spans="2:52">
      <c r="B32" s="874"/>
      <c r="C32" s="875"/>
      <c r="D32" s="875"/>
      <c r="E32" s="875"/>
      <c r="F32" s="875"/>
      <c r="G32" s="875"/>
      <c r="H32" s="876"/>
      <c r="I32" s="481"/>
      <c r="J32" s="72">
        <f t="shared" si="19"/>
        <v>0</v>
      </c>
      <c r="K32" s="72">
        <f t="shared" si="20"/>
        <v>0</v>
      </c>
      <c r="L32" s="72">
        <f t="shared" si="21"/>
        <v>0</v>
      </c>
      <c r="M32" s="72">
        <f t="shared" si="22"/>
        <v>0</v>
      </c>
      <c r="N32" s="72">
        <f t="shared" si="23"/>
        <v>0</v>
      </c>
      <c r="O32" s="72">
        <f t="shared" si="24"/>
        <v>0</v>
      </c>
      <c r="P32" s="72">
        <f t="shared" si="25"/>
        <v>0</v>
      </c>
      <c r="Q32" s="72">
        <f t="shared" si="26"/>
        <v>0</v>
      </c>
      <c r="R32" s="72">
        <f t="shared" si="27"/>
        <v>0</v>
      </c>
      <c r="S32" s="72">
        <f t="shared" si="28"/>
        <v>0</v>
      </c>
      <c r="T32" s="72">
        <f t="shared" si="29"/>
        <v>0</v>
      </c>
      <c r="U32" s="72">
        <f t="shared" si="30"/>
        <v>0</v>
      </c>
      <c r="V32" s="72">
        <f t="shared" si="5"/>
        <v>0</v>
      </c>
      <c r="W32" s="72">
        <f t="shared" si="5"/>
        <v>0</v>
      </c>
      <c r="X32" s="72">
        <f t="shared" si="5"/>
        <v>0</v>
      </c>
      <c r="Z32" s="72">
        <f t="shared" si="6"/>
        <v>0</v>
      </c>
      <c r="AA32" s="72">
        <f t="shared" si="7"/>
        <v>0</v>
      </c>
      <c r="AB32" s="72">
        <f t="shared" si="8"/>
        <v>0</v>
      </c>
      <c r="AC32" s="72">
        <f t="shared" si="9"/>
        <v>0</v>
      </c>
      <c r="AD32" s="72">
        <f t="shared" si="10"/>
        <v>0</v>
      </c>
      <c r="AE32" s="72">
        <f t="shared" si="11"/>
        <v>0</v>
      </c>
      <c r="AF32" s="72">
        <f t="shared" si="12"/>
        <v>0</v>
      </c>
      <c r="AG32" s="72">
        <f t="shared" si="13"/>
        <v>0</v>
      </c>
      <c r="AH32" s="72">
        <f t="shared" si="14"/>
        <v>0</v>
      </c>
      <c r="AI32" s="72">
        <f t="shared" si="15"/>
        <v>0</v>
      </c>
      <c r="AJ32" s="72">
        <f t="shared" si="16"/>
        <v>0</v>
      </c>
      <c r="AK32" s="72">
        <f t="shared" si="17"/>
        <v>0</v>
      </c>
      <c r="AL32" s="72">
        <f t="shared" si="18"/>
        <v>0</v>
      </c>
      <c r="AM32" s="72">
        <f t="shared" si="18"/>
        <v>0</v>
      </c>
      <c r="AN32" s="72">
        <f t="shared" si="18"/>
        <v>0</v>
      </c>
      <c r="AQ32" s="485" t="s">
        <v>65</v>
      </c>
      <c r="AR32" s="496">
        <f>AT17</f>
        <v>1678.2049999999999</v>
      </c>
      <c r="AY32" s="485" t="s">
        <v>389</v>
      </c>
      <c r="AZ32" s="509">
        <f>AT17-AY4</f>
        <v>1619.5449999999998</v>
      </c>
    </row>
    <row r="33" spans="2:52" ht="17.25" thickBot="1">
      <c r="B33" s="874"/>
      <c r="C33" s="875"/>
      <c r="D33" s="875"/>
      <c r="E33" s="875"/>
      <c r="F33" s="875"/>
      <c r="G33" s="875"/>
      <c r="H33" s="876"/>
      <c r="I33" s="481"/>
      <c r="J33" s="72">
        <f t="shared" si="19"/>
        <v>0</v>
      </c>
      <c r="K33" s="72">
        <f t="shared" si="20"/>
        <v>0</v>
      </c>
      <c r="L33" s="72">
        <f t="shared" si="21"/>
        <v>0</v>
      </c>
      <c r="M33" s="72">
        <f t="shared" si="22"/>
        <v>0</v>
      </c>
      <c r="N33" s="72">
        <f t="shared" si="23"/>
        <v>0</v>
      </c>
      <c r="O33" s="72">
        <f t="shared" si="24"/>
        <v>0</v>
      </c>
      <c r="P33" s="72">
        <f t="shared" si="25"/>
        <v>0</v>
      </c>
      <c r="Q33" s="72">
        <f t="shared" si="26"/>
        <v>0</v>
      </c>
      <c r="R33" s="72">
        <f t="shared" si="27"/>
        <v>0</v>
      </c>
      <c r="S33" s="72">
        <f t="shared" si="28"/>
        <v>0</v>
      </c>
      <c r="T33" s="72">
        <f t="shared" si="29"/>
        <v>0</v>
      </c>
      <c r="U33" s="72">
        <f t="shared" si="30"/>
        <v>0</v>
      </c>
      <c r="V33" s="72">
        <f t="shared" si="5"/>
        <v>0</v>
      </c>
      <c r="W33" s="72">
        <f t="shared" si="5"/>
        <v>0</v>
      </c>
      <c r="X33" s="72">
        <f t="shared" si="5"/>
        <v>0</v>
      </c>
      <c r="Z33" s="72">
        <f t="shared" si="6"/>
        <v>0</v>
      </c>
      <c r="AA33" s="72">
        <f t="shared" si="7"/>
        <v>0</v>
      </c>
      <c r="AB33" s="72">
        <f t="shared" si="8"/>
        <v>0</v>
      </c>
      <c r="AC33" s="72">
        <f t="shared" si="9"/>
        <v>0</v>
      </c>
      <c r="AD33" s="72">
        <f t="shared" si="10"/>
        <v>0</v>
      </c>
      <c r="AE33" s="72">
        <f t="shared" si="11"/>
        <v>0</v>
      </c>
      <c r="AF33" s="72">
        <f t="shared" si="12"/>
        <v>0</v>
      </c>
      <c r="AG33" s="72">
        <f t="shared" si="13"/>
        <v>0</v>
      </c>
      <c r="AH33" s="72">
        <f t="shared" si="14"/>
        <v>0</v>
      </c>
      <c r="AI33" s="72">
        <f t="shared" si="15"/>
        <v>0</v>
      </c>
      <c r="AJ33" s="72">
        <f t="shared" si="16"/>
        <v>0</v>
      </c>
      <c r="AK33" s="72">
        <f t="shared" si="17"/>
        <v>0</v>
      </c>
      <c r="AL33" s="72">
        <f t="shared" si="18"/>
        <v>0</v>
      </c>
      <c r="AM33" s="72">
        <f t="shared" si="18"/>
        <v>0</v>
      </c>
      <c r="AN33" s="72">
        <f t="shared" si="18"/>
        <v>0</v>
      </c>
      <c r="AR33" s="59"/>
    </row>
    <row r="34" spans="2:52" ht="17.25" thickBot="1">
      <c r="B34" s="874"/>
      <c r="C34" s="875"/>
      <c r="D34" s="875"/>
      <c r="E34" s="875"/>
      <c r="F34" s="875"/>
      <c r="G34" s="875"/>
      <c r="H34" s="876"/>
      <c r="I34" s="481"/>
      <c r="J34" s="72">
        <f t="shared" si="19"/>
        <v>0</v>
      </c>
      <c r="K34" s="72">
        <f t="shared" si="20"/>
        <v>0</v>
      </c>
      <c r="L34" s="72">
        <f t="shared" si="21"/>
        <v>0</v>
      </c>
      <c r="M34" s="72">
        <f t="shared" si="22"/>
        <v>0</v>
      </c>
      <c r="N34" s="72">
        <f t="shared" si="23"/>
        <v>0</v>
      </c>
      <c r="O34" s="72">
        <f t="shared" si="24"/>
        <v>0</v>
      </c>
      <c r="P34" s="72">
        <f t="shared" si="25"/>
        <v>0</v>
      </c>
      <c r="Q34" s="72">
        <f t="shared" si="26"/>
        <v>0</v>
      </c>
      <c r="R34" s="72">
        <f t="shared" si="27"/>
        <v>0</v>
      </c>
      <c r="S34" s="72">
        <f t="shared" si="28"/>
        <v>0</v>
      </c>
      <c r="T34" s="72">
        <f t="shared" si="29"/>
        <v>0</v>
      </c>
      <c r="U34" s="72">
        <f t="shared" si="30"/>
        <v>0</v>
      </c>
      <c r="V34" s="72">
        <f t="shared" si="5"/>
        <v>0</v>
      </c>
      <c r="W34" s="72">
        <f t="shared" si="5"/>
        <v>0</v>
      </c>
      <c r="X34" s="72">
        <f t="shared" si="5"/>
        <v>0</v>
      </c>
      <c r="Z34" s="72">
        <f t="shared" si="6"/>
        <v>0</v>
      </c>
      <c r="AA34" s="72">
        <f t="shared" si="7"/>
        <v>0</v>
      </c>
      <c r="AB34" s="72">
        <f t="shared" si="8"/>
        <v>0</v>
      </c>
      <c r="AC34" s="72">
        <f t="shared" si="9"/>
        <v>0</v>
      </c>
      <c r="AD34" s="72">
        <f t="shared" si="10"/>
        <v>0</v>
      </c>
      <c r="AE34" s="72">
        <f t="shared" si="11"/>
        <v>0</v>
      </c>
      <c r="AF34" s="72">
        <f t="shared" si="12"/>
        <v>0</v>
      </c>
      <c r="AG34" s="72">
        <f t="shared" si="13"/>
        <v>0</v>
      </c>
      <c r="AH34" s="72">
        <f t="shared" si="14"/>
        <v>0</v>
      </c>
      <c r="AI34" s="72">
        <f t="shared" si="15"/>
        <v>0</v>
      </c>
      <c r="AJ34" s="72">
        <f t="shared" si="16"/>
        <v>0</v>
      </c>
      <c r="AK34" s="72">
        <f t="shared" si="17"/>
        <v>0</v>
      </c>
      <c r="AL34" s="72">
        <f t="shared" si="18"/>
        <v>0</v>
      </c>
      <c r="AM34" s="72">
        <f t="shared" si="18"/>
        <v>0</v>
      </c>
      <c r="AN34" s="72">
        <f t="shared" si="18"/>
        <v>0</v>
      </c>
      <c r="AR34" s="497">
        <f>AR32+AR31</f>
        <v>1936.59</v>
      </c>
      <c r="AS34" s="498" t="s">
        <v>354</v>
      </c>
      <c r="AT34" s="499">
        <f>AR24+AR27</f>
        <v>1936.59</v>
      </c>
      <c r="AZ34" s="513">
        <f>AZ32+AZ30</f>
        <v>1760.62</v>
      </c>
    </row>
    <row r="35" spans="2:52">
      <c r="B35" s="874"/>
      <c r="C35" s="875"/>
      <c r="D35" s="875"/>
      <c r="E35" s="875"/>
      <c r="F35" s="875"/>
      <c r="G35" s="875"/>
      <c r="H35" s="876"/>
      <c r="I35" s="481"/>
      <c r="J35" s="72">
        <f t="shared" si="19"/>
        <v>0</v>
      </c>
      <c r="K35" s="72">
        <f t="shared" si="20"/>
        <v>0</v>
      </c>
      <c r="L35" s="72">
        <f t="shared" si="21"/>
        <v>0</v>
      </c>
      <c r="M35" s="72">
        <f t="shared" si="22"/>
        <v>0</v>
      </c>
      <c r="N35" s="72">
        <f t="shared" si="23"/>
        <v>0</v>
      </c>
      <c r="O35" s="72">
        <f t="shared" si="24"/>
        <v>0</v>
      </c>
      <c r="P35" s="72">
        <f t="shared" si="25"/>
        <v>0</v>
      </c>
      <c r="Q35" s="72">
        <f t="shared" si="26"/>
        <v>0</v>
      </c>
      <c r="R35" s="72">
        <f t="shared" si="27"/>
        <v>0</v>
      </c>
      <c r="S35" s="72">
        <f t="shared" si="28"/>
        <v>0</v>
      </c>
      <c r="T35" s="72">
        <f t="shared" si="29"/>
        <v>0</v>
      </c>
      <c r="U35" s="72">
        <f t="shared" si="30"/>
        <v>0</v>
      </c>
      <c r="V35" s="72">
        <f t="shared" si="5"/>
        <v>0</v>
      </c>
      <c r="W35" s="72">
        <f t="shared" si="5"/>
        <v>0</v>
      </c>
      <c r="X35" s="72">
        <f t="shared" si="5"/>
        <v>0</v>
      </c>
      <c r="Z35" s="72">
        <f t="shared" si="6"/>
        <v>0</v>
      </c>
      <c r="AA35" s="72">
        <f t="shared" si="7"/>
        <v>0</v>
      </c>
      <c r="AB35" s="72">
        <f t="shared" si="8"/>
        <v>0</v>
      </c>
      <c r="AC35" s="72">
        <f t="shared" si="9"/>
        <v>0</v>
      </c>
      <c r="AD35" s="72">
        <f t="shared" si="10"/>
        <v>0</v>
      </c>
      <c r="AE35" s="72">
        <f t="shared" si="11"/>
        <v>0</v>
      </c>
      <c r="AF35" s="72">
        <f t="shared" si="12"/>
        <v>0</v>
      </c>
      <c r="AG35" s="72">
        <f t="shared" si="13"/>
        <v>0</v>
      </c>
      <c r="AH35" s="72">
        <f t="shared" si="14"/>
        <v>0</v>
      </c>
      <c r="AI35" s="72">
        <f t="shared" si="15"/>
        <v>0</v>
      </c>
      <c r="AJ35" s="72">
        <f t="shared" si="16"/>
        <v>0</v>
      </c>
      <c r="AK35" s="72">
        <f t="shared" si="17"/>
        <v>0</v>
      </c>
      <c r="AL35" s="72">
        <f t="shared" si="18"/>
        <v>0</v>
      </c>
      <c r="AM35" s="72">
        <f t="shared" si="18"/>
        <v>0</v>
      </c>
      <c r="AN35" s="72">
        <f t="shared" si="18"/>
        <v>0</v>
      </c>
    </row>
    <row r="36" spans="2:52">
      <c r="B36" s="874"/>
      <c r="C36" s="875"/>
      <c r="D36" s="875"/>
      <c r="E36" s="875"/>
      <c r="F36" s="875"/>
      <c r="G36" s="875"/>
      <c r="H36" s="876"/>
      <c r="I36" s="481"/>
      <c r="J36" s="72">
        <f t="shared" si="19"/>
        <v>0</v>
      </c>
      <c r="K36" s="72">
        <f t="shared" si="20"/>
        <v>0</v>
      </c>
      <c r="L36" s="72">
        <f t="shared" si="21"/>
        <v>0</v>
      </c>
      <c r="M36" s="72">
        <f t="shared" si="22"/>
        <v>0</v>
      </c>
      <c r="N36" s="72">
        <f t="shared" si="23"/>
        <v>0</v>
      </c>
      <c r="O36" s="72">
        <f t="shared" si="24"/>
        <v>0</v>
      </c>
      <c r="P36" s="72">
        <f t="shared" si="25"/>
        <v>0</v>
      </c>
      <c r="Q36" s="72">
        <f t="shared" si="26"/>
        <v>0</v>
      </c>
      <c r="R36" s="72">
        <f t="shared" si="27"/>
        <v>0</v>
      </c>
      <c r="S36" s="72">
        <f t="shared" si="28"/>
        <v>0</v>
      </c>
      <c r="T36" s="72">
        <f t="shared" si="29"/>
        <v>0</v>
      </c>
      <c r="U36" s="72">
        <f t="shared" si="30"/>
        <v>0</v>
      </c>
      <c r="V36" s="72">
        <f t="shared" ref="V36:X62" si="35">IF($D36=V$2,$H36,0)</f>
        <v>0</v>
      </c>
      <c r="W36" s="72">
        <f t="shared" si="35"/>
        <v>0</v>
      </c>
      <c r="X36" s="72">
        <f t="shared" si="35"/>
        <v>0</v>
      </c>
      <c r="Z36" s="72">
        <f t="shared" si="6"/>
        <v>0</v>
      </c>
      <c r="AA36" s="72">
        <f t="shared" si="7"/>
        <v>0</v>
      </c>
      <c r="AB36" s="72">
        <f t="shared" si="8"/>
        <v>0</v>
      </c>
      <c r="AC36" s="72">
        <f t="shared" si="9"/>
        <v>0</v>
      </c>
      <c r="AD36" s="72">
        <f t="shared" si="10"/>
        <v>0</v>
      </c>
      <c r="AE36" s="72">
        <f t="shared" si="11"/>
        <v>0</v>
      </c>
      <c r="AF36" s="72">
        <f t="shared" si="12"/>
        <v>0</v>
      </c>
      <c r="AG36" s="72">
        <f t="shared" si="13"/>
        <v>0</v>
      </c>
      <c r="AH36" s="72">
        <f t="shared" si="14"/>
        <v>0</v>
      </c>
      <c r="AI36" s="72">
        <f t="shared" si="15"/>
        <v>0</v>
      </c>
      <c r="AJ36" s="72">
        <f t="shared" si="16"/>
        <v>0</v>
      </c>
      <c r="AK36" s="72">
        <f t="shared" si="17"/>
        <v>0</v>
      </c>
      <c r="AL36" s="72">
        <f t="shared" si="18"/>
        <v>0</v>
      </c>
      <c r="AM36" s="72">
        <f t="shared" si="18"/>
        <v>0</v>
      </c>
      <c r="AN36" s="72">
        <f t="shared" si="18"/>
        <v>0</v>
      </c>
    </row>
    <row r="37" spans="2:52">
      <c r="B37" s="874"/>
      <c r="C37" s="875"/>
      <c r="D37" s="875"/>
      <c r="E37" s="875"/>
      <c r="F37" s="875"/>
      <c r="G37" s="875"/>
      <c r="H37" s="876"/>
      <c r="I37" s="481"/>
      <c r="J37" s="72">
        <f t="shared" si="19"/>
        <v>0</v>
      </c>
      <c r="K37" s="72">
        <f t="shared" si="20"/>
        <v>0</v>
      </c>
      <c r="L37" s="72">
        <f t="shared" si="21"/>
        <v>0</v>
      </c>
      <c r="M37" s="72">
        <f t="shared" si="22"/>
        <v>0</v>
      </c>
      <c r="N37" s="72">
        <f t="shared" si="23"/>
        <v>0</v>
      </c>
      <c r="O37" s="72">
        <f t="shared" si="24"/>
        <v>0</v>
      </c>
      <c r="P37" s="72">
        <f t="shared" si="25"/>
        <v>0</v>
      </c>
      <c r="Q37" s="72">
        <f t="shared" si="26"/>
        <v>0</v>
      </c>
      <c r="R37" s="72">
        <f t="shared" si="27"/>
        <v>0</v>
      </c>
      <c r="S37" s="72">
        <f t="shared" si="28"/>
        <v>0</v>
      </c>
      <c r="T37" s="72">
        <f t="shared" si="29"/>
        <v>0</v>
      </c>
      <c r="U37" s="72">
        <f t="shared" si="30"/>
        <v>0</v>
      </c>
      <c r="V37" s="72">
        <f t="shared" si="35"/>
        <v>0</v>
      </c>
      <c r="W37" s="72">
        <f t="shared" si="35"/>
        <v>0</v>
      </c>
      <c r="X37" s="72">
        <f t="shared" si="35"/>
        <v>0</v>
      </c>
      <c r="Z37" s="72">
        <f t="shared" si="6"/>
        <v>0</v>
      </c>
      <c r="AA37" s="72">
        <f t="shared" si="7"/>
        <v>0</v>
      </c>
      <c r="AB37" s="72">
        <f t="shared" si="8"/>
        <v>0</v>
      </c>
      <c r="AC37" s="72">
        <f t="shared" si="9"/>
        <v>0</v>
      </c>
      <c r="AD37" s="72">
        <f t="shared" si="10"/>
        <v>0</v>
      </c>
      <c r="AE37" s="72">
        <f t="shared" si="11"/>
        <v>0</v>
      </c>
      <c r="AF37" s="72">
        <f t="shared" si="12"/>
        <v>0</v>
      </c>
      <c r="AG37" s="72">
        <f t="shared" si="13"/>
        <v>0</v>
      </c>
      <c r="AH37" s="72">
        <f t="shared" si="14"/>
        <v>0</v>
      </c>
      <c r="AI37" s="72">
        <f t="shared" si="15"/>
        <v>0</v>
      </c>
      <c r="AJ37" s="72">
        <f t="shared" si="16"/>
        <v>0</v>
      </c>
      <c r="AK37" s="72">
        <f t="shared" si="17"/>
        <v>0</v>
      </c>
      <c r="AL37" s="72">
        <f t="shared" si="18"/>
        <v>0</v>
      </c>
      <c r="AM37" s="72">
        <f t="shared" si="18"/>
        <v>0</v>
      </c>
      <c r="AN37" s="72">
        <f t="shared" si="18"/>
        <v>0</v>
      </c>
    </row>
    <row r="38" spans="2:52">
      <c r="B38" s="874"/>
      <c r="C38" s="875"/>
      <c r="D38" s="875"/>
      <c r="E38" s="875"/>
      <c r="F38" s="875"/>
      <c r="G38" s="875"/>
      <c r="H38" s="876"/>
      <c r="I38" s="481"/>
      <c r="J38" s="72">
        <f t="shared" si="19"/>
        <v>0</v>
      </c>
      <c r="K38" s="72">
        <f t="shared" si="20"/>
        <v>0</v>
      </c>
      <c r="L38" s="72">
        <f t="shared" si="21"/>
        <v>0</v>
      </c>
      <c r="M38" s="72">
        <f t="shared" si="22"/>
        <v>0</v>
      </c>
      <c r="N38" s="72">
        <f t="shared" si="23"/>
        <v>0</v>
      </c>
      <c r="O38" s="72">
        <f t="shared" si="24"/>
        <v>0</v>
      </c>
      <c r="P38" s="72">
        <f t="shared" si="25"/>
        <v>0</v>
      </c>
      <c r="Q38" s="72">
        <f t="shared" si="26"/>
        <v>0</v>
      </c>
      <c r="R38" s="72">
        <f t="shared" si="27"/>
        <v>0</v>
      </c>
      <c r="S38" s="72">
        <f t="shared" si="28"/>
        <v>0</v>
      </c>
      <c r="T38" s="72">
        <f t="shared" si="29"/>
        <v>0</v>
      </c>
      <c r="U38" s="72">
        <f t="shared" si="30"/>
        <v>0</v>
      </c>
      <c r="V38" s="72">
        <f t="shared" si="35"/>
        <v>0</v>
      </c>
      <c r="W38" s="72">
        <f t="shared" si="35"/>
        <v>0</v>
      </c>
      <c r="X38" s="72">
        <f t="shared" si="35"/>
        <v>0</v>
      </c>
      <c r="Z38" s="72">
        <f t="shared" si="6"/>
        <v>0</v>
      </c>
      <c r="AA38" s="72">
        <f t="shared" si="7"/>
        <v>0</v>
      </c>
      <c r="AB38" s="72">
        <f t="shared" si="8"/>
        <v>0</v>
      </c>
      <c r="AC38" s="72">
        <f t="shared" si="9"/>
        <v>0</v>
      </c>
      <c r="AD38" s="72">
        <f t="shared" si="10"/>
        <v>0</v>
      </c>
      <c r="AE38" s="72">
        <f t="shared" si="11"/>
        <v>0</v>
      </c>
      <c r="AF38" s="72">
        <f t="shared" si="12"/>
        <v>0</v>
      </c>
      <c r="AG38" s="72">
        <f t="shared" si="13"/>
        <v>0</v>
      </c>
      <c r="AH38" s="72">
        <f t="shared" si="14"/>
        <v>0</v>
      </c>
      <c r="AI38" s="72">
        <f t="shared" si="15"/>
        <v>0</v>
      </c>
      <c r="AJ38" s="72">
        <f t="shared" si="16"/>
        <v>0</v>
      </c>
      <c r="AK38" s="72">
        <f t="shared" si="17"/>
        <v>0</v>
      </c>
      <c r="AL38" s="72">
        <f t="shared" si="18"/>
        <v>0</v>
      </c>
      <c r="AM38" s="72">
        <f t="shared" si="18"/>
        <v>0</v>
      </c>
      <c r="AN38" s="72">
        <f t="shared" si="18"/>
        <v>0</v>
      </c>
    </row>
    <row r="39" spans="2:52">
      <c r="B39" s="877"/>
      <c r="C39" s="878"/>
      <c r="D39" s="878"/>
      <c r="E39" s="878"/>
      <c r="F39" s="878"/>
      <c r="G39" s="878"/>
      <c r="H39" s="879"/>
      <c r="I39" s="481"/>
      <c r="J39" s="72">
        <f t="shared" si="19"/>
        <v>0</v>
      </c>
      <c r="K39" s="72">
        <f t="shared" si="20"/>
        <v>0</v>
      </c>
      <c r="L39" s="72">
        <f t="shared" si="21"/>
        <v>0</v>
      </c>
      <c r="M39" s="72">
        <f t="shared" si="22"/>
        <v>0</v>
      </c>
      <c r="N39" s="72">
        <f t="shared" si="23"/>
        <v>0</v>
      </c>
      <c r="O39" s="72">
        <f t="shared" si="24"/>
        <v>0</v>
      </c>
      <c r="P39" s="72">
        <f t="shared" si="25"/>
        <v>0</v>
      </c>
      <c r="Q39" s="72">
        <f t="shared" si="26"/>
        <v>0</v>
      </c>
      <c r="R39" s="72">
        <f t="shared" si="27"/>
        <v>0</v>
      </c>
      <c r="S39" s="72">
        <f t="shared" si="28"/>
        <v>0</v>
      </c>
      <c r="T39" s="72">
        <f t="shared" si="29"/>
        <v>0</v>
      </c>
      <c r="U39" s="72">
        <f t="shared" si="30"/>
        <v>0</v>
      </c>
      <c r="V39" s="72">
        <f t="shared" si="35"/>
        <v>0</v>
      </c>
      <c r="W39" s="72">
        <f t="shared" si="35"/>
        <v>0</v>
      </c>
      <c r="X39" s="72">
        <f t="shared" si="35"/>
        <v>0</v>
      </c>
      <c r="Z39" s="72">
        <f t="shared" si="6"/>
        <v>0</v>
      </c>
      <c r="AA39" s="72">
        <f t="shared" si="7"/>
        <v>0</v>
      </c>
      <c r="AB39" s="72">
        <f t="shared" si="8"/>
        <v>0</v>
      </c>
      <c r="AC39" s="72">
        <f t="shared" si="9"/>
        <v>0</v>
      </c>
      <c r="AD39" s="72">
        <f t="shared" si="10"/>
        <v>0</v>
      </c>
      <c r="AE39" s="72">
        <f t="shared" si="11"/>
        <v>0</v>
      </c>
      <c r="AF39" s="72">
        <f t="shared" si="12"/>
        <v>0</v>
      </c>
      <c r="AG39" s="72">
        <f t="shared" si="13"/>
        <v>0</v>
      </c>
      <c r="AH39" s="72">
        <f t="shared" si="14"/>
        <v>0</v>
      </c>
      <c r="AI39" s="72">
        <f t="shared" si="15"/>
        <v>0</v>
      </c>
      <c r="AJ39" s="72">
        <f t="shared" si="16"/>
        <v>0</v>
      </c>
      <c r="AK39" s="72">
        <f t="shared" si="17"/>
        <v>0</v>
      </c>
      <c r="AL39" s="72">
        <f t="shared" si="18"/>
        <v>0</v>
      </c>
      <c r="AM39" s="72">
        <f t="shared" si="18"/>
        <v>0</v>
      </c>
      <c r="AN39" s="72">
        <f t="shared" si="18"/>
        <v>0</v>
      </c>
      <c r="AZ39" s="55">
        <v>1079.05</v>
      </c>
    </row>
    <row r="40" spans="2:52" hidden="1">
      <c r="B40" s="60"/>
      <c r="C40" s="62"/>
      <c r="D40" s="79"/>
      <c r="E40" s="56"/>
      <c r="F40" s="76"/>
      <c r="G40" s="77">
        <f t="shared" si="3"/>
        <v>0</v>
      </c>
      <c r="H40" s="78">
        <f t="shared" si="4"/>
        <v>0</v>
      </c>
      <c r="I40" s="481"/>
      <c r="J40" s="72">
        <f>IF($D40="ALIMENTAÇÃO",$H40,0)</f>
        <v>0</v>
      </c>
      <c r="K40" s="72">
        <f>IF($D40="ANIMAIS",$H40,0)</f>
        <v>0</v>
      </c>
      <c r="L40" s="72">
        <f>IF($D40="FILHO",$H40,0)</f>
        <v>0</v>
      </c>
      <c r="M40" s="72">
        <f>IF($D40="GASOLINA",$H40,0)</f>
        <v>0</v>
      </c>
      <c r="N40" s="72">
        <f>IF($D40="LAZER",$H40,0)</f>
        <v>0</v>
      </c>
      <c r="O40" s="72">
        <f>IF($D40="MANUT. IMÓVEL",$H40,0)</f>
        <v>0</v>
      </c>
      <c r="P40" s="72">
        <f>IF($D40="MANUT. VEICULAR",$H40,0)</f>
        <v>0</v>
      </c>
      <c r="Q40" s="72">
        <f>IF($D40="MÓVEIS",$H40,0)</f>
        <v>0</v>
      </c>
      <c r="R40" s="72">
        <f>IF($D40="OUTROS",$H40,0)</f>
        <v>0</v>
      </c>
      <c r="S40" s="72">
        <f>IF($D40="PLANOS",$H40,0)</f>
        <v>0</v>
      </c>
      <c r="T40" s="72">
        <f>IF($D40="SAÚDE",$H40,0)</f>
        <v>0</v>
      </c>
      <c r="U40" s="72">
        <f>IF($D40="TRANSPORTE",$H40,0)</f>
        <v>0</v>
      </c>
      <c r="V40" s="72">
        <f>IF($D40=V$2,$H40,0)</f>
        <v>0</v>
      </c>
      <c r="W40" s="72">
        <f>IF($D40=W$2,$H40,0)</f>
        <v>0</v>
      </c>
      <c r="X40" s="72">
        <f>IF($D40=X$2,$H40,0)</f>
        <v>0</v>
      </c>
      <c r="Z40" s="72">
        <f>IF($D40="ALIMENTAÇÃO",$G40,0)</f>
        <v>0</v>
      </c>
      <c r="AA40" s="72">
        <f>IF($D40="ANIMAIS",$G40,0)</f>
        <v>0</v>
      </c>
      <c r="AB40" s="72">
        <f>IF($D40="FILHO",$G40,0)</f>
        <v>0</v>
      </c>
      <c r="AC40" s="72">
        <f>IF($D40="GASOLINA",$G40,0)</f>
        <v>0</v>
      </c>
      <c r="AD40" s="72">
        <f>IF($D40="LAZER",$G40,0)</f>
        <v>0</v>
      </c>
      <c r="AE40" s="72">
        <f>IF($D40="MANUT. IMÓVEL",$G40,0)</f>
        <v>0</v>
      </c>
      <c r="AF40" s="72">
        <f>IF($D40="MANUT. VEICULAR",$G40,0)</f>
        <v>0</v>
      </c>
      <c r="AG40" s="72">
        <f>IF($D40="MÓVEIS",$G40,0)</f>
        <v>0</v>
      </c>
      <c r="AH40" s="72">
        <f>IF($D40="OUTROS",$G40,0)</f>
        <v>0</v>
      </c>
      <c r="AI40" s="72">
        <f>IF($D40="PLANOS",$G40,0)</f>
        <v>0</v>
      </c>
      <c r="AJ40" s="72">
        <f>IF($D40="SAÚDE",$G40,0)</f>
        <v>0</v>
      </c>
      <c r="AK40" s="72">
        <f>IF($D40="TRANSPORTE",$G40,0)</f>
        <v>0</v>
      </c>
      <c r="AL40" s="72">
        <f>IF($D40=AL$2,$G40,0)</f>
        <v>0</v>
      </c>
      <c r="AM40" s="72">
        <f>IF($D40=AM$2,$G40,0)</f>
        <v>0</v>
      </c>
      <c r="AN40" s="72">
        <f>IF($D40=AN$2,$G40,0)</f>
        <v>0</v>
      </c>
    </row>
    <row r="41" spans="2:52" hidden="1">
      <c r="B41" s="60"/>
      <c r="C41" s="62"/>
      <c r="D41" s="79"/>
      <c r="E41" s="56"/>
      <c r="F41" s="76"/>
      <c r="G41" s="77">
        <f t="shared" si="3"/>
        <v>0</v>
      </c>
      <c r="H41" s="78">
        <f t="shared" si="4"/>
        <v>0</v>
      </c>
      <c r="I41" s="481"/>
      <c r="J41" s="72">
        <f t="shared" si="19"/>
        <v>0</v>
      </c>
      <c r="K41" s="72">
        <f t="shared" si="20"/>
        <v>0</v>
      </c>
      <c r="L41" s="72">
        <f t="shared" si="21"/>
        <v>0</v>
      </c>
      <c r="M41" s="72">
        <f t="shared" si="22"/>
        <v>0</v>
      </c>
      <c r="N41" s="72">
        <f t="shared" si="23"/>
        <v>0</v>
      </c>
      <c r="O41" s="72">
        <f t="shared" si="24"/>
        <v>0</v>
      </c>
      <c r="P41" s="72">
        <f t="shared" si="25"/>
        <v>0</v>
      </c>
      <c r="Q41" s="72">
        <f t="shared" si="26"/>
        <v>0</v>
      </c>
      <c r="R41" s="72">
        <f t="shared" si="27"/>
        <v>0</v>
      </c>
      <c r="S41" s="72">
        <f t="shared" si="28"/>
        <v>0</v>
      </c>
      <c r="T41" s="72">
        <f t="shared" si="29"/>
        <v>0</v>
      </c>
      <c r="U41" s="72">
        <f t="shared" si="30"/>
        <v>0</v>
      </c>
      <c r="V41" s="72">
        <f t="shared" si="35"/>
        <v>0</v>
      </c>
      <c r="W41" s="72">
        <f t="shared" si="35"/>
        <v>0</v>
      </c>
      <c r="X41" s="72">
        <f t="shared" si="35"/>
        <v>0</v>
      </c>
      <c r="Z41" s="72">
        <f t="shared" si="6"/>
        <v>0</v>
      </c>
      <c r="AA41" s="72">
        <f t="shared" si="7"/>
        <v>0</v>
      </c>
      <c r="AB41" s="72">
        <f t="shared" si="8"/>
        <v>0</v>
      </c>
      <c r="AC41" s="72">
        <f t="shared" si="9"/>
        <v>0</v>
      </c>
      <c r="AD41" s="72">
        <f t="shared" si="10"/>
        <v>0</v>
      </c>
      <c r="AE41" s="72">
        <f t="shared" si="11"/>
        <v>0</v>
      </c>
      <c r="AF41" s="72">
        <f t="shared" si="12"/>
        <v>0</v>
      </c>
      <c r="AG41" s="72">
        <f t="shared" si="13"/>
        <v>0</v>
      </c>
      <c r="AH41" s="72">
        <f t="shared" si="14"/>
        <v>0</v>
      </c>
      <c r="AI41" s="72">
        <f t="shared" si="15"/>
        <v>0</v>
      </c>
      <c r="AJ41" s="72">
        <f t="shared" si="16"/>
        <v>0</v>
      </c>
      <c r="AK41" s="72">
        <f t="shared" si="17"/>
        <v>0</v>
      </c>
      <c r="AL41" s="72">
        <f t="shared" si="18"/>
        <v>0</v>
      </c>
      <c r="AM41" s="72">
        <f t="shared" si="18"/>
        <v>0</v>
      </c>
      <c r="AN41" s="72">
        <f t="shared" si="18"/>
        <v>0</v>
      </c>
    </row>
    <row r="42" spans="2:52" hidden="1">
      <c r="B42" s="60"/>
      <c r="C42" s="62"/>
      <c r="D42" s="79"/>
      <c r="E42" s="56"/>
      <c r="F42" s="76"/>
      <c r="G42" s="77">
        <f t="shared" si="3"/>
        <v>0</v>
      </c>
      <c r="H42" s="78">
        <f t="shared" si="4"/>
        <v>0</v>
      </c>
      <c r="I42" s="481"/>
      <c r="J42" s="72">
        <f t="shared" si="19"/>
        <v>0</v>
      </c>
      <c r="K42" s="72">
        <f t="shared" si="20"/>
        <v>0</v>
      </c>
      <c r="L42" s="72">
        <f t="shared" si="21"/>
        <v>0</v>
      </c>
      <c r="M42" s="72">
        <f t="shared" si="22"/>
        <v>0</v>
      </c>
      <c r="N42" s="72">
        <f t="shared" si="23"/>
        <v>0</v>
      </c>
      <c r="O42" s="72">
        <f t="shared" si="24"/>
        <v>0</v>
      </c>
      <c r="P42" s="72">
        <f t="shared" si="25"/>
        <v>0</v>
      </c>
      <c r="Q42" s="72">
        <f t="shared" si="26"/>
        <v>0</v>
      </c>
      <c r="R42" s="72">
        <f t="shared" si="27"/>
        <v>0</v>
      </c>
      <c r="S42" s="72">
        <f t="shared" si="28"/>
        <v>0</v>
      </c>
      <c r="T42" s="72">
        <f t="shared" si="29"/>
        <v>0</v>
      </c>
      <c r="U42" s="72">
        <f t="shared" si="30"/>
        <v>0</v>
      </c>
      <c r="V42" s="72">
        <f t="shared" si="35"/>
        <v>0</v>
      </c>
      <c r="W42" s="72">
        <f t="shared" si="35"/>
        <v>0</v>
      </c>
      <c r="X42" s="72">
        <f t="shared" si="35"/>
        <v>0</v>
      </c>
      <c r="Z42" s="72">
        <f t="shared" si="6"/>
        <v>0</v>
      </c>
      <c r="AA42" s="72">
        <f t="shared" si="7"/>
        <v>0</v>
      </c>
      <c r="AB42" s="72">
        <f t="shared" si="8"/>
        <v>0</v>
      </c>
      <c r="AC42" s="72">
        <f t="shared" si="9"/>
        <v>0</v>
      </c>
      <c r="AD42" s="72">
        <f t="shared" si="10"/>
        <v>0</v>
      </c>
      <c r="AE42" s="72">
        <f t="shared" si="11"/>
        <v>0</v>
      </c>
      <c r="AF42" s="72">
        <f t="shared" si="12"/>
        <v>0</v>
      </c>
      <c r="AG42" s="72">
        <f t="shared" si="13"/>
        <v>0</v>
      </c>
      <c r="AH42" s="72">
        <f t="shared" si="14"/>
        <v>0</v>
      </c>
      <c r="AI42" s="72">
        <f t="shared" si="15"/>
        <v>0</v>
      </c>
      <c r="AJ42" s="72">
        <f t="shared" si="16"/>
        <v>0</v>
      </c>
      <c r="AK42" s="72">
        <f t="shared" si="17"/>
        <v>0</v>
      </c>
      <c r="AL42" s="72">
        <f t="shared" si="18"/>
        <v>0</v>
      </c>
      <c r="AM42" s="72">
        <f t="shared" si="18"/>
        <v>0</v>
      </c>
      <c r="AN42" s="72">
        <f t="shared" si="18"/>
        <v>0</v>
      </c>
    </row>
    <row r="43" spans="2:52" hidden="1">
      <c r="B43" s="60"/>
      <c r="C43" s="62"/>
      <c r="D43" s="79"/>
      <c r="E43" s="56"/>
      <c r="F43" s="76"/>
      <c r="G43" s="77">
        <f t="shared" si="3"/>
        <v>0</v>
      </c>
      <c r="H43" s="78">
        <f t="shared" si="4"/>
        <v>0</v>
      </c>
      <c r="I43" s="481"/>
      <c r="J43" s="72">
        <f t="shared" si="19"/>
        <v>0</v>
      </c>
      <c r="K43" s="72">
        <f t="shared" si="20"/>
        <v>0</v>
      </c>
      <c r="L43" s="72">
        <f t="shared" si="21"/>
        <v>0</v>
      </c>
      <c r="M43" s="72">
        <f t="shared" si="22"/>
        <v>0</v>
      </c>
      <c r="N43" s="72">
        <f t="shared" si="23"/>
        <v>0</v>
      </c>
      <c r="O43" s="72">
        <f t="shared" si="24"/>
        <v>0</v>
      </c>
      <c r="P43" s="72">
        <f t="shared" si="25"/>
        <v>0</v>
      </c>
      <c r="Q43" s="72">
        <f t="shared" si="26"/>
        <v>0</v>
      </c>
      <c r="R43" s="72">
        <f t="shared" si="27"/>
        <v>0</v>
      </c>
      <c r="S43" s="72">
        <f t="shared" si="28"/>
        <v>0</v>
      </c>
      <c r="T43" s="72">
        <f t="shared" si="29"/>
        <v>0</v>
      </c>
      <c r="U43" s="72">
        <f t="shared" si="30"/>
        <v>0</v>
      </c>
      <c r="V43" s="72">
        <f t="shared" si="35"/>
        <v>0</v>
      </c>
      <c r="W43" s="72">
        <f t="shared" si="35"/>
        <v>0</v>
      </c>
      <c r="X43" s="72">
        <f t="shared" si="35"/>
        <v>0</v>
      </c>
      <c r="Z43" s="72">
        <f t="shared" si="6"/>
        <v>0</v>
      </c>
      <c r="AA43" s="72">
        <f t="shared" si="7"/>
        <v>0</v>
      </c>
      <c r="AB43" s="72">
        <f t="shared" si="8"/>
        <v>0</v>
      </c>
      <c r="AC43" s="72">
        <f t="shared" si="9"/>
        <v>0</v>
      </c>
      <c r="AD43" s="72">
        <f t="shared" si="10"/>
        <v>0</v>
      </c>
      <c r="AE43" s="72">
        <f t="shared" si="11"/>
        <v>0</v>
      </c>
      <c r="AF43" s="72">
        <f t="shared" si="12"/>
        <v>0</v>
      </c>
      <c r="AG43" s="72">
        <f t="shared" si="13"/>
        <v>0</v>
      </c>
      <c r="AH43" s="72">
        <f t="shared" si="14"/>
        <v>0</v>
      </c>
      <c r="AI43" s="72">
        <f t="shared" si="15"/>
        <v>0</v>
      </c>
      <c r="AJ43" s="72">
        <f t="shared" si="16"/>
        <v>0</v>
      </c>
      <c r="AK43" s="72">
        <f t="shared" si="17"/>
        <v>0</v>
      </c>
      <c r="AL43" s="72">
        <f t="shared" si="18"/>
        <v>0</v>
      </c>
      <c r="AM43" s="72">
        <f t="shared" si="18"/>
        <v>0</v>
      </c>
      <c r="AN43" s="72">
        <f t="shared" si="18"/>
        <v>0</v>
      </c>
    </row>
    <row r="44" spans="2:52" hidden="1">
      <c r="B44" s="60"/>
      <c r="C44" s="62"/>
      <c r="D44" s="79"/>
      <c r="E44" s="56"/>
      <c r="F44" s="76"/>
      <c r="G44" s="77">
        <f t="shared" si="3"/>
        <v>0</v>
      </c>
      <c r="H44" s="78">
        <f t="shared" si="4"/>
        <v>0</v>
      </c>
      <c r="I44" s="481"/>
      <c r="J44" s="72">
        <f t="shared" si="19"/>
        <v>0</v>
      </c>
      <c r="K44" s="72">
        <f t="shared" si="20"/>
        <v>0</v>
      </c>
      <c r="L44" s="72">
        <f t="shared" si="21"/>
        <v>0</v>
      </c>
      <c r="M44" s="72">
        <f t="shared" si="22"/>
        <v>0</v>
      </c>
      <c r="N44" s="72">
        <f t="shared" si="23"/>
        <v>0</v>
      </c>
      <c r="O44" s="72">
        <f t="shared" si="24"/>
        <v>0</v>
      </c>
      <c r="P44" s="72">
        <f t="shared" si="25"/>
        <v>0</v>
      </c>
      <c r="Q44" s="72">
        <f t="shared" si="26"/>
        <v>0</v>
      </c>
      <c r="R44" s="72">
        <f t="shared" si="27"/>
        <v>0</v>
      </c>
      <c r="S44" s="72">
        <f t="shared" si="28"/>
        <v>0</v>
      </c>
      <c r="T44" s="72">
        <f t="shared" si="29"/>
        <v>0</v>
      </c>
      <c r="U44" s="72">
        <f t="shared" si="30"/>
        <v>0</v>
      </c>
      <c r="V44" s="72">
        <f t="shared" si="35"/>
        <v>0</v>
      </c>
      <c r="W44" s="72">
        <f t="shared" si="35"/>
        <v>0</v>
      </c>
      <c r="X44" s="72">
        <f t="shared" si="35"/>
        <v>0</v>
      </c>
      <c r="Z44" s="72">
        <f t="shared" si="6"/>
        <v>0</v>
      </c>
      <c r="AA44" s="72">
        <f t="shared" si="7"/>
        <v>0</v>
      </c>
      <c r="AB44" s="72">
        <f t="shared" si="8"/>
        <v>0</v>
      </c>
      <c r="AC44" s="72">
        <f t="shared" si="9"/>
        <v>0</v>
      </c>
      <c r="AD44" s="72">
        <f t="shared" si="10"/>
        <v>0</v>
      </c>
      <c r="AE44" s="72">
        <f t="shared" si="11"/>
        <v>0</v>
      </c>
      <c r="AF44" s="72">
        <f t="shared" si="12"/>
        <v>0</v>
      </c>
      <c r="AG44" s="72">
        <f t="shared" si="13"/>
        <v>0</v>
      </c>
      <c r="AH44" s="72">
        <f t="shared" si="14"/>
        <v>0</v>
      </c>
      <c r="AI44" s="72">
        <f t="shared" si="15"/>
        <v>0</v>
      </c>
      <c r="AJ44" s="72">
        <f t="shared" si="16"/>
        <v>0</v>
      </c>
      <c r="AK44" s="72">
        <f t="shared" si="17"/>
        <v>0</v>
      </c>
      <c r="AL44" s="72">
        <f t="shared" si="18"/>
        <v>0</v>
      </c>
      <c r="AM44" s="72">
        <f t="shared" si="18"/>
        <v>0</v>
      </c>
      <c r="AN44" s="72">
        <f t="shared" si="18"/>
        <v>0</v>
      </c>
    </row>
    <row r="45" spans="2:52" hidden="1">
      <c r="B45" s="60"/>
      <c r="C45" s="62"/>
      <c r="D45" s="79"/>
      <c r="E45" s="56"/>
      <c r="F45" s="76"/>
      <c r="G45" s="77">
        <f t="shared" si="3"/>
        <v>0</v>
      </c>
      <c r="H45" s="78">
        <f t="shared" si="4"/>
        <v>0</v>
      </c>
      <c r="I45" s="481"/>
      <c r="J45" s="72">
        <f t="shared" si="19"/>
        <v>0</v>
      </c>
      <c r="K45" s="72">
        <f t="shared" si="20"/>
        <v>0</v>
      </c>
      <c r="L45" s="72">
        <f t="shared" si="21"/>
        <v>0</v>
      </c>
      <c r="M45" s="72">
        <f t="shared" si="22"/>
        <v>0</v>
      </c>
      <c r="N45" s="72">
        <f t="shared" si="23"/>
        <v>0</v>
      </c>
      <c r="O45" s="72">
        <f t="shared" si="24"/>
        <v>0</v>
      </c>
      <c r="P45" s="72">
        <f t="shared" si="25"/>
        <v>0</v>
      </c>
      <c r="Q45" s="72">
        <f t="shared" si="26"/>
        <v>0</v>
      </c>
      <c r="R45" s="72">
        <f t="shared" si="27"/>
        <v>0</v>
      </c>
      <c r="S45" s="72">
        <f t="shared" si="28"/>
        <v>0</v>
      </c>
      <c r="T45" s="72">
        <f t="shared" si="29"/>
        <v>0</v>
      </c>
      <c r="U45" s="72">
        <f t="shared" si="30"/>
        <v>0</v>
      </c>
      <c r="V45" s="72">
        <f t="shared" si="35"/>
        <v>0</v>
      </c>
      <c r="W45" s="72">
        <f t="shared" si="35"/>
        <v>0</v>
      </c>
      <c r="X45" s="72">
        <f t="shared" si="35"/>
        <v>0</v>
      </c>
      <c r="Z45" s="72">
        <f t="shared" si="6"/>
        <v>0</v>
      </c>
      <c r="AA45" s="72">
        <f t="shared" si="7"/>
        <v>0</v>
      </c>
      <c r="AB45" s="72">
        <f t="shared" si="8"/>
        <v>0</v>
      </c>
      <c r="AC45" s="72">
        <f t="shared" si="9"/>
        <v>0</v>
      </c>
      <c r="AD45" s="72">
        <f t="shared" si="10"/>
        <v>0</v>
      </c>
      <c r="AE45" s="72">
        <f t="shared" si="11"/>
        <v>0</v>
      </c>
      <c r="AF45" s="72">
        <f t="shared" si="12"/>
        <v>0</v>
      </c>
      <c r="AG45" s="72">
        <f t="shared" si="13"/>
        <v>0</v>
      </c>
      <c r="AH45" s="72">
        <f t="shared" si="14"/>
        <v>0</v>
      </c>
      <c r="AI45" s="72">
        <f t="shared" si="15"/>
        <v>0</v>
      </c>
      <c r="AJ45" s="72">
        <f t="shared" si="16"/>
        <v>0</v>
      </c>
      <c r="AK45" s="72">
        <f t="shared" si="17"/>
        <v>0</v>
      </c>
      <c r="AL45" s="72">
        <f t="shared" si="18"/>
        <v>0</v>
      </c>
      <c r="AM45" s="72">
        <f t="shared" si="18"/>
        <v>0</v>
      </c>
      <c r="AN45" s="72">
        <f t="shared" si="18"/>
        <v>0</v>
      </c>
    </row>
    <row r="46" spans="2:52" hidden="1">
      <c r="B46" s="60"/>
      <c r="C46" s="62"/>
      <c r="D46" s="79"/>
      <c r="E46" s="56"/>
      <c r="F46" s="76"/>
      <c r="G46" s="77">
        <f t="shared" si="3"/>
        <v>0</v>
      </c>
      <c r="H46" s="78">
        <f t="shared" si="4"/>
        <v>0</v>
      </c>
      <c r="I46" s="481"/>
      <c r="J46" s="72">
        <f t="shared" si="19"/>
        <v>0</v>
      </c>
      <c r="K46" s="72">
        <f t="shared" si="20"/>
        <v>0</v>
      </c>
      <c r="L46" s="72">
        <f t="shared" si="21"/>
        <v>0</v>
      </c>
      <c r="M46" s="72">
        <f t="shared" si="22"/>
        <v>0</v>
      </c>
      <c r="N46" s="72">
        <f t="shared" si="23"/>
        <v>0</v>
      </c>
      <c r="O46" s="72">
        <f t="shared" si="24"/>
        <v>0</v>
      </c>
      <c r="P46" s="72">
        <f t="shared" si="25"/>
        <v>0</v>
      </c>
      <c r="Q46" s="72">
        <f t="shared" si="26"/>
        <v>0</v>
      </c>
      <c r="R46" s="72">
        <f t="shared" si="27"/>
        <v>0</v>
      </c>
      <c r="S46" s="72">
        <f t="shared" si="28"/>
        <v>0</v>
      </c>
      <c r="T46" s="72">
        <f t="shared" si="29"/>
        <v>0</v>
      </c>
      <c r="U46" s="72">
        <f t="shared" si="30"/>
        <v>0</v>
      </c>
      <c r="V46" s="72">
        <f t="shared" si="35"/>
        <v>0</v>
      </c>
      <c r="W46" s="72">
        <f t="shared" si="35"/>
        <v>0</v>
      </c>
      <c r="X46" s="72">
        <f t="shared" si="35"/>
        <v>0</v>
      </c>
      <c r="Z46" s="72">
        <f t="shared" si="6"/>
        <v>0</v>
      </c>
      <c r="AA46" s="72">
        <f t="shared" si="7"/>
        <v>0</v>
      </c>
      <c r="AB46" s="72">
        <f t="shared" si="8"/>
        <v>0</v>
      </c>
      <c r="AC46" s="72">
        <f t="shared" si="9"/>
        <v>0</v>
      </c>
      <c r="AD46" s="72">
        <f t="shared" si="10"/>
        <v>0</v>
      </c>
      <c r="AE46" s="72">
        <f t="shared" si="11"/>
        <v>0</v>
      </c>
      <c r="AF46" s="72">
        <f t="shared" si="12"/>
        <v>0</v>
      </c>
      <c r="AG46" s="72">
        <f t="shared" si="13"/>
        <v>0</v>
      </c>
      <c r="AH46" s="72">
        <f t="shared" si="14"/>
        <v>0</v>
      </c>
      <c r="AI46" s="72">
        <f t="shared" si="15"/>
        <v>0</v>
      </c>
      <c r="AJ46" s="72">
        <f t="shared" si="16"/>
        <v>0</v>
      </c>
      <c r="AK46" s="72">
        <f t="shared" si="17"/>
        <v>0</v>
      </c>
      <c r="AL46" s="72">
        <f t="shared" si="18"/>
        <v>0</v>
      </c>
      <c r="AM46" s="72">
        <f t="shared" si="18"/>
        <v>0</v>
      </c>
      <c r="AN46" s="72">
        <f t="shared" si="18"/>
        <v>0</v>
      </c>
    </row>
    <row r="47" spans="2:52" hidden="1">
      <c r="B47" s="60"/>
      <c r="C47" s="62"/>
      <c r="D47" s="79"/>
      <c r="E47" s="56"/>
      <c r="F47" s="76"/>
      <c r="G47" s="77">
        <f t="shared" si="3"/>
        <v>0</v>
      </c>
      <c r="H47" s="78">
        <f t="shared" si="4"/>
        <v>0</v>
      </c>
      <c r="I47" s="481"/>
      <c r="J47" s="72">
        <f t="shared" si="19"/>
        <v>0</v>
      </c>
      <c r="K47" s="72">
        <f t="shared" si="20"/>
        <v>0</v>
      </c>
      <c r="L47" s="72">
        <f t="shared" si="21"/>
        <v>0</v>
      </c>
      <c r="M47" s="72">
        <f t="shared" si="22"/>
        <v>0</v>
      </c>
      <c r="N47" s="72">
        <f t="shared" si="23"/>
        <v>0</v>
      </c>
      <c r="O47" s="72">
        <f t="shared" si="24"/>
        <v>0</v>
      </c>
      <c r="P47" s="72">
        <f t="shared" si="25"/>
        <v>0</v>
      </c>
      <c r="Q47" s="72">
        <f t="shared" si="26"/>
        <v>0</v>
      </c>
      <c r="R47" s="72">
        <f t="shared" si="27"/>
        <v>0</v>
      </c>
      <c r="S47" s="72">
        <f t="shared" si="28"/>
        <v>0</v>
      </c>
      <c r="T47" s="72">
        <f t="shared" si="29"/>
        <v>0</v>
      </c>
      <c r="U47" s="72">
        <f t="shared" si="30"/>
        <v>0</v>
      </c>
      <c r="V47" s="72">
        <f t="shared" si="35"/>
        <v>0</v>
      </c>
      <c r="W47" s="72">
        <f t="shared" si="35"/>
        <v>0</v>
      </c>
      <c r="X47" s="72">
        <f t="shared" si="35"/>
        <v>0</v>
      </c>
      <c r="Z47" s="72">
        <f t="shared" si="6"/>
        <v>0</v>
      </c>
      <c r="AA47" s="72">
        <f t="shared" si="7"/>
        <v>0</v>
      </c>
      <c r="AB47" s="72">
        <f t="shared" si="8"/>
        <v>0</v>
      </c>
      <c r="AC47" s="72">
        <f t="shared" si="9"/>
        <v>0</v>
      </c>
      <c r="AD47" s="72">
        <f t="shared" si="10"/>
        <v>0</v>
      </c>
      <c r="AE47" s="72">
        <f t="shared" si="11"/>
        <v>0</v>
      </c>
      <c r="AF47" s="72">
        <f t="shared" si="12"/>
        <v>0</v>
      </c>
      <c r="AG47" s="72">
        <f t="shared" si="13"/>
        <v>0</v>
      </c>
      <c r="AH47" s="72">
        <f t="shared" si="14"/>
        <v>0</v>
      </c>
      <c r="AI47" s="72">
        <f t="shared" si="15"/>
        <v>0</v>
      </c>
      <c r="AJ47" s="72">
        <f t="shared" si="16"/>
        <v>0</v>
      </c>
      <c r="AK47" s="72">
        <f t="shared" si="17"/>
        <v>0</v>
      </c>
      <c r="AL47" s="72">
        <f t="shared" si="18"/>
        <v>0</v>
      </c>
      <c r="AM47" s="72">
        <f t="shared" si="18"/>
        <v>0</v>
      </c>
      <c r="AN47" s="72">
        <f t="shared" si="18"/>
        <v>0</v>
      </c>
    </row>
    <row r="48" spans="2:52" hidden="1">
      <c r="B48" s="60"/>
      <c r="C48" s="62"/>
      <c r="D48" s="79"/>
      <c r="E48" s="56"/>
      <c r="F48" s="76"/>
      <c r="G48" s="77">
        <f t="shared" si="3"/>
        <v>0</v>
      </c>
      <c r="H48" s="78">
        <f t="shared" si="4"/>
        <v>0</v>
      </c>
      <c r="I48" s="481"/>
      <c r="J48" s="72">
        <f t="shared" si="19"/>
        <v>0</v>
      </c>
      <c r="K48" s="72">
        <f t="shared" si="20"/>
        <v>0</v>
      </c>
      <c r="L48" s="72">
        <f t="shared" si="21"/>
        <v>0</v>
      </c>
      <c r="M48" s="72">
        <f t="shared" si="22"/>
        <v>0</v>
      </c>
      <c r="N48" s="72">
        <f t="shared" si="23"/>
        <v>0</v>
      </c>
      <c r="O48" s="72">
        <f t="shared" si="24"/>
        <v>0</v>
      </c>
      <c r="P48" s="72">
        <f t="shared" si="25"/>
        <v>0</v>
      </c>
      <c r="Q48" s="72">
        <f t="shared" si="26"/>
        <v>0</v>
      </c>
      <c r="R48" s="72">
        <f t="shared" si="27"/>
        <v>0</v>
      </c>
      <c r="S48" s="72">
        <f t="shared" si="28"/>
        <v>0</v>
      </c>
      <c r="T48" s="72">
        <f t="shared" si="29"/>
        <v>0</v>
      </c>
      <c r="U48" s="72">
        <f t="shared" si="30"/>
        <v>0</v>
      </c>
      <c r="V48" s="72">
        <f t="shared" si="35"/>
        <v>0</v>
      </c>
      <c r="W48" s="72">
        <f t="shared" si="35"/>
        <v>0</v>
      </c>
      <c r="X48" s="72">
        <f t="shared" si="35"/>
        <v>0</v>
      </c>
      <c r="Z48" s="72">
        <f t="shared" si="6"/>
        <v>0</v>
      </c>
      <c r="AA48" s="72">
        <f t="shared" si="7"/>
        <v>0</v>
      </c>
      <c r="AB48" s="72">
        <f t="shared" si="8"/>
        <v>0</v>
      </c>
      <c r="AC48" s="72">
        <f t="shared" si="9"/>
        <v>0</v>
      </c>
      <c r="AD48" s="72">
        <f t="shared" si="10"/>
        <v>0</v>
      </c>
      <c r="AE48" s="72">
        <f t="shared" si="11"/>
        <v>0</v>
      </c>
      <c r="AF48" s="72">
        <f t="shared" si="12"/>
        <v>0</v>
      </c>
      <c r="AG48" s="72">
        <f t="shared" si="13"/>
        <v>0</v>
      </c>
      <c r="AH48" s="72">
        <f t="shared" si="14"/>
        <v>0</v>
      </c>
      <c r="AI48" s="72">
        <f t="shared" si="15"/>
        <v>0</v>
      </c>
      <c r="AJ48" s="72">
        <f t="shared" si="16"/>
        <v>0</v>
      </c>
      <c r="AK48" s="72">
        <f t="shared" si="17"/>
        <v>0</v>
      </c>
      <c r="AL48" s="72">
        <f t="shared" si="18"/>
        <v>0</v>
      </c>
      <c r="AM48" s="72">
        <f t="shared" si="18"/>
        <v>0</v>
      </c>
      <c r="AN48" s="72">
        <f t="shared" si="18"/>
        <v>0</v>
      </c>
    </row>
    <row r="49" spans="2:42" hidden="1">
      <c r="B49" s="60"/>
      <c r="C49" s="62"/>
      <c r="D49" s="79"/>
      <c r="E49" s="56"/>
      <c r="F49" s="76"/>
      <c r="G49" s="77">
        <f t="shared" si="3"/>
        <v>0</v>
      </c>
      <c r="H49" s="78">
        <f t="shared" si="4"/>
        <v>0</v>
      </c>
      <c r="I49" s="481"/>
      <c r="J49" s="72">
        <f t="shared" si="19"/>
        <v>0</v>
      </c>
      <c r="K49" s="72">
        <f t="shared" si="20"/>
        <v>0</v>
      </c>
      <c r="L49" s="72">
        <f t="shared" si="21"/>
        <v>0</v>
      </c>
      <c r="M49" s="72">
        <f t="shared" si="22"/>
        <v>0</v>
      </c>
      <c r="N49" s="72">
        <f t="shared" si="23"/>
        <v>0</v>
      </c>
      <c r="O49" s="72">
        <f t="shared" si="24"/>
        <v>0</v>
      </c>
      <c r="P49" s="72">
        <f t="shared" si="25"/>
        <v>0</v>
      </c>
      <c r="Q49" s="72">
        <f t="shared" si="26"/>
        <v>0</v>
      </c>
      <c r="R49" s="72">
        <f t="shared" si="27"/>
        <v>0</v>
      </c>
      <c r="S49" s="72">
        <f t="shared" si="28"/>
        <v>0</v>
      </c>
      <c r="T49" s="72">
        <f t="shared" si="29"/>
        <v>0</v>
      </c>
      <c r="U49" s="72">
        <f t="shared" si="30"/>
        <v>0</v>
      </c>
      <c r="V49" s="72">
        <f t="shared" si="35"/>
        <v>0</v>
      </c>
      <c r="W49" s="72">
        <f t="shared" si="35"/>
        <v>0</v>
      </c>
      <c r="X49" s="72">
        <f t="shared" si="35"/>
        <v>0</v>
      </c>
      <c r="Z49" s="72">
        <f t="shared" si="6"/>
        <v>0</v>
      </c>
      <c r="AA49" s="72">
        <f t="shared" si="7"/>
        <v>0</v>
      </c>
      <c r="AB49" s="72">
        <f t="shared" si="8"/>
        <v>0</v>
      </c>
      <c r="AC49" s="72">
        <f t="shared" si="9"/>
        <v>0</v>
      </c>
      <c r="AD49" s="72">
        <f t="shared" si="10"/>
        <v>0</v>
      </c>
      <c r="AE49" s="72">
        <f t="shared" si="11"/>
        <v>0</v>
      </c>
      <c r="AF49" s="72">
        <f t="shared" si="12"/>
        <v>0</v>
      </c>
      <c r="AG49" s="72">
        <f t="shared" si="13"/>
        <v>0</v>
      </c>
      <c r="AH49" s="72">
        <f t="shared" si="14"/>
        <v>0</v>
      </c>
      <c r="AI49" s="72">
        <f t="shared" si="15"/>
        <v>0</v>
      </c>
      <c r="AJ49" s="72">
        <f t="shared" si="16"/>
        <v>0</v>
      </c>
      <c r="AK49" s="72">
        <f t="shared" si="17"/>
        <v>0</v>
      </c>
      <c r="AL49" s="72">
        <f t="shared" si="18"/>
        <v>0</v>
      </c>
      <c r="AM49" s="72">
        <f t="shared" si="18"/>
        <v>0</v>
      </c>
      <c r="AN49" s="72">
        <f t="shared" si="18"/>
        <v>0</v>
      </c>
    </row>
    <row r="50" spans="2:42" hidden="1">
      <c r="B50" s="60"/>
      <c r="C50" s="62"/>
      <c r="D50" s="79"/>
      <c r="E50" s="56"/>
      <c r="F50" s="76"/>
      <c r="G50" s="77">
        <f t="shared" si="3"/>
        <v>0</v>
      </c>
      <c r="H50" s="78">
        <f t="shared" si="4"/>
        <v>0</v>
      </c>
      <c r="I50" s="481"/>
      <c r="J50" s="72">
        <f t="shared" si="19"/>
        <v>0</v>
      </c>
      <c r="K50" s="72">
        <f t="shared" si="20"/>
        <v>0</v>
      </c>
      <c r="L50" s="72">
        <f t="shared" si="21"/>
        <v>0</v>
      </c>
      <c r="M50" s="72">
        <f t="shared" si="22"/>
        <v>0</v>
      </c>
      <c r="N50" s="72">
        <f t="shared" si="23"/>
        <v>0</v>
      </c>
      <c r="O50" s="72">
        <f t="shared" si="24"/>
        <v>0</v>
      </c>
      <c r="P50" s="72">
        <f t="shared" si="25"/>
        <v>0</v>
      </c>
      <c r="Q50" s="72">
        <f t="shared" si="26"/>
        <v>0</v>
      </c>
      <c r="R50" s="72">
        <f t="shared" si="27"/>
        <v>0</v>
      </c>
      <c r="S50" s="72">
        <f t="shared" si="28"/>
        <v>0</v>
      </c>
      <c r="T50" s="72">
        <f t="shared" si="29"/>
        <v>0</v>
      </c>
      <c r="U50" s="72">
        <f t="shared" si="30"/>
        <v>0</v>
      </c>
      <c r="V50" s="72">
        <f t="shared" si="35"/>
        <v>0</v>
      </c>
      <c r="W50" s="72">
        <f t="shared" si="35"/>
        <v>0</v>
      </c>
      <c r="X50" s="72">
        <f t="shared" si="35"/>
        <v>0</v>
      </c>
      <c r="Z50" s="72">
        <f t="shared" si="6"/>
        <v>0</v>
      </c>
      <c r="AA50" s="72">
        <f t="shared" si="7"/>
        <v>0</v>
      </c>
      <c r="AB50" s="72">
        <f t="shared" si="8"/>
        <v>0</v>
      </c>
      <c r="AC50" s="72">
        <f t="shared" si="9"/>
        <v>0</v>
      </c>
      <c r="AD50" s="72">
        <f t="shared" si="10"/>
        <v>0</v>
      </c>
      <c r="AE50" s="72">
        <f t="shared" si="11"/>
        <v>0</v>
      </c>
      <c r="AF50" s="72">
        <f t="shared" si="12"/>
        <v>0</v>
      </c>
      <c r="AG50" s="72">
        <f t="shared" si="13"/>
        <v>0</v>
      </c>
      <c r="AH50" s="72">
        <f t="shared" si="14"/>
        <v>0</v>
      </c>
      <c r="AI50" s="72">
        <f t="shared" si="15"/>
        <v>0</v>
      </c>
      <c r="AJ50" s="72">
        <f t="shared" si="16"/>
        <v>0</v>
      </c>
      <c r="AK50" s="72">
        <f t="shared" si="17"/>
        <v>0</v>
      </c>
      <c r="AL50" s="72">
        <f t="shared" si="18"/>
        <v>0</v>
      </c>
      <c r="AM50" s="72">
        <f t="shared" si="18"/>
        <v>0</v>
      </c>
      <c r="AN50" s="72">
        <f t="shared" si="18"/>
        <v>0</v>
      </c>
    </row>
    <row r="51" spans="2:42" hidden="1">
      <c r="B51" s="60"/>
      <c r="C51" s="62"/>
      <c r="D51" s="79"/>
      <c r="E51" s="56"/>
      <c r="F51" s="76"/>
      <c r="G51" s="77">
        <f t="shared" si="3"/>
        <v>0</v>
      </c>
      <c r="H51" s="78">
        <f t="shared" si="4"/>
        <v>0</v>
      </c>
      <c r="I51" s="481"/>
      <c r="J51" s="72">
        <f t="shared" si="19"/>
        <v>0</v>
      </c>
      <c r="K51" s="72">
        <f t="shared" si="20"/>
        <v>0</v>
      </c>
      <c r="L51" s="72">
        <f t="shared" si="21"/>
        <v>0</v>
      </c>
      <c r="M51" s="72">
        <f t="shared" si="22"/>
        <v>0</v>
      </c>
      <c r="N51" s="72">
        <f t="shared" si="23"/>
        <v>0</v>
      </c>
      <c r="O51" s="72">
        <f t="shared" si="24"/>
        <v>0</v>
      </c>
      <c r="P51" s="72">
        <f t="shared" si="25"/>
        <v>0</v>
      </c>
      <c r="Q51" s="72">
        <f t="shared" si="26"/>
        <v>0</v>
      </c>
      <c r="R51" s="72">
        <f t="shared" si="27"/>
        <v>0</v>
      </c>
      <c r="S51" s="72">
        <f t="shared" si="28"/>
        <v>0</v>
      </c>
      <c r="T51" s="72">
        <f t="shared" si="29"/>
        <v>0</v>
      </c>
      <c r="U51" s="72">
        <f t="shared" si="30"/>
        <v>0</v>
      </c>
      <c r="V51" s="72">
        <f t="shared" si="35"/>
        <v>0</v>
      </c>
      <c r="W51" s="72">
        <f t="shared" si="35"/>
        <v>0</v>
      </c>
      <c r="X51" s="72">
        <f t="shared" si="35"/>
        <v>0</v>
      </c>
      <c r="Z51" s="72">
        <f t="shared" si="6"/>
        <v>0</v>
      </c>
      <c r="AA51" s="72">
        <f t="shared" si="7"/>
        <v>0</v>
      </c>
      <c r="AB51" s="72">
        <f t="shared" si="8"/>
        <v>0</v>
      </c>
      <c r="AC51" s="72">
        <f t="shared" si="9"/>
        <v>0</v>
      </c>
      <c r="AD51" s="72">
        <f t="shared" si="10"/>
        <v>0</v>
      </c>
      <c r="AE51" s="72">
        <f t="shared" si="11"/>
        <v>0</v>
      </c>
      <c r="AF51" s="72">
        <f t="shared" si="12"/>
        <v>0</v>
      </c>
      <c r="AG51" s="72">
        <f t="shared" si="13"/>
        <v>0</v>
      </c>
      <c r="AH51" s="72">
        <f t="shared" si="14"/>
        <v>0</v>
      </c>
      <c r="AI51" s="72">
        <f t="shared" si="15"/>
        <v>0</v>
      </c>
      <c r="AJ51" s="72">
        <f t="shared" si="16"/>
        <v>0</v>
      </c>
      <c r="AK51" s="72">
        <f t="shared" si="17"/>
        <v>0</v>
      </c>
      <c r="AL51" s="72">
        <f t="shared" si="18"/>
        <v>0</v>
      </c>
      <c r="AM51" s="72">
        <f t="shared" si="18"/>
        <v>0</v>
      </c>
      <c r="AN51" s="72">
        <f t="shared" si="18"/>
        <v>0</v>
      </c>
    </row>
    <row r="52" spans="2:42" hidden="1">
      <c r="B52" s="60"/>
      <c r="C52" s="62"/>
      <c r="D52" s="79"/>
      <c r="E52" s="56"/>
      <c r="F52" s="76"/>
      <c r="G52" s="77">
        <f t="shared" si="3"/>
        <v>0</v>
      </c>
      <c r="H52" s="78">
        <f t="shared" si="4"/>
        <v>0</v>
      </c>
      <c r="I52" s="481"/>
      <c r="J52" s="72">
        <f t="shared" si="19"/>
        <v>0</v>
      </c>
      <c r="K52" s="72">
        <f t="shared" si="20"/>
        <v>0</v>
      </c>
      <c r="L52" s="72">
        <f t="shared" si="21"/>
        <v>0</v>
      </c>
      <c r="M52" s="72">
        <f t="shared" si="22"/>
        <v>0</v>
      </c>
      <c r="N52" s="72">
        <f t="shared" si="23"/>
        <v>0</v>
      </c>
      <c r="O52" s="72">
        <f t="shared" si="24"/>
        <v>0</v>
      </c>
      <c r="P52" s="72">
        <f t="shared" si="25"/>
        <v>0</v>
      </c>
      <c r="Q52" s="72">
        <f t="shared" si="26"/>
        <v>0</v>
      </c>
      <c r="R52" s="72">
        <f t="shared" si="27"/>
        <v>0</v>
      </c>
      <c r="S52" s="72">
        <f t="shared" si="28"/>
        <v>0</v>
      </c>
      <c r="T52" s="72">
        <f t="shared" si="29"/>
        <v>0</v>
      </c>
      <c r="U52" s="72">
        <f t="shared" si="30"/>
        <v>0</v>
      </c>
      <c r="V52" s="72">
        <f t="shared" si="35"/>
        <v>0</v>
      </c>
      <c r="W52" s="72">
        <f t="shared" si="35"/>
        <v>0</v>
      </c>
      <c r="X52" s="72">
        <f t="shared" si="35"/>
        <v>0</v>
      </c>
      <c r="Z52" s="72">
        <f t="shared" si="6"/>
        <v>0</v>
      </c>
      <c r="AA52" s="72">
        <f t="shared" si="7"/>
        <v>0</v>
      </c>
      <c r="AB52" s="72">
        <f t="shared" si="8"/>
        <v>0</v>
      </c>
      <c r="AC52" s="72">
        <f t="shared" si="9"/>
        <v>0</v>
      </c>
      <c r="AD52" s="72">
        <f t="shared" si="10"/>
        <v>0</v>
      </c>
      <c r="AE52" s="72">
        <f t="shared" si="11"/>
        <v>0</v>
      </c>
      <c r="AF52" s="72">
        <f t="shared" si="12"/>
        <v>0</v>
      </c>
      <c r="AG52" s="72">
        <f t="shared" si="13"/>
        <v>0</v>
      </c>
      <c r="AH52" s="72">
        <f t="shared" si="14"/>
        <v>0</v>
      </c>
      <c r="AI52" s="72">
        <f t="shared" si="15"/>
        <v>0</v>
      </c>
      <c r="AJ52" s="72">
        <f t="shared" si="16"/>
        <v>0</v>
      </c>
      <c r="AK52" s="72">
        <f t="shared" si="17"/>
        <v>0</v>
      </c>
      <c r="AL52" s="72">
        <f t="shared" si="18"/>
        <v>0</v>
      </c>
      <c r="AM52" s="72">
        <f t="shared" si="18"/>
        <v>0</v>
      </c>
      <c r="AN52" s="72">
        <f t="shared" si="18"/>
        <v>0</v>
      </c>
    </row>
    <row r="53" spans="2:42" hidden="1">
      <c r="B53" s="60"/>
      <c r="C53" s="62"/>
      <c r="D53" s="79"/>
      <c r="E53" s="56"/>
      <c r="F53" s="76"/>
      <c r="G53" s="77">
        <f t="shared" si="3"/>
        <v>0</v>
      </c>
      <c r="H53" s="78">
        <f t="shared" si="4"/>
        <v>0</v>
      </c>
      <c r="I53" s="481"/>
      <c r="J53" s="72">
        <f t="shared" si="19"/>
        <v>0</v>
      </c>
      <c r="K53" s="72">
        <f t="shared" si="20"/>
        <v>0</v>
      </c>
      <c r="L53" s="72">
        <f t="shared" si="21"/>
        <v>0</v>
      </c>
      <c r="M53" s="72">
        <f t="shared" si="22"/>
        <v>0</v>
      </c>
      <c r="N53" s="72">
        <f t="shared" si="23"/>
        <v>0</v>
      </c>
      <c r="O53" s="72">
        <f t="shared" si="24"/>
        <v>0</v>
      </c>
      <c r="P53" s="72">
        <f t="shared" si="25"/>
        <v>0</v>
      </c>
      <c r="Q53" s="72">
        <f t="shared" si="26"/>
        <v>0</v>
      </c>
      <c r="R53" s="72">
        <f t="shared" si="27"/>
        <v>0</v>
      </c>
      <c r="S53" s="72">
        <f t="shared" si="28"/>
        <v>0</v>
      </c>
      <c r="T53" s="72">
        <f t="shared" si="29"/>
        <v>0</v>
      </c>
      <c r="U53" s="72">
        <f t="shared" si="30"/>
        <v>0</v>
      </c>
      <c r="V53" s="72">
        <f t="shared" si="35"/>
        <v>0</v>
      </c>
      <c r="W53" s="72">
        <f t="shared" si="35"/>
        <v>0</v>
      </c>
      <c r="X53" s="72">
        <f t="shared" si="35"/>
        <v>0</v>
      </c>
      <c r="Z53" s="72">
        <f t="shared" si="6"/>
        <v>0</v>
      </c>
      <c r="AA53" s="72">
        <f t="shared" si="7"/>
        <v>0</v>
      </c>
      <c r="AB53" s="72">
        <f t="shared" si="8"/>
        <v>0</v>
      </c>
      <c r="AC53" s="72">
        <f t="shared" si="9"/>
        <v>0</v>
      </c>
      <c r="AD53" s="72">
        <f t="shared" si="10"/>
        <v>0</v>
      </c>
      <c r="AE53" s="72">
        <f t="shared" si="11"/>
        <v>0</v>
      </c>
      <c r="AF53" s="72">
        <f t="shared" si="12"/>
        <v>0</v>
      </c>
      <c r="AG53" s="72">
        <f t="shared" si="13"/>
        <v>0</v>
      </c>
      <c r="AH53" s="72">
        <f t="shared" si="14"/>
        <v>0</v>
      </c>
      <c r="AI53" s="72">
        <f t="shared" si="15"/>
        <v>0</v>
      </c>
      <c r="AJ53" s="72">
        <f t="shared" si="16"/>
        <v>0</v>
      </c>
      <c r="AK53" s="72">
        <f t="shared" si="17"/>
        <v>0</v>
      </c>
      <c r="AL53" s="72">
        <f t="shared" si="18"/>
        <v>0</v>
      </c>
      <c r="AM53" s="72">
        <f t="shared" si="18"/>
        <v>0</v>
      </c>
      <c r="AN53" s="72">
        <f t="shared" si="18"/>
        <v>0</v>
      </c>
    </row>
    <row r="54" spans="2:42" hidden="1">
      <c r="B54" s="60"/>
      <c r="C54" s="62"/>
      <c r="D54" s="79"/>
      <c r="E54" s="56"/>
      <c r="F54" s="76"/>
      <c r="G54" s="77">
        <f t="shared" si="3"/>
        <v>0</v>
      </c>
      <c r="H54" s="78">
        <f t="shared" si="4"/>
        <v>0</v>
      </c>
      <c r="I54" s="481"/>
      <c r="J54" s="72">
        <f t="shared" si="19"/>
        <v>0</v>
      </c>
      <c r="K54" s="72">
        <f t="shared" si="20"/>
        <v>0</v>
      </c>
      <c r="L54" s="72">
        <f t="shared" si="21"/>
        <v>0</v>
      </c>
      <c r="M54" s="72">
        <f t="shared" si="22"/>
        <v>0</v>
      </c>
      <c r="N54" s="72">
        <f t="shared" si="23"/>
        <v>0</v>
      </c>
      <c r="O54" s="72">
        <f t="shared" si="24"/>
        <v>0</v>
      </c>
      <c r="P54" s="72">
        <f t="shared" si="25"/>
        <v>0</v>
      </c>
      <c r="Q54" s="72">
        <f t="shared" si="26"/>
        <v>0</v>
      </c>
      <c r="R54" s="72">
        <f t="shared" si="27"/>
        <v>0</v>
      </c>
      <c r="S54" s="72">
        <f t="shared" si="28"/>
        <v>0</v>
      </c>
      <c r="T54" s="72">
        <f t="shared" si="29"/>
        <v>0</v>
      </c>
      <c r="U54" s="72">
        <f t="shared" si="30"/>
        <v>0</v>
      </c>
      <c r="V54" s="72">
        <f t="shared" si="35"/>
        <v>0</v>
      </c>
      <c r="W54" s="72">
        <f t="shared" si="35"/>
        <v>0</v>
      </c>
      <c r="X54" s="72">
        <f t="shared" si="35"/>
        <v>0</v>
      </c>
      <c r="Z54" s="72">
        <f t="shared" si="6"/>
        <v>0</v>
      </c>
      <c r="AA54" s="72">
        <f t="shared" si="7"/>
        <v>0</v>
      </c>
      <c r="AB54" s="72">
        <f t="shared" si="8"/>
        <v>0</v>
      </c>
      <c r="AC54" s="72">
        <f t="shared" si="9"/>
        <v>0</v>
      </c>
      <c r="AD54" s="72">
        <f t="shared" si="10"/>
        <v>0</v>
      </c>
      <c r="AE54" s="72">
        <f t="shared" si="11"/>
        <v>0</v>
      </c>
      <c r="AF54" s="72">
        <f t="shared" si="12"/>
        <v>0</v>
      </c>
      <c r="AG54" s="72">
        <f t="shared" si="13"/>
        <v>0</v>
      </c>
      <c r="AH54" s="72">
        <f t="shared" si="14"/>
        <v>0</v>
      </c>
      <c r="AI54" s="72">
        <f t="shared" si="15"/>
        <v>0</v>
      </c>
      <c r="AJ54" s="72">
        <f t="shared" si="16"/>
        <v>0</v>
      </c>
      <c r="AK54" s="72">
        <f t="shared" si="17"/>
        <v>0</v>
      </c>
      <c r="AL54" s="72">
        <f t="shared" si="18"/>
        <v>0</v>
      </c>
      <c r="AM54" s="72">
        <f t="shared" si="18"/>
        <v>0</v>
      </c>
      <c r="AN54" s="72">
        <f t="shared" si="18"/>
        <v>0</v>
      </c>
    </row>
    <row r="55" spans="2:42" hidden="1">
      <c r="B55" s="60"/>
      <c r="C55" s="62"/>
      <c r="D55" s="79"/>
      <c r="E55" s="56"/>
      <c r="F55" s="76"/>
      <c r="G55" s="77">
        <f t="shared" si="3"/>
        <v>0</v>
      </c>
      <c r="H55" s="78">
        <f t="shared" si="4"/>
        <v>0</v>
      </c>
      <c r="I55" s="481"/>
      <c r="J55" s="72">
        <f t="shared" si="19"/>
        <v>0</v>
      </c>
      <c r="K55" s="72">
        <f t="shared" si="20"/>
        <v>0</v>
      </c>
      <c r="L55" s="72">
        <f t="shared" si="21"/>
        <v>0</v>
      </c>
      <c r="M55" s="72">
        <f t="shared" si="22"/>
        <v>0</v>
      </c>
      <c r="N55" s="72">
        <f t="shared" si="23"/>
        <v>0</v>
      </c>
      <c r="O55" s="72">
        <f t="shared" si="24"/>
        <v>0</v>
      </c>
      <c r="P55" s="72">
        <f t="shared" si="25"/>
        <v>0</v>
      </c>
      <c r="Q55" s="72">
        <f t="shared" si="26"/>
        <v>0</v>
      </c>
      <c r="R55" s="72">
        <f t="shared" si="27"/>
        <v>0</v>
      </c>
      <c r="S55" s="72">
        <f t="shared" si="28"/>
        <v>0</v>
      </c>
      <c r="T55" s="72">
        <f t="shared" si="29"/>
        <v>0</v>
      </c>
      <c r="U55" s="72">
        <f t="shared" si="30"/>
        <v>0</v>
      </c>
      <c r="V55" s="72">
        <f t="shared" si="35"/>
        <v>0</v>
      </c>
      <c r="W55" s="72">
        <f t="shared" si="35"/>
        <v>0</v>
      </c>
      <c r="X55" s="72">
        <f t="shared" si="35"/>
        <v>0</v>
      </c>
      <c r="Z55" s="72">
        <f t="shared" si="6"/>
        <v>0</v>
      </c>
      <c r="AA55" s="72">
        <f t="shared" si="7"/>
        <v>0</v>
      </c>
      <c r="AB55" s="72">
        <f t="shared" si="8"/>
        <v>0</v>
      </c>
      <c r="AC55" s="72">
        <f t="shared" si="9"/>
        <v>0</v>
      </c>
      <c r="AD55" s="72">
        <f t="shared" si="10"/>
        <v>0</v>
      </c>
      <c r="AE55" s="72">
        <f t="shared" si="11"/>
        <v>0</v>
      </c>
      <c r="AF55" s="72">
        <f t="shared" si="12"/>
        <v>0</v>
      </c>
      <c r="AG55" s="72">
        <f t="shared" si="13"/>
        <v>0</v>
      </c>
      <c r="AH55" s="72">
        <f t="shared" si="14"/>
        <v>0</v>
      </c>
      <c r="AI55" s="72">
        <f t="shared" si="15"/>
        <v>0</v>
      </c>
      <c r="AJ55" s="72">
        <f t="shared" si="16"/>
        <v>0</v>
      </c>
      <c r="AK55" s="72">
        <f t="shared" si="17"/>
        <v>0</v>
      </c>
      <c r="AL55" s="72">
        <f t="shared" si="18"/>
        <v>0</v>
      </c>
      <c r="AM55" s="72">
        <f t="shared" si="18"/>
        <v>0</v>
      </c>
      <c r="AN55" s="72">
        <f t="shared" si="18"/>
        <v>0</v>
      </c>
    </row>
    <row r="56" spans="2:42" hidden="1">
      <c r="B56" s="60"/>
      <c r="C56" s="62"/>
      <c r="D56" s="79"/>
      <c r="E56" s="56"/>
      <c r="F56" s="76"/>
      <c r="G56" s="77">
        <f t="shared" si="3"/>
        <v>0</v>
      </c>
      <c r="H56" s="78">
        <f t="shared" si="4"/>
        <v>0</v>
      </c>
      <c r="I56" s="481"/>
      <c r="J56" s="72">
        <f t="shared" si="19"/>
        <v>0</v>
      </c>
      <c r="K56" s="72">
        <f t="shared" si="20"/>
        <v>0</v>
      </c>
      <c r="L56" s="72">
        <f t="shared" si="21"/>
        <v>0</v>
      </c>
      <c r="M56" s="72">
        <f t="shared" si="22"/>
        <v>0</v>
      </c>
      <c r="N56" s="72">
        <f t="shared" si="23"/>
        <v>0</v>
      </c>
      <c r="O56" s="72">
        <f t="shared" si="24"/>
        <v>0</v>
      </c>
      <c r="P56" s="72">
        <f t="shared" si="25"/>
        <v>0</v>
      </c>
      <c r="Q56" s="72">
        <f t="shared" si="26"/>
        <v>0</v>
      </c>
      <c r="R56" s="72">
        <f t="shared" si="27"/>
        <v>0</v>
      </c>
      <c r="S56" s="72">
        <f t="shared" si="28"/>
        <v>0</v>
      </c>
      <c r="T56" s="72">
        <f t="shared" si="29"/>
        <v>0</v>
      </c>
      <c r="U56" s="72">
        <f t="shared" si="30"/>
        <v>0</v>
      </c>
      <c r="V56" s="72">
        <f t="shared" si="35"/>
        <v>0</v>
      </c>
      <c r="W56" s="72">
        <f t="shared" si="35"/>
        <v>0</v>
      </c>
      <c r="X56" s="72">
        <f t="shared" si="35"/>
        <v>0</v>
      </c>
      <c r="Z56" s="72">
        <f t="shared" si="6"/>
        <v>0</v>
      </c>
      <c r="AA56" s="72">
        <f t="shared" si="7"/>
        <v>0</v>
      </c>
      <c r="AB56" s="72">
        <f t="shared" si="8"/>
        <v>0</v>
      </c>
      <c r="AC56" s="72">
        <f t="shared" si="9"/>
        <v>0</v>
      </c>
      <c r="AD56" s="72">
        <f t="shared" si="10"/>
        <v>0</v>
      </c>
      <c r="AE56" s="72">
        <f t="shared" si="11"/>
        <v>0</v>
      </c>
      <c r="AF56" s="72">
        <f t="shared" si="12"/>
        <v>0</v>
      </c>
      <c r="AG56" s="72">
        <f t="shared" si="13"/>
        <v>0</v>
      </c>
      <c r="AH56" s="72">
        <f t="shared" si="14"/>
        <v>0</v>
      </c>
      <c r="AI56" s="72">
        <f t="shared" si="15"/>
        <v>0</v>
      </c>
      <c r="AJ56" s="72">
        <f t="shared" si="16"/>
        <v>0</v>
      </c>
      <c r="AK56" s="72">
        <f t="shared" si="17"/>
        <v>0</v>
      </c>
      <c r="AL56" s="72">
        <f t="shared" si="18"/>
        <v>0</v>
      </c>
      <c r="AM56" s="72">
        <f t="shared" si="18"/>
        <v>0</v>
      </c>
      <c r="AN56" s="72">
        <f t="shared" si="18"/>
        <v>0</v>
      </c>
    </row>
    <row r="57" spans="2:42" hidden="1">
      <c r="B57" s="60"/>
      <c r="C57" s="62"/>
      <c r="D57" s="79"/>
      <c r="E57" s="56"/>
      <c r="F57" s="76"/>
      <c r="G57" s="77">
        <f t="shared" si="3"/>
        <v>0</v>
      </c>
      <c r="H57" s="78">
        <f t="shared" si="4"/>
        <v>0</v>
      </c>
      <c r="I57" s="481"/>
      <c r="J57" s="72">
        <f t="shared" si="19"/>
        <v>0</v>
      </c>
      <c r="K57" s="72">
        <f t="shared" si="20"/>
        <v>0</v>
      </c>
      <c r="L57" s="72">
        <f t="shared" si="21"/>
        <v>0</v>
      </c>
      <c r="M57" s="72">
        <f t="shared" si="22"/>
        <v>0</v>
      </c>
      <c r="N57" s="72">
        <f t="shared" si="23"/>
        <v>0</v>
      </c>
      <c r="O57" s="72">
        <f t="shared" si="24"/>
        <v>0</v>
      </c>
      <c r="P57" s="72">
        <f t="shared" si="25"/>
        <v>0</v>
      </c>
      <c r="Q57" s="72">
        <f t="shared" si="26"/>
        <v>0</v>
      </c>
      <c r="R57" s="72">
        <f t="shared" si="27"/>
        <v>0</v>
      </c>
      <c r="S57" s="72">
        <f t="shared" si="28"/>
        <v>0</v>
      </c>
      <c r="T57" s="72">
        <f t="shared" si="29"/>
        <v>0</v>
      </c>
      <c r="U57" s="72">
        <f t="shared" si="30"/>
        <v>0</v>
      </c>
      <c r="V57" s="72">
        <f t="shared" si="35"/>
        <v>0</v>
      </c>
      <c r="W57" s="72">
        <f t="shared" si="35"/>
        <v>0</v>
      </c>
      <c r="X57" s="72">
        <f t="shared" si="35"/>
        <v>0</v>
      </c>
      <c r="Z57" s="72">
        <f t="shared" si="6"/>
        <v>0</v>
      </c>
      <c r="AA57" s="72">
        <f t="shared" si="7"/>
        <v>0</v>
      </c>
      <c r="AB57" s="72">
        <f t="shared" si="8"/>
        <v>0</v>
      </c>
      <c r="AC57" s="72">
        <f t="shared" si="9"/>
        <v>0</v>
      </c>
      <c r="AD57" s="72">
        <f t="shared" si="10"/>
        <v>0</v>
      </c>
      <c r="AE57" s="72">
        <f t="shared" si="11"/>
        <v>0</v>
      </c>
      <c r="AF57" s="72">
        <f t="shared" si="12"/>
        <v>0</v>
      </c>
      <c r="AG57" s="72">
        <f t="shared" si="13"/>
        <v>0</v>
      </c>
      <c r="AH57" s="72">
        <f t="shared" si="14"/>
        <v>0</v>
      </c>
      <c r="AI57" s="72">
        <f t="shared" si="15"/>
        <v>0</v>
      </c>
      <c r="AJ57" s="72">
        <f t="shared" si="16"/>
        <v>0</v>
      </c>
      <c r="AK57" s="72">
        <f t="shared" si="17"/>
        <v>0</v>
      </c>
      <c r="AL57" s="72">
        <f t="shared" si="18"/>
        <v>0</v>
      </c>
      <c r="AM57" s="72">
        <f t="shared" si="18"/>
        <v>0</v>
      </c>
      <c r="AN57" s="72">
        <f t="shared" si="18"/>
        <v>0</v>
      </c>
    </row>
    <row r="58" spans="2:42" hidden="1">
      <c r="B58" s="60"/>
      <c r="C58" s="62"/>
      <c r="D58" s="79"/>
      <c r="E58" s="56"/>
      <c r="F58" s="76"/>
      <c r="G58" s="77">
        <f t="shared" si="3"/>
        <v>0</v>
      </c>
      <c r="H58" s="78">
        <f t="shared" si="4"/>
        <v>0</v>
      </c>
      <c r="I58" s="481"/>
      <c r="J58" s="72">
        <f t="shared" si="19"/>
        <v>0</v>
      </c>
      <c r="K58" s="72">
        <f t="shared" si="20"/>
        <v>0</v>
      </c>
      <c r="L58" s="72">
        <f t="shared" si="21"/>
        <v>0</v>
      </c>
      <c r="M58" s="72">
        <f t="shared" si="22"/>
        <v>0</v>
      </c>
      <c r="N58" s="72">
        <f t="shared" si="23"/>
        <v>0</v>
      </c>
      <c r="O58" s="72">
        <f t="shared" si="24"/>
        <v>0</v>
      </c>
      <c r="P58" s="72">
        <f t="shared" si="25"/>
        <v>0</v>
      </c>
      <c r="Q58" s="72">
        <f t="shared" si="26"/>
        <v>0</v>
      </c>
      <c r="R58" s="72">
        <f t="shared" si="27"/>
        <v>0</v>
      </c>
      <c r="S58" s="72">
        <f t="shared" si="28"/>
        <v>0</v>
      </c>
      <c r="T58" s="72">
        <f t="shared" si="29"/>
        <v>0</v>
      </c>
      <c r="U58" s="72">
        <f t="shared" si="30"/>
        <v>0</v>
      </c>
      <c r="V58" s="72">
        <f t="shared" si="35"/>
        <v>0</v>
      </c>
      <c r="W58" s="72">
        <f t="shared" si="35"/>
        <v>0</v>
      </c>
      <c r="X58" s="72">
        <f t="shared" si="35"/>
        <v>0</v>
      </c>
      <c r="Z58" s="72">
        <f t="shared" si="6"/>
        <v>0</v>
      </c>
      <c r="AA58" s="72">
        <f t="shared" si="7"/>
        <v>0</v>
      </c>
      <c r="AB58" s="72">
        <f t="shared" si="8"/>
        <v>0</v>
      </c>
      <c r="AC58" s="72">
        <f t="shared" si="9"/>
        <v>0</v>
      </c>
      <c r="AD58" s="72">
        <f t="shared" si="10"/>
        <v>0</v>
      </c>
      <c r="AE58" s="72">
        <f t="shared" si="11"/>
        <v>0</v>
      </c>
      <c r="AF58" s="72">
        <f t="shared" si="12"/>
        <v>0</v>
      </c>
      <c r="AG58" s="72">
        <f t="shared" si="13"/>
        <v>0</v>
      </c>
      <c r="AH58" s="72">
        <f t="shared" si="14"/>
        <v>0</v>
      </c>
      <c r="AI58" s="72">
        <f t="shared" si="15"/>
        <v>0</v>
      </c>
      <c r="AJ58" s="72">
        <f t="shared" si="16"/>
        <v>0</v>
      </c>
      <c r="AK58" s="72">
        <f t="shared" si="17"/>
        <v>0</v>
      </c>
      <c r="AL58" s="72">
        <f t="shared" si="18"/>
        <v>0</v>
      </c>
      <c r="AM58" s="72">
        <f t="shared" si="18"/>
        <v>0</v>
      </c>
      <c r="AN58" s="72">
        <f t="shared" si="18"/>
        <v>0</v>
      </c>
    </row>
    <row r="59" spans="2:42" hidden="1">
      <c r="B59" s="60"/>
      <c r="C59" s="62"/>
      <c r="D59" s="79"/>
      <c r="E59" s="56"/>
      <c r="F59" s="76"/>
      <c r="G59" s="77">
        <f t="shared" si="3"/>
        <v>0</v>
      </c>
      <c r="H59" s="78">
        <f t="shared" si="4"/>
        <v>0</v>
      </c>
      <c r="I59" s="481"/>
      <c r="J59" s="72">
        <f t="shared" si="19"/>
        <v>0</v>
      </c>
      <c r="K59" s="72">
        <f t="shared" si="20"/>
        <v>0</v>
      </c>
      <c r="L59" s="72">
        <f t="shared" si="21"/>
        <v>0</v>
      </c>
      <c r="M59" s="72">
        <f t="shared" si="22"/>
        <v>0</v>
      </c>
      <c r="N59" s="72">
        <f t="shared" si="23"/>
        <v>0</v>
      </c>
      <c r="O59" s="72">
        <f t="shared" si="24"/>
        <v>0</v>
      </c>
      <c r="P59" s="72">
        <f t="shared" si="25"/>
        <v>0</v>
      </c>
      <c r="Q59" s="72">
        <f t="shared" si="26"/>
        <v>0</v>
      </c>
      <c r="R59" s="72">
        <f t="shared" si="27"/>
        <v>0</v>
      </c>
      <c r="S59" s="72">
        <f t="shared" si="28"/>
        <v>0</v>
      </c>
      <c r="T59" s="72">
        <f t="shared" si="29"/>
        <v>0</v>
      </c>
      <c r="U59" s="72">
        <f t="shared" si="30"/>
        <v>0</v>
      </c>
      <c r="V59" s="72">
        <f t="shared" si="35"/>
        <v>0</v>
      </c>
      <c r="W59" s="72">
        <f t="shared" si="35"/>
        <v>0</v>
      </c>
      <c r="X59" s="72">
        <f t="shared" si="35"/>
        <v>0</v>
      </c>
      <c r="Z59" s="72">
        <f t="shared" si="6"/>
        <v>0</v>
      </c>
      <c r="AA59" s="72">
        <f t="shared" si="7"/>
        <v>0</v>
      </c>
      <c r="AB59" s="72">
        <f t="shared" si="8"/>
        <v>0</v>
      </c>
      <c r="AC59" s="72">
        <f t="shared" si="9"/>
        <v>0</v>
      </c>
      <c r="AD59" s="72">
        <f t="shared" si="10"/>
        <v>0</v>
      </c>
      <c r="AE59" s="72">
        <f t="shared" si="11"/>
        <v>0</v>
      </c>
      <c r="AF59" s="72">
        <f t="shared" si="12"/>
        <v>0</v>
      </c>
      <c r="AG59" s="72">
        <f t="shared" si="13"/>
        <v>0</v>
      </c>
      <c r="AH59" s="72">
        <f t="shared" si="14"/>
        <v>0</v>
      </c>
      <c r="AI59" s="72">
        <f t="shared" si="15"/>
        <v>0</v>
      </c>
      <c r="AJ59" s="72">
        <f t="shared" si="16"/>
        <v>0</v>
      </c>
      <c r="AK59" s="72">
        <f t="shared" si="17"/>
        <v>0</v>
      </c>
      <c r="AL59" s="72">
        <f t="shared" si="18"/>
        <v>0</v>
      </c>
      <c r="AM59" s="72">
        <f t="shared" si="18"/>
        <v>0</v>
      </c>
      <c r="AN59" s="72">
        <f t="shared" si="18"/>
        <v>0</v>
      </c>
    </row>
    <row r="60" spans="2:42" hidden="1">
      <c r="B60" s="60"/>
      <c r="C60" s="62"/>
      <c r="D60" s="79"/>
      <c r="E60" s="56"/>
      <c r="F60" s="76"/>
      <c r="G60" s="77">
        <f t="shared" si="3"/>
        <v>0</v>
      </c>
      <c r="H60" s="78">
        <f t="shared" si="4"/>
        <v>0</v>
      </c>
      <c r="I60" s="481"/>
      <c r="J60" s="72">
        <f t="shared" si="19"/>
        <v>0</v>
      </c>
      <c r="K60" s="72">
        <f t="shared" si="20"/>
        <v>0</v>
      </c>
      <c r="L60" s="72">
        <f t="shared" si="21"/>
        <v>0</v>
      </c>
      <c r="M60" s="72">
        <f t="shared" si="22"/>
        <v>0</v>
      </c>
      <c r="N60" s="72">
        <f t="shared" si="23"/>
        <v>0</v>
      </c>
      <c r="O60" s="72">
        <f t="shared" si="24"/>
        <v>0</v>
      </c>
      <c r="P60" s="72">
        <f t="shared" si="25"/>
        <v>0</v>
      </c>
      <c r="Q60" s="72">
        <f t="shared" si="26"/>
        <v>0</v>
      </c>
      <c r="R60" s="72">
        <f t="shared" si="27"/>
        <v>0</v>
      </c>
      <c r="S60" s="72">
        <f t="shared" si="28"/>
        <v>0</v>
      </c>
      <c r="T60" s="72">
        <f t="shared" si="29"/>
        <v>0</v>
      </c>
      <c r="U60" s="72">
        <f t="shared" si="30"/>
        <v>0</v>
      </c>
      <c r="V60" s="72">
        <f t="shared" si="35"/>
        <v>0</v>
      </c>
      <c r="W60" s="72">
        <f t="shared" si="35"/>
        <v>0</v>
      </c>
      <c r="X60" s="72">
        <f t="shared" si="35"/>
        <v>0</v>
      </c>
      <c r="Z60" s="72">
        <f t="shared" si="6"/>
        <v>0</v>
      </c>
      <c r="AA60" s="72">
        <f t="shared" si="7"/>
        <v>0</v>
      </c>
      <c r="AB60" s="72">
        <f t="shared" si="8"/>
        <v>0</v>
      </c>
      <c r="AC60" s="72">
        <f t="shared" si="9"/>
        <v>0</v>
      </c>
      <c r="AD60" s="72">
        <f t="shared" si="10"/>
        <v>0</v>
      </c>
      <c r="AE60" s="72">
        <f t="shared" si="11"/>
        <v>0</v>
      </c>
      <c r="AF60" s="72">
        <f t="shared" si="12"/>
        <v>0</v>
      </c>
      <c r="AG60" s="72">
        <f t="shared" si="13"/>
        <v>0</v>
      </c>
      <c r="AH60" s="72">
        <f t="shared" si="14"/>
        <v>0</v>
      </c>
      <c r="AI60" s="72">
        <f t="shared" si="15"/>
        <v>0</v>
      </c>
      <c r="AJ60" s="72">
        <f t="shared" si="16"/>
        <v>0</v>
      </c>
      <c r="AK60" s="72">
        <f t="shared" si="17"/>
        <v>0</v>
      </c>
      <c r="AL60" s="72">
        <f t="shared" si="18"/>
        <v>0</v>
      </c>
      <c r="AM60" s="72">
        <f t="shared" si="18"/>
        <v>0</v>
      </c>
      <c r="AN60" s="72">
        <f t="shared" si="18"/>
        <v>0</v>
      </c>
    </row>
    <row r="61" spans="2:42" hidden="1">
      <c r="B61" s="60"/>
      <c r="C61" s="62"/>
      <c r="D61" s="79"/>
      <c r="E61" s="56"/>
      <c r="F61" s="76"/>
      <c r="G61" s="77">
        <f t="shared" si="3"/>
        <v>0</v>
      </c>
      <c r="H61" s="78">
        <f t="shared" si="4"/>
        <v>0</v>
      </c>
      <c r="I61" s="481"/>
      <c r="J61" s="72">
        <f t="shared" si="19"/>
        <v>0</v>
      </c>
      <c r="K61" s="72">
        <f t="shared" si="20"/>
        <v>0</v>
      </c>
      <c r="L61" s="72">
        <f t="shared" si="21"/>
        <v>0</v>
      </c>
      <c r="M61" s="72">
        <f t="shared" si="22"/>
        <v>0</v>
      </c>
      <c r="N61" s="72">
        <f t="shared" si="23"/>
        <v>0</v>
      </c>
      <c r="O61" s="72">
        <f t="shared" si="24"/>
        <v>0</v>
      </c>
      <c r="P61" s="72">
        <f t="shared" si="25"/>
        <v>0</v>
      </c>
      <c r="Q61" s="72">
        <f t="shared" si="26"/>
        <v>0</v>
      </c>
      <c r="R61" s="72">
        <f t="shared" si="27"/>
        <v>0</v>
      </c>
      <c r="S61" s="72">
        <f t="shared" si="28"/>
        <v>0</v>
      </c>
      <c r="T61" s="72">
        <f t="shared" si="29"/>
        <v>0</v>
      </c>
      <c r="U61" s="72">
        <f t="shared" si="30"/>
        <v>0</v>
      </c>
      <c r="V61" s="72">
        <f t="shared" si="35"/>
        <v>0</v>
      </c>
      <c r="W61" s="72">
        <f t="shared" si="35"/>
        <v>0</v>
      </c>
      <c r="X61" s="72">
        <f t="shared" si="35"/>
        <v>0</v>
      </c>
      <c r="Z61" s="72">
        <f t="shared" si="6"/>
        <v>0</v>
      </c>
      <c r="AA61" s="72">
        <f t="shared" si="7"/>
        <v>0</v>
      </c>
      <c r="AB61" s="72">
        <f t="shared" si="8"/>
        <v>0</v>
      </c>
      <c r="AC61" s="72">
        <f t="shared" si="9"/>
        <v>0</v>
      </c>
      <c r="AD61" s="72">
        <f t="shared" si="10"/>
        <v>0</v>
      </c>
      <c r="AE61" s="72">
        <f t="shared" si="11"/>
        <v>0</v>
      </c>
      <c r="AF61" s="72">
        <f t="shared" si="12"/>
        <v>0</v>
      </c>
      <c r="AG61" s="72">
        <f t="shared" si="13"/>
        <v>0</v>
      </c>
      <c r="AH61" s="72">
        <f t="shared" si="14"/>
        <v>0</v>
      </c>
      <c r="AI61" s="72">
        <f t="shared" si="15"/>
        <v>0</v>
      </c>
      <c r="AJ61" s="72">
        <f t="shared" si="16"/>
        <v>0</v>
      </c>
      <c r="AK61" s="72">
        <f t="shared" si="17"/>
        <v>0</v>
      </c>
      <c r="AL61" s="72">
        <f t="shared" si="18"/>
        <v>0</v>
      </c>
      <c r="AM61" s="72">
        <f t="shared" si="18"/>
        <v>0</v>
      </c>
      <c r="AN61" s="72">
        <f t="shared" si="18"/>
        <v>0</v>
      </c>
    </row>
    <row r="62" spans="2:42" ht="0.75" customHeight="1" thickBot="1">
      <c r="B62" s="100"/>
      <c r="C62" s="84"/>
      <c r="D62" s="171"/>
      <c r="E62" s="86"/>
      <c r="F62" s="163"/>
      <c r="G62" s="161">
        <f t="shared" si="3"/>
        <v>0</v>
      </c>
      <c r="H62" s="162">
        <f t="shared" si="4"/>
        <v>0</v>
      </c>
      <c r="I62" s="481"/>
      <c r="J62" s="72">
        <f t="shared" si="19"/>
        <v>0</v>
      </c>
      <c r="K62" s="72">
        <f t="shared" si="20"/>
        <v>0</v>
      </c>
      <c r="L62" s="72">
        <f t="shared" si="21"/>
        <v>0</v>
      </c>
      <c r="M62" s="72">
        <f t="shared" si="22"/>
        <v>0</v>
      </c>
      <c r="N62" s="72">
        <f t="shared" si="23"/>
        <v>0</v>
      </c>
      <c r="O62" s="72">
        <f t="shared" si="24"/>
        <v>0</v>
      </c>
      <c r="P62" s="72">
        <f t="shared" si="25"/>
        <v>0</v>
      </c>
      <c r="Q62" s="72">
        <f t="shared" si="26"/>
        <v>0</v>
      </c>
      <c r="R62" s="72">
        <f t="shared" si="27"/>
        <v>0</v>
      </c>
      <c r="S62" s="72">
        <f t="shared" si="28"/>
        <v>0</v>
      </c>
      <c r="T62" s="72">
        <f t="shared" si="29"/>
        <v>0</v>
      </c>
      <c r="U62" s="72">
        <f t="shared" si="30"/>
        <v>0</v>
      </c>
      <c r="V62" s="72">
        <f t="shared" si="35"/>
        <v>0</v>
      </c>
      <c r="W62" s="72">
        <f t="shared" si="35"/>
        <v>0</v>
      </c>
      <c r="X62" s="72">
        <f t="shared" si="35"/>
        <v>0</v>
      </c>
      <c r="Z62" s="72">
        <f t="shared" si="6"/>
        <v>0</v>
      </c>
      <c r="AA62" s="72">
        <f t="shared" si="7"/>
        <v>0</v>
      </c>
      <c r="AB62" s="72">
        <f t="shared" si="8"/>
        <v>0</v>
      </c>
      <c r="AC62" s="72">
        <f t="shared" si="9"/>
        <v>0</v>
      </c>
      <c r="AD62" s="72">
        <f t="shared" si="10"/>
        <v>0</v>
      </c>
      <c r="AE62" s="72">
        <f t="shared" si="11"/>
        <v>0</v>
      </c>
      <c r="AF62" s="72">
        <f t="shared" si="12"/>
        <v>0</v>
      </c>
      <c r="AG62" s="72">
        <f t="shared" si="13"/>
        <v>0</v>
      </c>
      <c r="AH62" s="72">
        <f t="shared" si="14"/>
        <v>0</v>
      </c>
      <c r="AI62" s="72">
        <f t="shared" si="15"/>
        <v>0</v>
      </c>
      <c r="AJ62" s="72">
        <f t="shared" si="16"/>
        <v>0</v>
      </c>
      <c r="AK62" s="72">
        <f t="shared" si="17"/>
        <v>0</v>
      </c>
      <c r="AL62" s="72">
        <f t="shared" si="18"/>
        <v>0</v>
      </c>
      <c r="AM62" s="72">
        <f t="shared" si="18"/>
        <v>0</v>
      </c>
      <c r="AN62" s="72">
        <f t="shared" si="18"/>
        <v>0</v>
      </c>
    </row>
    <row r="63" spans="2:42" ht="17.25" thickBot="1">
      <c r="C63" s="853" t="s">
        <v>45</v>
      </c>
      <c r="D63" s="854"/>
      <c r="E63" s="63">
        <f>SUM(E3:E62)</f>
        <v>1895.6300000000006</v>
      </c>
      <c r="F63" s="69"/>
      <c r="G63" s="64">
        <f>SUM(G3:G62)</f>
        <v>217.42500000000001</v>
      </c>
      <c r="H63" s="65">
        <f>SUM(H3:H62)</f>
        <v>1678.2050000000004</v>
      </c>
      <c r="I63" s="483"/>
      <c r="J63" s="73">
        <f>SUM(J3:J62)</f>
        <v>65.92</v>
      </c>
      <c r="K63" s="73">
        <f t="shared" ref="K63:X63" si="36">SUM(K3:K62)</f>
        <v>92.25</v>
      </c>
      <c r="L63" s="73">
        <f t="shared" si="36"/>
        <v>325.11</v>
      </c>
      <c r="M63" s="73">
        <f t="shared" si="36"/>
        <v>64.22</v>
      </c>
      <c r="N63" s="73">
        <f t="shared" si="36"/>
        <v>168.16000000000003</v>
      </c>
      <c r="O63" s="73">
        <f t="shared" si="36"/>
        <v>0</v>
      </c>
      <c r="P63" s="73">
        <f t="shared" si="36"/>
        <v>167.98</v>
      </c>
      <c r="Q63" s="73">
        <f t="shared" si="36"/>
        <v>0</v>
      </c>
      <c r="R63" s="73">
        <f t="shared" si="36"/>
        <v>238.13499999999999</v>
      </c>
      <c r="S63" s="73">
        <f t="shared" si="36"/>
        <v>78.3</v>
      </c>
      <c r="T63" s="73">
        <f t="shared" si="36"/>
        <v>60.67</v>
      </c>
      <c r="U63" s="73">
        <f t="shared" si="36"/>
        <v>0</v>
      </c>
      <c r="V63" s="73">
        <f t="shared" si="36"/>
        <v>32.869999999999997</v>
      </c>
      <c r="W63" s="73">
        <f t="shared" si="36"/>
        <v>384.59</v>
      </c>
      <c r="X63" s="73">
        <f t="shared" si="36"/>
        <v>0</v>
      </c>
      <c r="Y63" s="73"/>
      <c r="Z63" s="73">
        <f>SUM(Z3:Z62)</f>
        <v>0</v>
      </c>
      <c r="AA63" s="73">
        <f t="shared" ref="AA63:AN63" si="37">SUM(AA3:AA62)</f>
        <v>92.25</v>
      </c>
      <c r="AB63" s="73">
        <f t="shared" si="37"/>
        <v>0</v>
      </c>
      <c r="AC63" s="73">
        <f t="shared" si="37"/>
        <v>0</v>
      </c>
      <c r="AD63" s="73">
        <f t="shared" si="37"/>
        <v>117.31</v>
      </c>
      <c r="AE63" s="73">
        <f t="shared" si="37"/>
        <v>0</v>
      </c>
      <c r="AF63" s="73">
        <f t="shared" si="37"/>
        <v>0</v>
      </c>
      <c r="AG63" s="73">
        <f t="shared" si="37"/>
        <v>0</v>
      </c>
      <c r="AH63" s="73">
        <f t="shared" si="37"/>
        <v>7.8650000000000002</v>
      </c>
      <c r="AI63" s="73">
        <f t="shared" si="37"/>
        <v>0</v>
      </c>
      <c r="AJ63" s="73">
        <f t="shared" si="37"/>
        <v>0</v>
      </c>
      <c r="AK63" s="73">
        <f t="shared" si="37"/>
        <v>0</v>
      </c>
      <c r="AL63" s="73">
        <f t="shared" si="37"/>
        <v>0</v>
      </c>
      <c r="AM63" s="73">
        <f t="shared" si="37"/>
        <v>0</v>
      </c>
      <c r="AN63" s="73">
        <f t="shared" si="37"/>
        <v>0</v>
      </c>
      <c r="AO63" s="73"/>
      <c r="AP63" s="73"/>
    </row>
    <row r="64" spans="2:42">
      <c r="H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Z64" s="59"/>
      <c r="AA64" s="59"/>
      <c r="AB64" s="59"/>
      <c r="AC64" s="59"/>
      <c r="AD64" s="59"/>
      <c r="AE64" s="59"/>
      <c r="AF64" s="59"/>
      <c r="AG64" s="59"/>
      <c r="AH64" s="59"/>
      <c r="AI64" s="59"/>
    </row>
    <row r="70" spans="5:6">
      <c r="E70" s="59"/>
      <c r="F70" s="70"/>
    </row>
  </sheetData>
  <mergeCells count="7">
    <mergeCell ref="AR18:AT18"/>
    <mergeCell ref="C63:D63"/>
    <mergeCell ref="AV23:AW23"/>
    <mergeCell ref="AY23:AZ23"/>
    <mergeCell ref="AS25:AT25"/>
    <mergeCell ref="AS27:AT28"/>
    <mergeCell ref="B28:H39"/>
  </mergeCells>
  <dataValidations count="4">
    <dataValidation type="list" allowBlank="1" showInputMessage="1" showErrorMessage="1" sqref="F3:F27 F40:F62">
      <formula1>$AQ$17:$AQ$19</formula1>
    </dataValidation>
    <dataValidation type="list" allowBlank="1" showInputMessage="1" showErrorMessage="1" sqref="D11:D27 D40:D62">
      <formula1>$AQ$2:$AQ$16</formula1>
    </dataValidation>
    <dataValidation type="list" allowBlank="1" showInputMessage="1" showErrorMessage="1" sqref="D6:D10">
      <formula1>$AQ$2:$AQ$12</formula1>
    </dataValidation>
    <dataValidation type="list" allowBlank="1" showInputMessage="1" showErrorMessage="1" sqref="D3:D5">
      <formula1>$AH$2:$AH$12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B1:BC70"/>
  <sheetViews>
    <sheetView workbookViewId="0">
      <selection activeCell="B19" sqref="B19:H34"/>
    </sheetView>
  </sheetViews>
  <sheetFormatPr defaultRowHeight="16.5"/>
  <cols>
    <col min="1" max="1" width="1" style="55" customWidth="1"/>
    <col min="2" max="2" width="6.5703125" style="134" bestFit="1" customWidth="1"/>
    <col min="3" max="3" width="16.7109375" style="55" customWidth="1"/>
    <col min="4" max="4" width="17.5703125" style="55" customWidth="1"/>
    <col min="5" max="5" width="13.7109375" style="55" customWidth="1"/>
    <col min="6" max="6" width="13.7109375" style="134" customWidth="1"/>
    <col min="7" max="8" width="13.7109375" style="55" customWidth="1"/>
    <col min="9" max="9" width="8.42578125" style="479" customWidth="1"/>
    <col min="10" max="10" width="13.5703125" style="55" hidden="1" customWidth="1"/>
    <col min="11" max="11" width="7.85546875" style="55" hidden="1" customWidth="1"/>
    <col min="12" max="12" width="7.42578125" style="55" hidden="1" customWidth="1"/>
    <col min="13" max="13" width="9.7109375" style="55" hidden="1" customWidth="1"/>
    <col min="14" max="14" width="7.42578125" style="55" hidden="1" customWidth="1"/>
    <col min="15" max="15" width="14.5703125" style="55" hidden="1" customWidth="1"/>
    <col min="16" max="16" width="16.85546875" style="55" hidden="1" customWidth="1"/>
    <col min="17" max="17" width="7.7109375" style="55" hidden="1" customWidth="1"/>
    <col min="18" max="18" width="8.85546875" style="55" hidden="1" customWidth="1"/>
    <col min="19" max="19" width="8" style="55" hidden="1" customWidth="1"/>
    <col min="20" max="20" width="7.42578125" style="55" hidden="1" customWidth="1"/>
    <col min="21" max="21" width="2" style="55" hidden="1" customWidth="1"/>
    <col min="22" max="22" width="9.7109375" style="55" hidden="1" customWidth="1"/>
    <col min="23" max="24" width="7.42578125" style="55" hidden="1" customWidth="1"/>
    <col min="25" max="25" width="1.7109375" style="55" hidden="1" customWidth="1"/>
    <col min="26" max="26" width="13.5703125" style="55" hidden="1" customWidth="1"/>
    <col min="27" max="27" width="7.85546875" style="55" hidden="1" customWidth="1"/>
    <col min="28" max="28" width="7.42578125" style="55" hidden="1" customWidth="1"/>
    <col min="29" max="29" width="9.7109375" style="55" hidden="1" customWidth="1"/>
    <col min="30" max="30" width="7.42578125" style="55" hidden="1" customWidth="1"/>
    <col min="31" max="31" width="14.5703125" style="55" hidden="1" customWidth="1"/>
    <col min="32" max="32" width="16.85546875" style="55" hidden="1" customWidth="1"/>
    <col min="33" max="33" width="7.7109375" style="55" hidden="1" customWidth="1"/>
    <col min="34" max="34" width="8.85546875" style="55" hidden="1" customWidth="1"/>
    <col min="35" max="35" width="8" style="55" hidden="1" customWidth="1"/>
    <col min="36" max="36" width="7.42578125" style="55" hidden="1" customWidth="1"/>
    <col min="37" max="37" width="13.42578125" style="55" hidden="1" customWidth="1"/>
    <col min="38" max="38" width="10.28515625" style="450" hidden="1" customWidth="1"/>
    <col min="39" max="40" width="7.42578125" style="55" hidden="1" customWidth="1"/>
    <col min="41" max="41" width="4" style="55" hidden="1" customWidth="1"/>
    <col min="42" max="42" width="4.42578125" style="55" customWidth="1"/>
    <col min="43" max="43" width="16.85546875" style="55" bestFit="1" customWidth="1"/>
    <col min="44" max="47" width="12.7109375" style="55" customWidth="1"/>
    <col min="48" max="48" width="8.28515625" style="55" bestFit="1" customWidth="1"/>
    <col min="49" max="49" width="10.5703125" style="55" bestFit="1" customWidth="1"/>
    <col min="50" max="50" width="3.28515625" style="55" customWidth="1"/>
    <col min="51" max="51" width="18.42578125" style="55" bestFit="1" customWidth="1"/>
    <col min="52" max="52" width="11.7109375" style="55" bestFit="1" customWidth="1"/>
    <col min="53" max="16384" width="9.140625" style="55"/>
  </cols>
  <sheetData>
    <row r="1" spans="2:51" ht="17.25" thickBot="1">
      <c r="AR1" s="134" t="s">
        <v>66</v>
      </c>
      <c r="AS1" s="134" t="s">
        <v>67</v>
      </c>
      <c r="AT1" s="81" t="s">
        <v>65</v>
      </c>
      <c r="AV1" s="134"/>
    </row>
    <row r="2" spans="2:51" ht="17.25" thickBot="1">
      <c r="B2" s="68" t="s">
        <v>1</v>
      </c>
      <c r="C2" s="66" t="s">
        <v>0</v>
      </c>
      <c r="D2" s="66" t="s">
        <v>63</v>
      </c>
      <c r="E2" s="66" t="s">
        <v>2</v>
      </c>
      <c r="F2" s="66" t="s">
        <v>64</v>
      </c>
      <c r="G2" s="66" t="s">
        <v>3</v>
      </c>
      <c r="H2" s="67" t="s">
        <v>4</v>
      </c>
      <c r="I2" s="480"/>
      <c r="J2" s="75" t="s">
        <v>57</v>
      </c>
      <c r="K2" s="74" t="s">
        <v>51</v>
      </c>
      <c r="L2" s="74" t="s">
        <v>120</v>
      </c>
      <c r="M2" s="74" t="s">
        <v>36</v>
      </c>
      <c r="N2" s="74" t="s">
        <v>56</v>
      </c>
      <c r="O2" s="74" t="s">
        <v>125</v>
      </c>
      <c r="P2" s="74" t="s">
        <v>54</v>
      </c>
      <c r="Q2" s="74" t="s">
        <v>59</v>
      </c>
      <c r="R2" s="74" t="s">
        <v>40</v>
      </c>
      <c r="S2" s="74" t="s">
        <v>55</v>
      </c>
      <c r="T2" s="74" t="s">
        <v>58</v>
      </c>
      <c r="U2" s="74" t="s">
        <v>52</v>
      </c>
      <c r="V2" s="451" t="str">
        <f>AQ14</f>
        <v>ESTUDOS</v>
      </c>
      <c r="W2" s="74" t="str">
        <f>AQ15</f>
        <v>MALU</v>
      </c>
      <c r="X2" s="74">
        <f>AQ16</f>
        <v>0</v>
      </c>
      <c r="Z2" s="75" t="s">
        <v>57</v>
      </c>
      <c r="AA2" s="74" t="s">
        <v>51</v>
      </c>
      <c r="AB2" s="74" t="s">
        <v>120</v>
      </c>
      <c r="AC2" s="74" t="s">
        <v>36</v>
      </c>
      <c r="AD2" s="74" t="s">
        <v>56</v>
      </c>
      <c r="AE2" s="74" t="s">
        <v>125</v>
      </c>
      <c r="AF2" s="74" t="s">
        <v>54</v>
      </c>
      <c r="AG2" s="74" t="s">
        <v>59</v>
      </c>
      <c r="AH2" s="74" t="s">
        <v>40</v>
      </c>
      <c r="AI2" s="74" t="s">
        <v>55</v>
      </c>
      <c r="AJ2" s="74" t="s">
        <v>58</v>
      </c>
      <c r="AK2" s="74" t="s">
        <v>52</v>
      </c>
      <c r="AL2" s="451" t="str">
        <f>AQ14</f>
        <v>ESTUDOS</v>
      </c>
      <c r="AM2" s="74" t="str">
        <f>AQ15</f>
        <v>MALU</v>
      </c>
      <c r="AN2" s="74">
        <f>AQ16</f>
        <v>0</v>
      </c>
      <c r="AO2" s="74"/>
      <c r="AP2" s="74"/>
      <c r="AQ2" s="71" t="s">
        <v>57</v>
      </c>
      <c r="AR2" s="97">
        <f t="shared" ref="AR2:AR16" si="0">AT2+AS2</f>
        <v>0</v>
      </c>
      <c r="AS2" s="58">
        <f>Z63</f>
        <v>0</v>
      </c>
      <c r="AT2" s="58">
        <f>J63</f>
        <v>0</v>
      </c>
    </row>
    <row r="3" spans="2:51">
      <c r="B3" s="60">
        <v>44834</v>
      </c>
      <c r="C3" s="62" t="s">
        <v>83</v>
      </c>
      <c r="D3" s="79" t="s">
        <v>40</v>
      </c>
      <c r="E3" s="56">
        <v>37.94</v>
      </c>
      <c r="F3" s="76" t="s">
        <v>65</v>
      </c>
      <c r="G3" s="157">
        <f>IF(F3="MARCIA",E3,IF(F3="AMBOS",E3/2,0))</f>
        <v>0</v>
      </c>
      <c r="H3" s="158">
        <f>IF(F3="LUCIANO",E3,IF(F3="AMBOS",E3/2,0))</f>
        <v>37.94</v>
      </c>
      <c r="I3" s="481" t="s">
        <v>149</v>
      </c>
      <c r="J3" s="72">
        <f>IF($D3="ALIMENTAÇÃO",$H3,0)</f>
        <v>0</v>
      </c>
      <c r="K3" s="72">
        <f>IF($D3="ANIMAIS",$H3,0)</f>
        <v>0</v>
      </c>
      <c r="L3" s="72">
        <f>IF($D3="FILHO",$H3,0)</f>
        <v>0</v>
      </c>
      <c r="M3" s="72">
        <f>IF($D3="GASOLINA",$H3,0)</f>
        <v>0</v>
      </c>
      <c r="N3" s="72">
        <f>IF($D3="LAZER",$H3,0)</f>
        <v>0</v>
      </c>
      <c r="O3" s="72">
        <f>IF($D3="MANUT. IMÓVEL",$H3,0)</f>
        <v>0</v>
      </c>
      <c r="P3" s="72">
        <f>IF($D3="MANUT. VEICULAR",$H3,0)</f>
        <v>0</v>
      </c>
      <c r="Q3" s="72">
        <f>IF($D3="MÓVEIS",$H3,0)</f>
        <v>0</v>
      </c>
      <c r="R3" s="72">
        <f>IF($D3="OUTROS",$H3,0)</f>
        <v>37.94</v>
      </c>
      <c r="S3" s="72">
        <f>IF($D3="PLANOS",$H3,0)</f>
        <v>0</v>
      </c>
      <c r="T3" s="72">
        <f>IF($D3="SAÚDE",$H3,0)</f>
        <v>0</v>
      </c>
      <c r="U3" s="72">
        <f>IF($D3="TRANSPORTE",$H3,0)</f>
        <v>0</v>
      </c>
      <c r="V3" s="72">
        <f>IF($D3=V$2,$H3,0)</f>
        <v>0</v>
      </c>
      <c r="W3" s="72">
        <f t="shared" ref="W3:X18" si="1">IF($D3=W$2,$H3,0)</f>
        <v>0</v>
      </c>
      <c r="X3" s="72">
        <f t="shared" si="1"/>
        <v>0</v>
      </c>
      <c r="Z3" s="72">
        <f>IF($D3="ALIMENTAÇÃO",$G3,0)</f>
        <v>0</v>
      </c>
      <c r="AA3" s="72">
        <f>IF($D3="ANIMAIS",$G3,0)</f>
        <v>0</v>
      </c>
      <c r="AB3" s="72">
        <f>IF($D3="FILHO",$G3,0)</f>
        <v>0</v>
      </c>
      <c r="AC3" s="72">
        <f>IF($D3="GASOLINA",$G3,0)</f>
        <v>0</v>
      </c>
      <c r="AD3" s="72">
        <f>IF($D3="LAZER",$G3,0)</f>
        <v>0</v>
      </c>
      <c r="AE3" s="72">
        <f>IF($D3="MANUT. IMÓVEL",$G3,0)</f>
        <v>0</v>
      </c>
      <c r="AF3" s="72">
        <f>IF($D3="MANUT. VEICULAR",$G3,0)</f>
        <v>0</v>
      </c>
      <c r="AG3" s="72">
        <f>IF($D3="MÓVEIS",$G3,0)</f>
        <v>0</v>
      </c>
      <c r="AH3" s="72">
        <f>IF($D3="OUTROS",$G3,0)</f>
        <v>0</v>
      </c>
      <c r="AI3" s="72">
        <f>IF($D3="PLANOS",$G3,0)</f>
        <v>0</v>
      </c>
      <c r="AJ3" s="72">
        <f>IF($D3="SAÚDE",$G3,0)</f>
        <v>0</v>
      </c>
      <c r="AK3" s="72">
        <f>IF($D3="TRANSPORTE",$G3,0)</f>
        <v>0</v>
      </c>
      <c r="AL3" s="72">
        <f>IF($D3=AL$2,$G3,0)</f>
        <v>0</v>
      </c>
      <c r="AM3" s="72">
        <f t="shared" ref="AM3:AN18" si="2">IF($D3=AM$2,$G3,0)</f>
        <v>0</v>
      </c>
      <c r="AN3" s="72">
        <f t="shared" si="2"/>
        <v>0</v>
      </c>
      <c r="AQ3" s="71" t="s">
        <v>51</v>
      </c>
      <c r="AR3" s="97">
        <f t="shared" si="0"/>
        <v>150</v>
      </c>
      <c r="AS3" s="58">
        <f>AA63</f>
        <v>75</v>
      </c>
      <c r="AT3" s="58">
        <f>K63</f>
        <v>75</v>
      </c>
      <c r="AV3" s="173">
        <v>175.97</v>
      </c>
      <c r="AY3" s="511" t="s">
        <v>388</v>
      </c>
    </row>
    <row r="4" spans="2:51">
      <c r="B4" s="60">
        <v>44861</v>
      </c>
      <c r="C4" s="62" t="s">
        <v>108</v>
      </c>
      <c r="D4" s="79" t="s">
        <v>40</v>
      </c>
      <c r="E4" s="56">
        <v>15.73</v>
      </c>
      <c r="F4" s="76" t="s">
        <v>66</v>
      </c>
      <c r="G4" s="77">
        <f t="shared" ref="G4:G62" si="3">IF(F4="MARCIA",E4,IF(F4="AMBOS",E4/2,0))</f>
        <v>7.8650000000000002</v>
      </c>
      <c r="H4" s="78">
        <f t="shared" ref="H4:H62" si="4">IF(F4="LUCIANO",E4,IF(F4="AMBOS",E4/2,0))</f>
        <v>7.8650000000000002</v>
      </c>
      <c r="I4" s="481" t="s">
        <v>527</v>
      </c>
      <c r="J4" s="72">
        <f>IF($D4="ALIMENTAÇÃO",$H4,0)</f>
        <v>0</v>
      </c>
      <c r="K4" s="72">
        <f>IF($D4="ANIMAIS",$H4,0)</f>
        <v>0</v>
      </c>
      <c r="L4" s="72">
        <f>IF($D4="FILHO",$H4,0)</f>
        <v>0</v>
      </c>
      <c r="M4" s="72">
        <f>IF($D4="GASOLINA",$H4,0)</f>
        <v>0</v>
      </c>
      <c r="N4" s="72">
        <f>IF($D4="LAZER",$H4,0)</f>
        <v>0</v>
      </c>
      <c r="O4" s="72">
        <f>IF($D4="MANUT. IMÓVEL",$H4,0)</f>
        <v>0</v>
      </c>
      <c r="P4" s="72">
        <f>IF($D4="MANUT. VEICULAR",$H4,0)</f>
        <v>0</v>
      </c>
      <c r="Q4" s="72">
        <f>IF($D4="MÓVEIS",$H4,0)</f>
        <v>0</v>
      </c>
      <c r="R4" s="72">
        <f>IF($D4="OUTROS",$H4,0)</f>
        <v>7.8650000000000002</v>
      </c>
      <c r="S4" s="72">
        <f>IF($D4="PLANOS",$H4,0)</f>
        <v>0</v>
      </c>
      <c r="T4" s="72">
        <f>IF($D4="SAÚDE",$H4,0)</f>
        <v>0</v>
      </c>
      <c r="U4" s="72">
        <f>IF($D4="TRANSPORTE",$H4,0)</f>
        <v>0</v>
      </c>
      <c r="V4" s="72">
        <f t="shared" ref="V4:X35" si="5">IF($D4=V$2,$H4,0)</f>
        <v>0</v>
      </c>
      <c r="W4" s="72">
        <f t="shared" si="1"/>
        <v>0</v>
      </c>
      <c r="X4" s="72">
        <f t="shared" si="1"/>
        <v>0</v>
      </c>
      <c r="Z4" s="72">
        <f t="shared" ref="Z4:Z62" si="6">IF($D4="ALIMENTAÇÃO",$G4,0)</f>
        <v>0</v>
      </c>
      <c r="AA4" s="72">
        <f t="shared" ref="AA4:AA62" si="7">IF($D4="ANIMAIS",$G4,0)</f>
        <v>0</v>
      </c>
      <c r="AB4" s="72">
        <f t="shared" ref="AB4:AB62" si="8">IF($D4="FILHO",$G4,0)</f>
        <v>0</v>
      </c>
      <c r="AC4" s="72">
        <f t="shared" ref="AC4:AC62" si="9">IF($D4="GASOLINA",$G4,0)</f>
        <v>0</v>
      </c>
      <c r="AD4" s="72">
        <f t="shared" ref="AD4:AD62" si="10">IF($D4="LAZER",$G4,0)</f>
        <v>0</v>
      </c>
      <c r="AE4" s="72">
        <f t="shared" ref="AE4:AE62" si="11">IF($D4="MANUT. IMÓVEL",$G4,0)</f>
        <v>0</v>
      </c>
      <c r="AF4" s="72">
        <f t="shared" ref="AF4:AF62" si="12">IF($D4="MANUT. VEICULAR",$G4,0)</f>
        <v>0</v>
      </c>
      <c r="AG4" s="72">
        <f t="shared" ref="AG4:AG62" si="13">IF($D4="MÓVEIS",$G4,0)</f>
        <v>0</v>
      </c>
      <c r="AH4" s="72">
        <f t="shared" ref="AH4:AH62" si="14">IF($D4="OUTROS",$G4,0)</f>
        <v>7.8650000000000002</v>
      </c>
      <c r="AI4" s="72">
        <f t="shared" ref="AI4:AI62" si="15">IF($D4="PLANOS",$G4,0)</f>
        <v>0</v>
      </c>
      <c r="AJ4" s="72">
        <f t="shared" ref="AJ4:AJ62" si="16">IF($D4="SAÚDE",$G4,0)</f>
        <v>0</v>
      </c>
      <c r="AK4" s="72">
        <f t="shared" ref="AK4:AK62" si="17">IF($D4="TRANSPORTE",$G4,0)</f>
        <v>0</v>
      </c>
      <c r="AL4" s="72">
        <f t="shared" ref="AL4:AN62" si="18">IF($D4=AL$2,$G4,0)</f>
        <v>0</v>
      </c>
      <c r="AM4" s="72">
        <f t="shared" si="2"/>
        <v>0</v>
      </c>
      <c r="AN4" s="72">
        <f t="shared" si="2"/>
        <v>0</v>
      </c>
      <c r="AQ4" s="71" t="s">
        <v>120</v>
      </c>
      <c r="AR4" s="97">
        <f t="shared" si="0"/>
        <v>221.70999999999998</v>
      </c>
      <c r="AS4" s="58">
        <f>AB63</f>
        <v>0</v>
      </c>
      <c r="AT4" s="58">
        <f>L63</f>
        <v>221.70999999999998</v>
      </c>
      <c r="AV4" s="173"/>
      <c r="AY4" s="512">
        <v>58.66</v>
      </c>
    </row>
    <row r="5" spans="2:51">
      <c r="B5" s="60">
        <v>44857</v>
      </c>
      <c r="C5" s="62" t="s">
        <v>109</v>
      </c>
      <c r="D5" s="79" t="s">
        <v>40</v>
      </c>
      <c r="E5" s="56">
        <v>119.9</v>
      </c>
      <c r="F5" s="76" t="s">
        <v>65</v>
      </c>
      <c r="G5" s="77">
        <f t="shared" si="3"/>
        <v>0</v>
      </c>
      <c r="H5" s="78">
        <f t="shared" si="4"/>
        <v>119.9</v>
      </c>
      <c r="I5" s="481" t="s">
        <v>136</v>
      </c>
      <c r="J5" s="72">
        <f t="shared" ref="J5:J62" si="19">IF($D5="ALIMENTAÇÃO",$H5,0)</f>
        <v>0</v>
      </c>
      <c r="K5" s="72">
        <f t="shared" ref="K5:K62" si="20">IF($D5="ANIMAIS",$H5,0)</f>
        <v>0</v>
      </c>
      <c r="L5" s="72">
        <f t="shared" ref="L5:L62" si="21">IF($D5="FILHO",$H5,0)</f>
        <v>0</v>
      </c>
      <c r="M5" s="72">
        <f t="shared" ref="M5:M62" si="22">IF($D5="GASOLINA",$H5,0)</f>
        <v>0</v>
      </c>
      <c r="N5" s="72">
        <f t="shared" ref="N5:N62" si="23">IF($D5="LAZER",$H5,0)</f>
        <v>0</v>
      </c>
      <c r="O5" s="72">
        <f t="shared" ref="O5:O62" si="24">IF($D5="MANUT. IMÓVEL",$H5,0)</f>
        <v>0</v>
      </c>
      <c r="P5" s="72">
        <f t="shared" ref="P5:P62" si="25">IF($D5="MANUT. VEICULAR",$H5,0)</f>
        <v>0</v>
      </c>
      <c r="Q5" s="72">
        <f t="shared" ref="Q5:Q62" si="26">IF($D5="MÓVEIS",$H5,0)</f>
        <v>0</v>
      </c>
      <c r="R5" s="72">
        <f t="shared" ref="R5:R62" si="27">IF($D5="OUTROS",$H5,0)</f>
        <v>119.9</v>
      </c>
      <c r="S5" s="72">
        <f t="shared" ref="S5:S62" si="28">IF($D5="PLANOS",$H5,0)</f>
        <v>0</v>
      </c>
      <c r="T5" s="72">
        <f t="shared" ref="T5:T62" si="29">IF($D5="SAÚDE",$H5,0)</f>
        <v>0</v>
      </c>
      <c r="U5" s="72">
        <f t="shared" ref="U5:U62" si="30">IF($D5="TRANSPORTE",$H5,0)</f>
        <v>0</v>
      </c>
      <c r="V5" s="72">
        <f t="shared" si="5"/>
        <v>0</v>
      </c>
      <c r="W5" s="72">
        <f t="shared" si="1"/>
        <v>0</v>
      </c>
      <c r="X5" s="72">
        <f t="shared" si="1"/>
        <v>0</v>
      </c>
      <c r="Z5" s="72">
        <f t="shared" si="6"/>
        <v>0</v>
      </c>
      <c r="AA5" s="72">
        <f t="shared" si="7"/>
        <v>0</v>
      </c>
      <c r="AB5" s="72">
        <f t="shared" si="8"/>
        <v>0</v>
      </c>
      <c r="AC5" s="72">
        <f t="shared" si="9"/>
        <v>0</v>
      </c>
      <c r="AD5" s="72">
        <f t="shared" si="10"/>
        <v>0</v>
      </c>
      <c r="AE5" s="72">
        <f t="shared" si="11"/>
        <v>0</v>
      </c>
      <c r="AF5" s="72">
        <f t="shared" si="12"/>
        <v>0</v>
      </c>
      <c r="AG5" s="72">
        <f t="shared" si="13"/>
        <v>0</v>
      </c>
      <c r="AH5" s="72">
        <f t="shared" si="14"/>
        <v>0</v>
      </c>
      <c r="AI5" s="72">
        <f t="shared" si="15"/>
        <v>0</v>
      </c>
      <c r="AJ5" s="72">
        <f t="shared" si="16"/>
        <v>0</v>
      </c>
      <c r="AK5" s="72">
        <f t="shared" si="17"/>
        <v>0</v>
      </c>
      <c r="AL5" s="72">
        <f t="shared" si="18"/>
        <v>0</v>
      </c>
      <c r="AM5" s="72">
        <f t="shared" si="2"/>
        <v>0</v>
      </c>
      <c r="AN5" s="72">
        <f t="shared" si="2"/>
        <v>0</v>
      </c>
      <c r="AQ5" s="71" t="s">
        <v>36</v>
      </c>
      <c r="AR5" s="97">
        <f t="shared" si="0"/>
        <v>0</v>
      </c>
      <c r="AS5" s="58">
        <f>AC63</f>
        <v>0</v>
      </c>
      <c r="AT5" s="58">
        <f>M63</f>
        <v>0</v>
      </c>
      <c r="AV5" s="173"/>
      <c r="AY5" s="511" t="s">
        <v>387</v>
      </c>
    </row>
    <row r="6" spans="2:51">
      <c r="B6" s="172">
        <v>44929</v>
      </c>
      <c r="C6" s="173" t="s">
        <v>145</v>
      </c>
      <c r="D6" s="79" t="s">
        <v>56</v>
      </c>
      <c r="E6" s="56">
        <v>175.97</v>
      </c>
      <c r="F6" s="76" t="s">
        <v>66</v>
      </c>
      <c r="G6" s="77">
        <v>117.31</v>
      </c>
      <c r="H6" s="78">
        <v>58.66</v>
      </c>
      <c r="I6" s="481" t="s">
        <v>152</v>
      </c>
      <c r="J6" s="72">
        <f t="shared" si="19"/>
        <v>0</v>
      </c>
      <c r="K6" s="72">
        <f t="shared" si="20"/>
        <v>0</v>
      </c>
      <c r="L6" s="72">
        <f t="shared" si="21"/>
        <v>0</v>
      </c>
      <c r="M6" s="72">
        <f t="shared" si="22"/>
        <v>0</v>
      </c>
      <c r="N6" s="72">
        <f t="shared" si="23"/>
        <v>58.66</v>
      </c>
      <c r="O6" s="72">
        <f t="shared" si="24"/>
        <v>0</v>
      </c>
      <c r="P6" s="72">
        <f t="shared" si="25"/>
        <v>0</v>
      </c>
      <c r="Q6" s="72">
        <f t="shared" si="26"/>
        <v>0</v>
      </c>
      <c r="R6" s="72">
        <f t="shared" si="27"/>
        <v>0</v>
      </c>
      <c r="S6" s="72">
        <f t="shared" si="28"/>
        <v>0</v>
      </c>
      <c r="T6" s="72">
        <f t="shared" si="29"/>
        <v>0</v>
      </c>
      <c r="U6" s="72">
        <f t="shared" si="30"/>
        <v>0</v>
      </c>
      <c r="V6" s="72">
        <f t="shared" si="5"/>
        <v>0</v>
      </c>
      <c r="W6" s="72">
        <f t="shared" si="1"/>
        <v>0</v>
      </c>
      <c r="X6" s="72">
        <f t="shared" si="1"/>
        <v>0</v>
      </c>
      <c r="Z6" s="72">
        <f t="shared" si="6"/>
        <v>0</v>
      </c>
      <c r="AA6" s="72">
        <f t="shared" si="7"/>
        <v>0</v>
      </c>
      <c r="AB6" s="72">
        <f t="shared" si="8"/>
        <v>0</v>
      </c>
      <c r="AC6" s="72">
        <f t="shared" si="9"/>
        <v>0</v>
      </c>
      <c r="AD6" s="72">
        <f t="shared" si="10"/>
        <v>117.31</v>
      </c>
      <c r="AE6" s="72">
        <f t="shared" si="11"/>
        <v>0</v>
      </c>
      <c r="AF6" s="72">
        <f t="shared" si="12"/>
        <v>0</v>
      </c>
      <c r="AG6" s="72">
        <f t="shared" si="13"/>
        <v>0</v>
      </c>
      <c r="AH6" s="72">
        <f t="shared" si="14"/>
        <v>0</v>
      </c>
      <c r="AI6" s="72">
        <f t="shared" si="15"/>
        <v>0</v>
      </c>
      <c r="AJ6" s="72">
        <f t="shared" si="16"/>
        <v>0</v>
      </c>
      <c r="AK6" s="72">
        <f t="shared" si="17"/>
        <v>0</v>
      </c>
      <c r="AL6" s="72">
        <f t="shared" si="18"/>
        <v>0</v>
      </c>
      <c r="AM6" s="72">
        <f t="shared" si="2"/>
        <v>0</v>
      </c>
      <c r="AN6" s="72">
        <f t="shared" si="2"/>
        <v>0</v>
      </c>
      <c r="AQ6" s="71" t="s">
        <v>56</v>
      </c>
      <c r="AR6" s="97">
        <f t="shared" si="0"/>
        <v>175.97</v>
      </c>
      <c r="AS6" s="58">
        <f>AD63</f>
        <v>117.31</v>
      </c>
      <c r="AT6" s="58">
        <f>N63</f>
        <v>58.66</v>
      </c>
      <c r="AV6" s="173"/>
      <c r="AY6" s="512">
        <v>117.31</v>
      </c>
    </row>
    <row r="7" spans="2:51">
      <c r="B7" s="60">
        <v>44952</v>
      </c>
      <c r="C7" s="62" t="s">
        <v>159</v>
      </c>
      <c r="D7" s="79" t="s">
        <v>120</v>
      </c>
      <c r="E7" s="56">
        <v>77</v>
      </c>
      <c r="F7" s="76" t="s">
        <v>65</v>
      </c>
      <c r="G7" s="77">
        <f t="shared" ref="G7:G14" si="31">IF(F7="MARCIA",E7,IF(F7="AMBOS",E7/2,0))</f>
        <v>0</v>
      </c>
      <c r="H7" s="78">
        <f t="shared" ref="H7:H14" si="32">IF(F7="LUCIANO",E7,IF(F7="AMBOS",E7/2,0))</f>
        <v>77</v>
      </c>
      <c r="I7" s="481" t="s">
        <v>152</v>
      </c>
      <c r="J7" s="72">
        <f t="shared" si="19"/>
        <v>0</v>
      </c>
      <c r="K7" s="72">
        <f t="shared" si="20"/>
        <v>0</v>
      </c>
      <c r="L7" s="72">
        <f t="shared" si="21"/>
        <v>77</v>
      </c>
      <c r="M7" s="72">
        <f t="shared" si="22"/>
        <v>0</v>
      </c>
      <c r="N7" s="72">
        <f t="shared" si="23"/>
        <v>0</v>
      </c>
      <c r="O7" s="72">
        <f t="shared" si="24"/>
        <v>0</v>
      </c>
      <c r="P7" s="72">
        <f t="shared" si="25"/>
        <v>0</v>
      </c>
      <c r="Q7" s="72">
        <f t="shared" si="26"/>
        <v>0</v>
      </c>
      <c r="R7" s="72">
        <f t="shared" si="27"/>
        <v>0</v>
      </c>
      <c r="S7" s="72">
        <f t="shared" si="28"/>
        <v>0</v>
      </c>
      <c r="T7" s="72">
        <f t="shared" si="29"/>
        <v>0</v>
      </c>
      <c r="U7" s="72">
        <f t="shared" si="30"/>
        <v>0</v>
      </c>
      <c r="V7" s="72">
        <f t="shared" si="5"/>
        <v>0</v>
      </c>
      <c r="W7" s="72">
        <f t="shared" si="1"/>
        <v>0</v>
      </c>
      <c r="X7" s="72">
        <f t="shared" si="1"/>
        <v>0</v>
      </c>
      <c r="Z7" s="72">
        <f t="shared" si="6"/>
        <v>0</v>
      </c>
      <c r="AA7" s="72">
        <f t="shared" si="7"/>
        <v>0</v>
      </c>
      <c r="AB7" s="72">
        <f t="shared" si="8"/>
        <v>0</v>
      </c>
      <c r="AC7" s="72">
        <f t="shared" si="9"/>
        <v>0</v>
      </c>
      <c r="AD7" s="72">
        <f t="shared" si="10"/>
        <v>0</v>
      </c>
      <c r="AE7" s="72">
        <f t="shared" si="11"/>
        <v>0</v>
      </c>
      <c r="AF7" s="72">
        <f t="shared" si="12"/>
        <v>0</v>
      </c>
      <c r="AG7" s="72">
        <f t="shared" si="13"/>
        <v>0</v>
      </c>
      <c r="AH7" s="72">
        <f t="shared" si="14"/>
        <v>0</v>
      </c>
      <c r="AI7" s="72">
        <f t="shared" si="15"/>
        <v>0</v>
      </c>
      <c r="AJ7" s="72">
        <f t="shared" si="16"/>
        <v>0</v>
      </c>
      <c r="AK7" s="72">
        <f t="shared" si="17"/>
        <v>0</v>
      </c>
      <c r="AL7" s="72">
        <f t="shared" si="18"/>
        <v>0</v>
      </c>
      <c r="AM7" s="72">
        <f t="shared" si="2"/>
        <v>0</v>
      </c>
      <c r="AN7" s="72">
        <f t="shared" si="2"/>
        <v>0</v>
      </c>
      <c r="AQ7" s="71" t="s">
        <v>53</v>
      </c>
      <c r="AR7" s="97">
        <f t="shared" si="0"/>
        <v>0</v>
      </c>
      <c r="AS7" s="58">
        <f>AE63</f>
        <v>0</v>
      </c>
      <c r="AT7" s="58">
        <f>O63</f>
        <v>0</v>
      </c>
      <c r="AV7" s="173"/>
    </row>
    <row r="8" spans="2:51">
      <c r="B8" s="60">
        <v>44966</v>
      </c>
      <c r="C8" s="62" t="s">
        <v>261</v>
      </c>
      <c r="D8" s="79" t="s">
        <v>120</v>
      </c>
      <c r="E8" s="56">
        <v>84.76</v>
      </c>
      <c r="F8" s="76" t="s">
        <v>65</v>
      </c>
      <c r="G8" s="77">
        <f t="shared" si="31"/>
        <v>0</v>
      </c>
      <c r="H8" s="78">
        <f t="shared" si="32"/>
        <v>84.76</v>
      </c>
      <c r="I8" s="481" t="s">
        <v>150</v>
      </c>
      <c r="J8" s="72">
        <f t="shared" si="19"/>
        <v>0</v>
      </c>
      <c r="K8" s="72">
        <f t="shared" si="20"/>
        <v>0</v>
      </c>
      <c r="L8" s="72">
        <f t="shared" si="21"/>
        <v>84.76</v>
      </c>
      <c r="M8" s="72">
        <f t="shared" si="22"/>
        <v>0</v>
      </c>
      <c r="N8" s="72">
        <f t="shared" si="23"/>
        <v>0</v>
      </c>
      <c r="O8" s="72">
        <f t="shared" si="24"/>
        <v>0</v>
      </c>
      <c r="P8" s="72">
        <f t="shared" si="25"/>
        <v>0</v>
      </c>
      <c r="Q8" s="72">
        <f t="shared" si="26"/>
        <v>0</v>
      </c>
      <c r="R8" s="72">
        <f t="shared" si="27"/>
        <v>0</v>
      </c>
      <c r="S8" s="72">
        <f t="shared" si="28"/>
        <v>0</v>
      </c>
      <c r="T8" s="72">
        <f t="shared" si="29"/>
        <v>0</v>
      </c>
      <c r="U8" s="72">
        <f t="shared" si="30"/>
        <v>0</v>
      </c>
      <c r="V8" s="72">
        <f t="shared" si="5"/>
        <v>0</v>
      </c>
      <c r="W8" s="72">
        <f t="shared" si="1"/>
        <v>0</v>
      </c>
      <c r="X8" s="72">
        <f t="shared" si="1"/>
        <v>0</v>
      </c>
      <c r="Z8" s="72">
        <f t="shared" si="6"/>
        <v>0</v>
      </c>
      <c r="AA8" s="72">
        <f t="shared" si="7"/>
        <v>0</v>
      </c>
      <c r="AB8" s="72">
        <f t="shared" si="8"/>
        <v>0</v>
      </c>
      <c r="AC8" s="72">
        <f t="shared" si="9"/>
        <v>0</v>
      </c>
      <c r="AD8" s="72">
        <f t="shared" si="10"/>
        <v>0</v>
      </c>
      <c r="AE8" s="72">
        <f t="shared" si="11"/>
        <v>0</v>
      </c>
      <c r="AF8" s="72">
        <f t="shared" si="12"/>
        <v>0</v>
      </c>
      <c r="AG8" s="72">
        <f t="shared" si="13"/>
        <v>0</v>
      </c>
      <c r="AH8" s="72">
        <f t="shared" si="14"/>
        <v>0</v>
      </c>
      <c r="AI8" s="72">
        <f t="shared" si="15"/>
        <v>0</v>
      </c>
      <c r="AJ8" s="72">
        <f t="shared" si="16"/>
        <v>0</v>
      </c>
      <c r="AK8" s="72">
        <f t="shared" si="17"/>
        <v>0</v>
      </c>
      <c r="AL8" s="72">
        <f t="shared" si="18"/>
        <v>0</v>
      </c>
      <c r="AM8" s="72">
        <f t="shared" si="2"/>
        <v>0</v>
      </c>
      <c r="AN8" s="72">
        <f t="shared" si="2"/>
        <v>0</v>
      </c>
      <c r="AQ8" s="71" t="s">
        <v>54</v>
      </c>
      <c r="AR8" s="97">
        <f t="shared" si="0"/>
        <v>0</v>
      </c>
      <c r="AS8" s="58">
        <f>AF63</f>
        <v>0</v>
      </c>
      <c r="AT8" s="58">
        <f>P63</f>
        <v>0</v>
      </c>
    </row>
    <row r="9" spans="2:51">
      <c r="B9" s="60">
        <v>45003</v>
      </c>
      <c r="C9" s="62" t="s">
        <v>307</v>
      </c>
      <c r="D9" s="79" t="s">
        <v>143</v>
      </c>
      <c r="E9" s="56">
        <v>32.869999999999997</v>
      </c>
      <c r="F9" s="76" t="s">
        <v>65</v>
      </c>
      <c r="G9" s="77">
        <f t="shared" si="31"/>
        <v>0</v>
      </c>
      <c r="H9" s="78">
        <f t="shared" si="32"/>
        <v>32.869999999999997</v>
      </c>
      <c r="I9" s="481" t="s">
        <v>140</v>
      </c>
      <c r="J9" s="72">
        <f t="shared" si="19"/>
        <v>0</v>
      </c>
      <c r="K9" s="72">
        <f t="shared" si="20"/>
        <v>0</v>
      </c>
      <c r="L9" s="72">
        <f t="shared" si="21"/>
        <v>0</v>
      </c>
      <c r="M9" s="72">
        <f t="shared" si="22"/>
        <v>0</v>
      </c>
      <c r="N9" s="72">
        <f t="shared" si="23"/>
        <v>0</v>
      </c>
      <c r="O9" s="72">
        <f t="shared" si="24"/>
        <v>0</v>
      </c>
      <c r="P9" s="72">
        <f t="shared" si="25"/>
        <v>0</v>
      </c>
      <c r="Q9" s="72">
        <f t="shared" si="26"/>
        <v>0</v>
      </c>
      <c r="R9" s="72">
        <f t="shared" si="27"/>
        <v>0</v>
      </c>
      <c r="S9" s="72">
        <f t="shared" si="28"/>
        <v>0</v>
      </c>
      <c r="T9" s="72">
        <f t="shared" si="29"/>
        <v>0</v>
      </c>
      <c r="U9" s="72">
        <f t="shared" si="30"/>
        <v>0</v>
      </c>
      <c r="V9" s="72">
        <f t="shared" si="5"/>
        <v>32.869999999999997</v>
      </c>
      <c r="W9" s="72">
        <f t="shared" si="1"/>
        <v>0</v>
      </c>
      <c r="X9" s="72">
        <f t="shared" si="1"/>
        <v>0</v>
      </c>
      <c r="Z9" s="72">
        <f t="shared" si="6"/>
        <v>0</v>
      </c>
      <c r="AA9" s="72">
        <f t="shared" si="7"/>
        <v>0</v>
      </c>
      <c r="AB9" s="72">
        <f t="shared" si="8"/>
        <v>0</v>
      </c>
      <c r="AC9" s="72">
        <f t="shared" si="9"/>
        <v>0</v>
      </c>
      <c r="AD9" s="72">
        <f t="shared" si="10"/>
        <v>0</v>
      </c>
      <c r="AE9" s="72">
        <f t="shared" si="11"/>
        <v>0</v>
      </c>
      <c r="AF9" s="72">
        <f t="shared" si="12"/>
        <v>0</v>
      </c>
      <c r="AG9" s="72">
        <f t="shared" si="13"/>
        <v>0</v>
      </c>
      <c r="AH9" s="72">
        <f t="shared" si="14"/>
        <v>0</v>
      </c>
      <c r="AI9" s="72">
        <f t="shared" si="15"/>
        <v>0</v>
      </c>
      <c r="AJ9" s="72">
        <f t="shared" si="16"/>
        <v>0</v>
      </c>
      <c r="AK9" s="72">
        <f t="shared" si="17"/>
        <v>0</v>
      </c>
      <c r="AL9" s="72">
        <f t="shared" si="18"/>
        <v>0</v>
      </c>
      <c r="AM9" s="72">
        <f t="shared" si="2"/>
        <v>0</v>
      </c>
      <c r="AN9" s="72">
        <f t="shared" si="2"/>
        <v>0</v>
      </c>
      <c r="AQ9" s="71" t="s">
        <v>59</v>
      </c>
      <c r="AR9" s="97">
        <f t="shared" si="0"/>
        <v>0</v>
      </c>
      <c r="AS9" s="58">
        <f>AG63</f>
        <v>0</v>
      </c>
      <c r="AT9" s="58">
        <f>Q63</f>
        <v>0</v>
      </c>
    </row>
    <row r="10" spans="2:51">
      <c r="B10" s="60">
        <v>45007</v>
      </c>
      <c r="C10" s="62" t="s">
        <v>309</v>
      </c>
      <c r="D10" s="79" t="s">
        <v>40</v>
      </c>
      <c r="E10" s="56">
        <v>32.39</v>
      </c>
      <c r="F10" s="76" t="s">
        <v>65</v>
      </c>
      <c r="G10" s="77">
        <f t="shared" si="31"/>
        <v>0</v>
      </c>
      <c r="H10" s="78">
        <f t="shared" si="32"/>
        <v>32.39</v>
      </c>
      <c r="I10" s="481" t="s">
        <v>359</v>
      </c>
      <c r="J10" s="72">
        <f t="shared" si="19"/>
        <v>0</v>
      </c>
      <c r="K10" s="72">
        <f t="shared" si="20"/>
        <v>0</v>
      </c>
      <c r="L10" s="72">
        <f t="shared" si="21"/>
        <v>0</v>
      </c>
      <c r="M10" s="72">
        <f t="shared" si="22"/>
        <v>0</v>
      </c>
      <c r="N10" s="72">
        <f t="shared" si="23"/>
        <v>0</v>
      </c>
      <c r="O10" s="72">
        <f t="shared" si="24"/>
        <v>0</v>
      </c>
      <c r="P10" s="72">
        <f t="shared" si="25"/>
        <v>0</v>
      </c>
      <c r="Q10" s="72">
        <f t="shared" si="26"/>
        <v>0</v>
      </c>
      <c r="R10" s="72">
        <f t="shared" si="27"/>
        <v>32.39</v>
      </c>
      <c r="S10" s="72">
        <f t="shared" si="28"/>
        <v>0</v>
      </c>
      <c r="T10" s="72">
        <f t="shared" si="29"/>
        <v>0</v>
      </c>
      <c r="U10" s="72">
        <f t="shared" si="30"/>
        <v>0</v>
      </c>
      <c r="V10" s="72">
        <f t="shared" si="5"/>
        <v>0</v>
      </c>
      <c r="W10" s="72">
        <f t="shared" si="1"/>
        <v>0</v>
      </c>
      <c r="X10" s="72">
        <f t="shared" si="1"/>
        <v>0</v>
      </c>
      <c r="Z10" s="72">
        <f t="shared" si="6"/>
        <v>0</v>
      </c>
      <c r="AA10" s="72">
        <f t="shared" si="7"/>
        <v>0</v>
      </c>
      <c r="AB10" s="72">
        <f t="shared" si="8"/>
        <v>0</v>
      </c>
      <c r="AC10" s="72">
        <f t="shared" si="9"/>
        <v>0</v>
      </c>
      <c r="AD10" s="72">
        <f t="shared" si="10"/>
        <v>0</v>
      </c>
      <c r="AE10" s="72">
        <f t="shared" si="11"/>
        <v>0</v>
      </c>
      <c r="AF10" s="72">
        <f t="shared" si="12"/>
        <v>0</v>
      </c>
      <c r="AG10" s="72">
        <f t="shared" si="13"/>
        <v>0</v>
      </c>
      <c r="AH10" s="72">
        <f t="shared" si="14"/>
        <v>0</v>
      </c>
      <c r="AI10" s="72">
        <f t="shared" si="15"/>
        <v>0</v>
      </c>
      <c r="AJ10" s="72">
        <f t="shared" si="16"/>
        <v>0</v>
      </c>
      <c r="AK10" s="72">
        <f t="shared" si="17"/>
        <v>0</v>
      </c>
      <c r="AL10" s="72">
        <f t="shared" si="18"/>
        <v>0</v>
      </c>
      <c r="AM10" s="72">
        <f t="shared" si="2"/>
        <v>0</v>
      </c>
      <c r="AN10" s="72">
        <f t="shared" si="2"/>
        <v>0</v>
      </c>
      <c r="AQ10" s="71" t="s">
        <v>40</v>
      </c>
      <c r="AR10" s="97">
        <f t="shared" si="0"/>
        <v>350.91</v>
      </c>
      <c r="AS10" s="58">
        <f>AH63</f>
        <v>60.365000000000002</v>
      </c>
      <c r="AT10" s="58">
        <f>R63</f>
        <v>290.54500000000002</v>
      </c>
    </row>
    <row r="11" spans="2:51">
      <c r="B11" s="60">
        <v>45030</v>
      </c>
      <c r="C11" s="62" t="s">
        <v>408</v>
      </c>
      <c r="D11" s="79" t="s">
        <v>40</v>
      </c>
      <c r="E11" s="56">
        <v>39.950000000000003</v>
      </c>
      <c r="F11" s="76" t="s">
        <v>65</v>
      </c>
      <c r="G11" s="77">
        <f t="shared" si="31"/>
        <v>0</v>
      </c>
      <c r="H11" s="78">
        <f t="shared" si="32"/>
        <v>39.950000000000003</v>
      </c>
      <c r="I11" s="481" t="s">
        <v>528</v>
      </c>
      <c r="J11" s="72">
        <f t="shared" si="19"/>
        <v>0</v>
      </c>
      <c r="K11" s="72">
        <f t="shared" si="20"/>
        <v>0</v>
      </c>
      <c r="L11" s="72">
        <f t="shared" si="21"/>
        <v>0</v>
      </c>
      <c r="M11" s="72">
        <f t="shared" si="22"/>
        <v>0</v>
      </c>
      <c r="N11" s="72">
        <f t="shared" si="23"/>
        <v>0</v>
      </c>
      <c r="O11" s="72">
        <f t="shared" si="24"/>
        <v>0</v>
      </c>
      <c r="P11" s="72">
        <f t="shared" si="25"/>
        <v>0</v>
      </c>
      <c r="Q11" s="72">
        <f t="shared" si="26"/>
        <v>0</v>
      </c>
      <c r="R11" s="72">
        <f t="shared" si="27"/>
        <v>39.950000000000003</v>
      </c>
      <c r="S11" s="72">
        <f t="shared" si="28"/>
        <v>0</v>
      </c>
      <c r="T11" s="72">
        <f t="shared" si="29"/>
        <v>0</v>
      </c>
      <c r="U11" s="72">
        <f t="shared" si="30"/>
        <v>0</v>
      </c>
      <c r="V11" s="72">
        <f t="shared" si="5"/>
        <v>0</v>
      </c>
      <c r="W11" s="72">
        <f t="shared" si="1"/>
        <v>0</v>
      </c>
      <c r="X11" s="72">
        <f t="shared" si="1"/>
        <v>0</v>
      </c>
      <c r="Z11" s="72">
        <f t="shared" si="6"/>
        <v>0</v>
      </c>
      <c r="AA11" s="72">
        <f t="shared" si="7"/>
        <v>0</v>
      </c>
      <c r="AB11" s="72">
        <f t="shared" si="8"/>
        <v>0</v>
      </c>
      <c r="AC11" s="72">
        <f t="shared" si="9"/>
        <v>0</v>
      </c>
      <c r="AD11" s="72">
        <f t="shared" si="10"/>
        <v>0</v>
      </c>
      <c r="AE11" s="72">
        <f t="shared" si="11"/>
        <v>0</v>
      </c>
      <c r="AF11" s="72">
        <f t="shared" si="12"/>
        <v>0</v>
      </c>
      <c r="AG11" s="72">
        <f t="shared" si="13"/>
        <v>0</v>
      </c>
      <c r="AH11" s="72">
        <f t="shared" si="14"/>
        <v>0</v>
      </c>
      <c r="AI11" s="72">
        <f t="shared" si="15"/>
        <v>0</v>
      </c>
      <c r="AJ11" s="72">
        <f t="shared" si="16"/>
        <v>0</v>
      </c>
      <c r="AK11" s="72">
        <f t="shared" si="17"/>
        <v>0</v>
      </c>
      <c r="AL11" s="72">
        <f t="shared" si="18"/>
        <v>0</v>
      </c>
      <c r="AM11" s="72">
        <f t="shared" si="2"/>
        <v>0</v>
      </c>
      <c r="AN11" s="72">
        <f t="shared" si="2"/>
        <v>0</v>
      </c>
      <c r="AQ11" s="71" t="s">
        <v>55</v>
      </c>
      <c r="AR11" s="97">
        <f t="shared" si="0"/>
        <v>48.599999999999994</v>
      </c>
      <c r="AS11" s="58">
        <f>AI63</f>
        <v>0</v>
      </c>
      <c r="AT11" s="58">
        <f>S63</f>
        <v>48.599999999999994</v>
      </c>
    </row>
    <row r="12" spans="2:51">
      <c r="B12" s="60">
        <v>45065</v>
      </c>
      <c r="C12" s="62" t="s">
        <v>475</v>
      </c>
      <c r="D12" s="79" t="s">
        <v>268</v>
      </c>
      <c r="E12" s="56">
        <v>299.88</v>
      </c>
      <c r="F12" s="76" t="s">
        <v>65</v>
      </c>
      <c r="G12" s="77">
        <f t="shared" si="31"/>
        <v>0</v>
      </c>
      <c r="H12" s="78">
        <f t="shared" si="32"/>
        <v>299.88</v>
      </c>
      <c r="I12" s="481" t="s">
        <v>262</v>
      </c>
      <c r="J12" s="72">
        <f t="shared" si="19"/>
        <v>0</v>
      </c>
      <c r="K12" s="72">
        <f t="shared" si="20"/>
        <v>0</v>
      </c>
      <c r="L12" s="72">
        <f t="shared" si="21"/>
        <v>0</v>
      </c>
      <c r="M12" s="72">
        <f t="shared" si="22"/>
        <v>0</v>
      </c>
      <c r="N12" s="72">
        <f t="shared" si="23"/>
        <v>0</v>
      </c>
      <c r="O12" s="72">
        <f t="shared" si="24"/>
        <v>0</v>
      </c>
      <c r="P12" s="72">
        <f t="shared" si="25"/>
        <v>0</v>
      </c>
      <c r="Q12" s="72">
        <f t="shared" si="26"/>
        <v>0</v>
      </c>
      <c r="R12" s="72">
        <f t="shared" si="27"/>
        <v>0</v>
      </c>
      <c r="S12" s="72">
        <f t="shared" si="28"/>
        <v>0</v>
      </c>
      <c r="T12" s="72">
        <f t="shared" si="29"/>
        <v>0</v>
      </c>
      <c r="U12" s="72">
        <f t="shared" si="30"/>
        <v>0</v>
      </c>
      <c r="V12" s="72">
        <f t="shared" si="5"/>
        <v>0</v>
      </c>
      <c r="W12" s="72">
        <f t="shared" si="1"/>
        <v>299.88</v>
      </c>
      <c r="X12" s="72">
        <f t="shared" si="1"/>
        <v>0</v>
      </c>
      <c r="Z12" s="72">
        <f t="shared" si="6"/>
        <v>0</v>
      </c>
      <c r="AA12" s="72">
        <f t="shared" si="7"/>
        <v>0</v>
      </c>
      <c r="AB12" s="72">
        <f t="shared" si="8"/>
        <v>0</v>
      </c>
      <c r="AC12" s="72">
        <f t="shared" si="9"/>
        <v>0</v>
      </c>
      <c r="AD12" s="72">
        <f t="shared" si="10"/>
        <v>0</v>
      </c>
      <c r="AE12" s="72">
        <f t="shared" si="11"/>
        <v>0</v>
      </c>
      <c r="AF12" s="72">
        <f t="shared" si="12"/>
        <v>0</v>
      </c>
      <c r="AG12" s="72">
        <f t="shared" si="13"/>
        <v>0</v>
      </c>
      <c r="AH12" s="72">
        <f t="shared" si="14"/>
        <v>0</v>
      </c>
      <c r="AI12" s="72">
        <f t="shared" si="15"/>
        <v>0</v>
      </c>
      <c r="AJ12" s="72">
        <f t="shared" si="16"/>
        <v>0</v>
      </c>
      <c r="AK12" s="72">
        <f t="shared" si="17"/>
        <v>0</v>
      </c>
      <c r="AL12" s="72">
        <f t="shared" si="18"/>
        <v>0</v>
      </c>
      <c r="AM12" s="72">
        <f t="shared" si="2"/>
        <v>0</v>
      </c>
      <c r="AN12" s="72">
        <f t="shared" si="2"/>
        <v>0</v>
      </c>
      <c r="AQ12" s="71" t="s">
        <v>58</v>
      </c>
      <c r="AR12" s="97">
        <f t="shared" si="0"/>
        <v>60.67</v>
      </c>
      <c r="AS12" s="58">
        <f>AJ63</f>
        <v>0</v>
      </c>
      <c r="AT12" s="58">
        <f>T63</f>
        <v>60.67</v>
      </c>
      <c r="AY12" s="56">
        <v>64.22</v>
      </c>
    </row>
    <row r="13" spans="2:51">
      <c r="B13" s="60">
        <v>45065</v>
      </c>
      <c r="C13" s="62" t="s">
        <v>478</v>
      </c>
      <c r="D13" s="79" t="s">
        <v>120</v>
      </c>
      <c r="E13" s="56">
        <v>59.95</v>
      </c>
      <c r="F13" s="76" t="s">
        <v>65</v>
      </c>
      <c r="G13" s="77">
        <f t="shared" si="31"/>
        <v>0</v>
      </c>
      <c r="H13" s="78">
        <f t="shared" si="32"/>
        <v>59.95</v>
      </c>
      <c r="I13" s="481" t="s">
        <v>23</v>
      </c>
      <c r="J13" s="72">
        <f t="shared" si="19"/>
        <v>0</v>
      </c>
      <c r="K13" s="72">
        <f t="shared" si="20"/>
        <v>0</v>
      </c>
      <c r="L13" s="72">
        <f t="shared" si="21"/>
        <v>59.95</v>
      </c>
      <c r="M13" s="72">
        <f t="shared" si="22"/>
        <v>0</v>
      </c>
      <c r="N13" s="72">
        <f t="shared" si="23"/>
        <v>0</v>
      </c>
      <c r="O13" s="72">
        <f t="shared" si="24"/>
        <v>0</v>
      </c>
      <c r="P13" s="72">
        <f t="shared" si="25"/>
        <v>0</v>
      </c>
      <c r="Q13" s="72">
        <f t="shared" si="26"/>
        <v>0</v>
      </c>
      <c r="R13" s="72">
        <f t="shared" si="27"/>
        <v>0</v>
      </c>
      <c r="S13" s="72">
        <f t="shared" si="28"/>
        <v>0</v>
      </c>
      <c r="T13" s="72">
        <f t="shared" si="29"/>
        <v>0</v>
      </c>
      <c r="U13" s="72">
        <f t="shared" si="30"/>
        <v>0</v>
      </c>
      <c r="V13" s="72">
        <f t="shared" si="5"/>
        <v>0</v>
      </c>
      <c r="W13" s="72">
        <f t="shared" si="1"/>
        <v>0</v>
      </c>
      <c r="X13" s="72">
        <f t="shared" si="1"/>
        <v>0</v>
      </c>
      <c r="Z13" s="72">
        <f t="shared" si="6"/>
        <v>0</v>
      </c>
      <c r="AA13" s="72">
        <f t="shared" si="7"/>
        <v>0</v>
      </c>
      <c r="AB13" s="72">
        <f t="shared" si="8"/>
        <v>0</v>
      </c>
      <c r="AC13" s="72">
        <f t="shared" si="9"/>
        <v>0</v>
      </c>
      <c r="AD13" s="72">
        <f t="shared" si="10"/>
        <v>0</v>
      </c>
      <c r="AE13" s="72">
        <f t="shared" si="11"/>
        <v>0</v>
      </c>
      <c r="AF13" s="72">
        <f t="shared" si="12"/>
        <v>0</v>
      </c>
      <c r="AG13" s="72">
        <f t="shared" si="13"/>
        <v>0</v>
      </c>
      <c r="AH13" s="72">
        <f t="shared" si="14"/>
        <v>0</v>
      </c>
      <c r="AI13" s="72">
        <f t="shared" si="15"/>
        <v>0</v>
      </c>
      <c r="AJ13" s="72">
        <f t="shared" si="16"/>
        <v>0</v>
      </c>
      <c r="AK13" s="72">
        <f t="shared" si="17"/>
        <v>0</v>
      </c>
      <c r="AL13" s="72">
        <f t="shared" si="18"/>
        <v>0</v>
      </c>
      <c r="AM13" s="72">
        <f t="shared" si="2"/>
        <v>0</v>
      </c>
      <c r="AN13" s="72">
        <f t="shared" si="2"/>
        <v>0</v>
      </c>
      <c r="AQ13" s="71" t="s">
        <v>52</v>
      </c>
      <c r="AR13" s="97">
        <f t="shared" si="0"/>
        <v>0</v>
      </c>
      <c r="AS13" s="58">
        <f>AK63</f>
        <v>0</v>
      </c>
      <c r="AT13" s="58">
        <f>U63</f>
        <v>0</v>
      </c>
      <c r="AY13" s="56">
        <f>299.88*3</f>
        <v>899.64</v>
      </c>
    </row>
    <row r="14" spans="2:51">
      <c r="B14" s="60">
        <v>45066</v>
      </c>
      <c r="C14" s="62" t="s">
        <v>479</v>
      </c>
      <c r="D14" s="79" t="s">
        <v>58</v>
      </c>
      <c r="E14" s="56">
        <v>60.67</v>
      </c>
      <c r="F14" s="76" t="s">
        <v>65</v>
      </c>
      <c r="G14" s="77">
        <f t="shared" si="31"/>
        <v>0</v>
      </c>
      <c r="H14" s="78">
        <f t="shared" si="32"/>
        <v>60.67</v>
      </c>
      <c r="I14" s="481" t="s">
        <v>262</v>
      </c>
      <c r="J14" s="72">
        <f t="shared" si="19"/>
        <v>0</v>
      </c>
      <c r="K14" s="72">
        <f t="shared" si="20"/>
        <v>0</v>
      </c>
      <c r="L14" s="72">
        <f t="shared" si="21"/>
        <v>0</v>
      </c>
      <c r="M14" s="72">
        <f t="shared" si="22"/>
        <v>0</v>
      </c>
      <c r="N14" s="72">
        <f t="shared" si="23"/>
        <v>0</v>
      </c>
      <c r="O14" s="72">
        <f t="shared" si="24"/>
        <v>0</v>
      </c>
      <c r="P14" s="72">
        <f t="shared" si="25"/>
        <v>0</v>
      </c>
      <c r="Q14" s="72">
        <f t="shared" si="26"/>
        <v>0</v>
      </c>
      <c r="R14" s="72">
        <f t="shared" si="27"/>
        <v>0</v>
      </c>
      <c r="S14" s="72">
        <f t="shared" si="28"/>
        <v>0</v>
      </c>
      <c r="T14" s="72">
        <f t="shared" si="29"/>
        <v>60.67</v>
      </c>
      <c r="U14" s="72">
        <f t="shared" si="30"/>
        <v>0</v>
      </c>
      <c r="V14" s="72">
        <f t="shared" si="5"/>
        <v>0</v>
      </c>
      <c r="W14" s="72">
        <f t="shared" si="1"/>
        <v>0</v>
      </c>
      <c r="X14" s="72">
        <f t="shared" si="1"/>
        <v>0</v>
      </c>
      <c r="Z14" s="72">
        <f t="shared" si="6"/>
        <v>0</v>
      </c>
      <c r="AA14" s="72">
        <f t="shared" si="7"/>
        <v>0</v>
      </c>
      <c r="AB14" s="72">
        <f t="shared" si="8"/>
        <v>0</v>
      </c>
      <c r="AC14" s="72">
        <f t="shared" si="9"/>
        <v>0</v>
      </c>
      <c r="AD14" s="72">
        <f t="shared" si="10"/>
        <v>0</v>
      </c>
      <c r="AE14" s="72">
        <f t="shared" si="11"/>
        <v>0</v>
      </c>
      <c r="AF14" s="72">
        <f t="shared" si="12"/>
        <v>0</v>
      </c>
      <c r="AG14" s="72">
        <f t="shared" si="13"/>
        <v>0</v>
      </c>
      <c r="AH14" s="72">
        <f t="shared" si="14"/>
        <v>0</v>
      </c>
      <c r="AI14" s="72">
        <f t="shared" si="15"/>
        <v>0</v>
      </c>
      <c r="AJ14" s="72">
        <f t="shared" si="16"/>
        <v>0</v>
      </c>
      <c r="AK14" s="72">
        <f t="shared" si="17"/>
        <v>0</v>
      </c>
      <c r="AL14" s="72">
        <f t="shared" si="18"/>
        <v>0</v>
      </c>
      <c r="AM14" s="72">
        <f t="shared" si="2"/>
        <v>0</v>
      </c>
      <c r="AN14" s="72">
        <f t="shared" si="2"/>
        <v>0</v>
      </c>
      <c r="AQ14" s="71" t="s">
        <v>143</v>
      </c>
      <c r="AR14" s="97">
        <f t="shared" si="0"/>
        <v>32.869999999999997</v>
      </c>
      <c r="AS14" s="58">
        <f>AL63</f>
        <v>0</v>
      </c>
      <c r="AT14" s="58">
        <f>V63</f>
        <v>32.869999999999997</v>
      </c>
      <c r="AY14" s="56">
        <v>60.96</v>
      </c>
    </row>
    <row r="15" spans="2:51">
      <c r="B15" s="60">
        <v>45094</v>
      </c>
      <c r="C15" s="62" t="s">
        <v>531</v>
      </c>
      <c r="D15" s="79" t="s">
        <v>51</v>
      </c>
      <c r="E15" s="56">
        <v>150</v>
      </c>
      <c r="F15" s="76" t="s">
        <v>66</v>
      </c>
      <c r="G15" s="77">
        <f t="shared" si="3"/>
        <v>75</v>
      </c>
      <c r="H15" s="78">
        <f t="shared" si="4"/>
        <v>75</v>
      </c>
      <c r="I15" s="481"/>
      <c r="J15" s="72">
        <f t="shared" si="19"/>
        <v>0</v>
      </c>
      <c r="K15" s="72">
        <f t="shared" si="20"/>
        <v>75</v>
      </c>
      <c r="L15" s="72">
        <f t="shared" si="21"/>
        <v>0</v>
      </c>
      <c r="M15" s="72">
        <f t="shared" si="22"/>
        <v>0</v>
      </c>
      <c r="N15" s="72">
        <f t="shared" si="23"/>
        <v>0</v>
      </c>
      <c r="O15" s="72">
        <f t="shared" si="24"/>
        <v>0</v>
      </c>
      <c r="P15" s="72">
        <f t="shared" si="25"/>
        <v>0</v>
      </c>
      <c r="Q15" s="72">
        <f t="shared" si="26"/>
        <v>0</v>
      </c>
      <c r="R15" s="72">
        <f t="shared" si="27"/>
        <v>0</v>
      </c>
      <c r="S15" s="72">
        <f t="shared" si="28"/>
        <v>0</v>
      </c>
      <c r="T15" s="72">
        <f t="shared" si="29"/>
        <v>0</v>
      </c>
      <c r="U15" s="72">
        <f t="shared" si="30"/>
        <v>0</v>
      </c>
      <c r="V15" s="72">
        <f t="shared" si="5"/>
        <v>0</v>
      </c>
      <c r="W15" s="72">
        <f t="shared" si="1"/>
        <v>0</v>
      </c>
      <c r="X15" s="72">
        <f t="shared" si="1"/>
        <v>0</v>
      </c>
      <c r="Z15" s="72">
        <f t="shared" si="6"/>
        <v>0</v>
      </c>
      <c r="AA15" s="72">
        <f t="shared" si="7"/>
        <v>75</v>
      </c>
      <c r="AB15" s="72">
        <f t="shared" si="8"/>
        <v>0</v>
      </c>
      <c r="AC15" s="72">
        <f t="shared" si="9"/>
        <v>0</v>
      </c>
      <c r="AD15" s="72">
        <f t="shared" si="10"/>
        <v>0</v>
      </c>
      <c r="AE15" s="72">
        <f t="shared" si="11"/>
        <v>0</v>
      </c>
      <c r="AF15" s="72">
        <f t="shared" si="12"/>
        <v>0</v>
      </c>
      <c r="AG15" s="72">
        <f t="shared" si="13"/>
        <v>0</v>
      </c>
      <c r="AH15" s="72">
        <f t="shared" si="14"/>
        <v>0</v>
      </c>
      <c r="AI15" s="72">
        <f t="shared" si="15"/>
        <v>0</v>
      </c>
      <c r="AJ15" s="72">
        <f t="shared" si="16"/>
        <v>0</v>
      </c>
      <c r="AK15" s="72">
        <f t="shared" si="17"/>
        <v>0</v>
      </c>
      <c r="AL15" s="72">
        <f t="shared" si="18"/>
        <v>0</v>
      </c>
      <c r="AM15" s="72">
        <f t="shared" si="2"/>
        <v>0</v>
      </c>
      <c r="AN15" s="72">
        <f t="shared" si="2"/>
        <v>0</v>
      </c>
      <c r="AQ15" s="71" t="s">
        <v>268</v>
      </c>
      <c r="AR15" s="97">
        <f t="shared" si="0"/>
        <v>299.88</v>
      </c>
      <c r="AS15" s="58">
        <f>AM63</f>
        <v>0</v>
      </c>
      <c r="AT15" s="58">
        <f>W63</f>
        <v>299.88</v>
      </c>
      <c r="AY15" s="59"/>
    </row>
    <row r="16" spans="2:51">
      <c r="B16" s="60">
        <v>45097</v>
      </c>
      <c r="C16" s="62" t="s">
        <v>532</v>
      </c>
      <c r="D16" s="79" t="s">
        <v>55</v>
      </c>
      <c r="E16" s="56">
        <v>29.7</v>
      </c>
      <c r="F16" s="76" t="s">
        <v>65</v>
      </c>
      <c r="G16" s="77">
        <f t="shared" si="3"/>
        <v>0</v>
      </c>
      <c r="H16" s="78">
        <f t="shared" si="4"/>
        <v>29.7</v>
      </c>
      <c r="I16" s="481" t="s">
        <v>533</v>
      </c>
      <c r="J16" s="72">
        <f t="shared" si="19"/>
        <v>0</v>
      </c>
      <c r="K16" s="72">
        <f t="shared" si="20"/>
        <v>0</v>
      </c>
      <c r="L16" s="72">
        <f t="shared" si="21"/>
        <v>0</v>
      </c>
      <c r="M16" s="72">
        <f t="shared" si="22"/>
        <v>0</v>
      </c>
      <c r="N16" s="72">
        <f t="shared" si="23"/>
        <v>0</v>
      </c>
      <c r="O16" s="72">
        <f t="shared" si="24"/>
        <v>0</v>
      </c>
      <c r="P16" s="72">
        <f t="shared" si="25"/>
        <v>0</v>
      </c>
      <c r="Q16" s="72">
        <f t="shared" si="26"/>
        <v>0</v>
      </c>
      <c r="R16" s="72">
        <f t="shared" si="27"/>
        <v>0</v>
      </c>
      <c r="S16" s="72">
        <f t="shared" si="28"/>
        <v>29.7</v>
      </c>
      <c r="T16" s="72">
        <f t="shared" si="29"/>
        <v>0</v>
      </c>
      <c r="U16" s="72">
        <f t="shared" si="30"/>
        <v>0</v>
      </c>
      <c r="V16" s="72">
        <f t="shared" si="5"/>
        <v>0</v>
      </c>
      <c r="W16" s="72">
        <f t="shared" si="1"/>
        <v>0</v>
      </c>
      <c r="X16" s="72">
        <f t="shared" si="1"/>
        <v>0</v>
      </c>
      <c r="Z16" s="72">
        <f t="shared" si="6"/>
        <v>0</v>
      </c>
      <c r="AA16" s="72">
        <f t="shared" si="7"/>
        <v>0</v>
      </c>
      <c r="AB16" s="72">
        <f t="shared" si="8"/>
        <v>0</v>
      </c>
      <c r="AC16" s="72">
        <f t="shared" si="9"/>
        <v>0</v>
      </c>
      <c r="AD16" s="72">
        <f t="shared" si="10"/>
        <v>0</v>
      </c>
      <c r="AE16" s="72">
        <f t="shared" si="11"/>
        <v>0</v>
      </c>
      <c r="AF16" s="72">
        <f t="shared" si="12"/>
        <v>0</v>
      </c>
      <c r="AG16" s="72">
        <f t="shared" si="13"/>
        <v>0</v>
      </c>
      <c r="AH16" s="72">
        <f t="shared" si="14"/>
        <v>0</v>
      </c>
      <c r="AI16" s="72">
        <f t="shared" si="15"/>
        <v>0</v>
      </c>
      <c r="AJ16" s="72">
        <f t="shared" si="16"/>
        <v>0</v>
      </c>
      <c r="AK16" s="72">
        <f t="shared" si="17"/>
        <v>0</v>
      </c>
      <c r="AL16" s="72">
        <f t="shared" si="18"/>
        <v>0</v>
      </c>
      <c r="AM16" s="72">
        <f t="shared" si="2"/>
        <v>0</v>
      </c>
      <c r="AN16" s="72">
        <f t="shared" si="2"/>
        <v>0</v>
      </c>
      <c r="AQ16" s="71"/>
      <c r="AR16" s="97">
        <f t="shared" si="0"/>
        <v>0</v>
      </c>
      <c r="AS16" s="95">
        <f>AN63</f>
        <v>0</v>
      </c>
      <c r="AT16" s="95">
        <f>X63</f>
        <v>0</v>
      </c>
      <c r="AU16" s="59"/>
      <c r="AY16" s="59">
        <f>SUM(AY12:AY14)</f>
        <v>1024.82</v>
      </c>
    </row>
    <row r="17" spans="2:52">
      <c r="B17" s="60">
        <v>45103</v>
      </c>
      <c r="C17" s="62" t="s">
        <v>534</v>
      </c>
      <c r="D17" s="79" t="s">
        <v>40</v>
      </c>
      <c r="E17" s="56">
        <v>105</v>
      </c>
      <c r="F17" s="76" t="s">
        <v>66</v>
      </c>
      <c r="G17" s="77">
        <f t="shared" si="3"/>
        <v>52.5</v>
      </c>
      <c r="H17" s="78">
        <f t="shared" si="4"/>
        <v>52.5</v>
      </c>
      <c r="I17" s="481"/>
      <c r="J17" s="72">
        <f t="shared" si="19"/>
        <v>0</v>
      </c>
      <c r="K17" s="72">
        <f t="shared" si="20"/>
        <v>0</v>
      </c>
      <c r="L17" s="72">
        <f t="shared" si="21"/>
        <v>0</v>
      </c>
      <c r="M17" s="72">
        <f t="shared" si="22"/>
        <v>0</v>
      </c>
      <c r="N17" s="72">
        <f t="shared" si="23"/>
        <v>0</v>
      </c>
      <c r="O17" s="72">
        <f t="shared" si="24"/>
        <v>0</v>
      </c>
      <c r="P17" s="72">
        <f t="shared" si="25"/>
        <v>0</v>
      </c>
      <c r="Q17" s="72">
        <f t="shared" si="26"/>
        <v>0</v>
      </c>
      <c r="R17" s="72">
        <f t="shared" si="27"/>
        <v>52.5</v>
      </c>
      <c r="S17" s="72">
        <f t="shared" si="28"/>
        <v>0</v>
      </c>
      <c r="T17" s="72">
        <f t="shared" si="29"/>
        <v>0</v>
      </c>
      <c r="U17" s="72">
        <f t="shared" si="30"/>
        <v>0</v>
      </c>
      <c r="V17" s="72">
        <f t="shared" si="5"/>
        <v>0</v>
      </c>
      <c r="W17" s="72">
        <f t="shared" si="1"/>
        <v>0</v>
      </c>
      <c r="X17" s="72">
        <f t="shared" si="1"/>
        <v>0</v>
      </c>
      <c r="Z17" s="72">
        <f t="shared" si="6"/>
        <v>0</v>
      </c>
      <c r="AA17" s="72">
        <f t="shared" si="7"/>
        <v>0</v>
      </c>
      <c r="AB17" s="72">
        <f t="shared" si="8"/>
        <v>0</v>
      </c>
      <c r="AC17" s="72">
        <f t="shared" si="9"/>
        <v>0</v>
      </c>
      <c r="AD17" s="72">
        <f t="shared" si="10"/>
        <v>0</v>
      </c>
      <c r="AE17" s="72">
        <f t="shared" si="11"/>
        <v>0</v>
      </c>
      <c r="AF17" s="72">
        <f t="shared" si="12"/>
        <v>0</v>
      </c>
      <c r="AG17" s="72">
        <f t="shared" si="13"/>
        <v>0</v>
      </c>
      <c r="AH17" s="72">
        <f t="shared" si="14"/>
        <v>52.5</v>
      </c>
      <c r="AI17" s="72">
        <f t="shared" si="15"/>
        <v>0</v>
      </c>
      <c r="AJ17" s="72">
        <f t="shared" si="16"/>
        <v>0</v>
      </c>
      <c r="AK17" s="72">
        <f t="shared" si="17"/>
        <v>0</v>
      </c>
      <c r="AL17" s="72">
        <f t="shared" si="18"/>
        <v>0</v>
      </c>
      <c r="AM17" s="72">
        <f t="shared" si="2"/>
        <v>0</v>
      </c>
      <c r="AN17" s="72">
        <f t="shared" si="2"/>
        <v>0</v>
      </c>
      <c r="AQ17" s="87" t="s">
        <v>67</v>
      </c>
      <c r="AR17" s="96">
        <f>SUM(AR2:AR16)</f>
        <v>1340.6099999999997</v>
      </c>
      <c r="AS17" s="88">
        <f>SUM(AS2:AS16)</f>
        <v>252.67500000000001</v>
      </c>
      <c r="AT17" s="88">
        <f>SUM(AT2:AT16)</f>
        <v>1087.9349999999999</v>
      </c>
      <c r="AY17" s="55">
        <v>6500</v>
      </c>
    </row>
    <row r="18" spans="2:52">
      <c r="B18" s="60">
        <v>45114</v>
      </c>
      <c r="C18" s="62" t="s">
        <v>499</v>
      </c>
      <c r="D18" s="79" t="s">
        <v>55</v>
      </c>
      <c r="E18" s="56">
        <v>18.899999999999999</v>
      </c>
      <c r="F18" s="76" t="s">
        <v>65</v>
      </c>
      <c r="G18" s="77">
        <f t="shared" si="3"/>
        <v>0</v>
      </c>
      <c r="H18" s="78">
        <f t="shared" si="4"/>
        <v>18.899999999999999</v>
      </c>
      <c r="I18" s="481" t="s">
        <v>533</v>
      </c>
      <c r="J18" s="72">
        <f t="shared" si="19"/>
        <v>0</v>
      </c>
      <c r="K18" s="72">
        <f t="shared" si="20"/>
        <v>0</v>
      </c>
      <c r="L18" s="72">
        <f t="shared" si="21"/>
        <v>0</v>
      </c>
      <c r="M18" s="72">
        <f t="shared" si="22"/>
        <v>0</v>
      </c>
      <c r="N18" s="72">
        <f t="shared" si="23"/>
        <v>0</v>
      </c>
      <c r="O18" s="72">
        <f t="shared" si="24"/>
        <v>0</v>
      </c>
      <c r="P18" s="72">
        <f t="shared" si="25"/>
        <v>0</v>
      </c>
      <c r="Q18" s="72">
        <f t="shared" si="26"/>
        <v>0</v>
      </c>
      <c r="R18" s="72">
        <f t="shared" si="27"/>
        <v>0</v>
      </c>
      <c r="S18" s="72">
        <f t="shared" si="28"/>
        <v>18.899999999999999</v>
      </c>
      <c r="T18" s="72">
        <f t="shared" si="29"/>
        <v>0</v>
      </c>
      <c r="U18" s="72">
        <f t="shared" si="30"/>
        <v>0</v>
      </c>
      <c r="V18" s="72">
        <f t="shared" si="5"/>
        <v>0</v>
      </c>
      <c r="W18" s="72">
        <f t="shared" si="1"/>
        <v>0</v>
      </c>
      <c r="X18" s="72">
        <f t="shared" si="1"/>
        <v>0</v>
      </c>
      <c r="Z18" s="72">
        <f t="shared" si="6"/>
        <v>0</v>
      </c>
      <c r="AA18" s="72">
        <f t="shared" si="7"/>
        <v>0</v>
      </c>
      <c r="AB18" s="72">
        <f t="shared" si="8"/>
        <v>0</v>
      </c>
      <c r="AC18" s="72">
        <f t="shared" si="9"/>
        <v>0</v>
      </c>
      <c r="AD18" s="72">
        <f t="shared" si="10"/>
        <v>0</v>
      </c>
      <c r="AE18" s="72">
        <f t="shared" si="11"/>
        <v>0</v>
      </c>
      <c r="AF18" s="72">
        <f t="shared" si="12"/>
        <v>0</v>
      </c>
      <c r="AG18" s="72">
        <f t="shared" si="13"/>
        <v>0</v>
      </c>
      <c r="AH18" s="72">
        <f t="shared" si="14"/>
        <v>0</v>
      </c>
      <c r="AI18" s="72">
        <f t="shared" si="15"/>
        <v>0</v>
      </c>
      <c r="AJ18" s="72">
        <f t="shared" si="16"/>
        <v>0</v>
      </c>
      <c r="AK18" s="72">
        <f t="shared" si="17"/>
        <v>0</v>
      </c>
      <c r="AL18" s="72">
        <f t="shared" si="18"/>
        <v>0</v>
      </c>
      <c r="AM18" s="72">
        <f t="shared" si="2"/>
        <v>0</v>
      </c>
      <c r="AN18" s="72">
        <f t="shared" si="2"/>
        <v>0</v>
      </c>
      <c r="AQ18" s="80" t="s">
        <v>65</v>
      </c>
      <c r="AR18" s="850" t="s">
        <v>45</v>
      </c>
      <c r="AS18" s="851"/>
      <c r="AT18" s="852"/>
      <c r="AU18" s="99"/>
      <c r="AV18" s="98"/>
      <c r="AY18" s="59">
        <f>AY17-AY16</f>
        <v>5475.18</v>
      </c>
    </row>
    <row r="19" spans="2:52" ht="16.5" customHeight="1">
      <c r="B19" s="880" t="s">
        <v>267</v>
      </c>
      <c r="C19" s="880"/>
      <c r="D19" s="880"/>
      <c r="E19" s="880"/>
      <c r="F19" s="880"/>
      <c r="G19" s="880"/>
      <c r="H19" s="880"/>
      <c r="I19" s="481"/>
      <c r="J19" s="72">
        <f t="shared" si="19"/>
        <v>0</v>
      </c>
      <c r="K19" s="72">
        <f t="shared" si="20"/>
        <v>0</v>
      </c>
      <c r="L19" s="72">
        <f t="shared" si="21"/>
        <v>0</v>
      </c>
      <c r="M19" s="72">
        <f t="shared" si="22"/>
        <v>0</v>
      </c>
      <c r="N19" s="72">
        <f t="shared" si="23"/>
        <v>0</v>
      </c>
      <c r="O19" s="72">
        <f t="shared" si="24"/>
        <v>0</v>
      </c>
      <c r="P19" s="72">
        <f t="shared" si="25"/>
        <v>0</v>
      </c>
      <c r="Q19" s="72">
        <f t="shared" si="26"/>
        <v>0</v>
      </c>
      <c r="R19" s="72">
        <f t="shared" si="27"/>
        <v>0</v>
      </c>
      <c r="S19" s="72">
        <f t="shared" si="28"/>
        <v>0</v>
      </c>
      <c r="T19" s="72">
        <f t="shared" si="29"/>
        <v>0</v>
      </c>
      <c r="U19" s="72">
        <f t="shared" si="30"/>
        <v>0</v>
      </c>
      <c r="V19" s="72">
        <f t="shared" si="5"/>
        <v>0</v>
      </c>
      <c r="W19" s="72">
        <f t="shared" si="5"/>
        <v>0</v>
      </c>
      <c r="X19" s="72">
        <f t="shared" si="5"/>
        <v>0</v>
      </c>
      <c r="Z19" s="72">
        <f t="shared" si="6"/>
        <v>0</v>
      </c>
      <c r="AA19" s="72">
        <f t="shared" si="7"/>
        <v>0</v>
      </c>
      <c r="AB19" s="72">
        <f t="shared" si="8"/>
        <v>0</v>
      </c>
      <c r="AC19" s="72">
        <f t="shared" si="9"/>
        <v>0</v>
      </c>
      <c r="AD19" s="72">
        <f t="shared" si="10"/>
        <v>0</v>
      </c>
      <c r="AE19" s="72">
        <f t="shared" si="11"/>
        <v>0</v>
      </c>
      <c r="AF19" s="72">
        <f t="shared" si="12"/>
        <v>0</v>
      </c>
      <c r="AG19" s="72">
        <f t="shared" si="13"/>
        <v>0</v>
      </c>
      <c r="AH19" s="72">
        <f t="shared" si="14"/>
        <v>0</v>
      </c>
      <c r="AI19" s="72">
        <f t="shared" si="15"/>
        <v>0</v>
      </c>
      <c r="AJ19" s="72">
        <f t="shared" si="16"/>
        <v>0</v>
      </c>
      <c r="AK19" s="72">
        <f t="shared" si="17"/>
        <v>0</v>
      </c>
      <c r="AL19" s="72">
        <f t="shared" si="18"/>
        <v>0</v>
      </c>
      <c r="AM19" s="72">
        <f t="shared" si="18"/>
        <v>0</v>
      </c>
      <c r="AN19" s="72">
        <f t="shared" si="18"/>
        <v>0</v>
      </c>
      <c r="AQ19" s="80" t="s">
        <v>66</v>
      </c>
      <c r="AU19" s="98"/>
    </row>
    <row r="20" spans="2:52" ht="16.5" customHeight="1">
      <c r="B20" s="880"/>
      <c r="C20" s="880"/>
      <c r="D20" s="880"/>
      <c r="E20" s="880"/>
      <c r="F20" s="880"/>
      <c r="G20" s="880"/>
      <c r="H20" s="880"/>
      <c r="I20" s="481"/>
      <c r="J20" s="72">
        <f t="shared" si="19"/>
        <v>0</v>
      </c>
      <c r="K20" s="72">
        <f t="shared" si="20"/>
        <v>0</v>
      </c>
      <c r="L20" s="72">
        <f t="shared" si="21"/>
        <v>0</v>
      </c>
      <c r="M20" s="72">
        <f t="shared" si="22"/>
        <v>0</v>
      </c>
      <c r="N20" s="72">
        <f t="shared" si="23"/>
        <v>0</v>
      </c>
      <c r="O20" s="72">
        <f t="shared" si="24"/>
        <v>0</v>
      </c>
      <c r="P20" s="72">
        <f t="shared" si="25"/>
        <v>0</v>
      </c>
      <c r="Q20" s="72">
        <f t="shared" si="26"/>
        <v>0</v>
      </c>
      <c r="R20" s="72">
        <f t="shared" si="27"/>
        <v>0</v>
      </c>
      <c r="S20" s="72">
        <f t="shared" si="28"/>
        <v>0</v>
      </c>
      <c r="T20" s="72">
        <f t="shared" si="29"/>
        <v>0</v>
      </c>
      <c r="U20" s="72">
        <f t="shared" si="30"/>
        <v>0</v>
      </c>
      <c r="V20" s="72">
        <f t="shared" si="5"/>
        <v>0</v>
      </c>
      <c r="W20" s="72">
        <f t="shared" si="5"/>
        <v>0</v>
      </c>
      <c r="X20" s="72">
        <f t="shared" si="5"/>
        <v>0</v>
      </c>
      <c r="Z20" s="72">
        <f t="shared" si="6"/>
        <v>0</v>
      </c>
      <c r="AA20" s="72">
        <f t="shared" si="7"/>
        <v>0</v>
      </c>
      <c r="AB20" s="72">
        <f t="shared" si="8"/>
        <v>0</v>
      </c>
      <c r="AC20" s="72">
        <f t="shared" si="9"/>
        <v>0</v>
      </c>
      <c r="AD20" s="72">
        <f t="shared" si="10"/>
        <v>0</v>
      </c>
      <c r="AE20" s="72">
        <f t="shared" si="11"/>
        <v>0</v>
      </c>
      <c r="AF20" s="72">
        <f t="shared" si="12"/>
        <v>0</v>
      </c>
      <c r="AG20" s="72">
        <f t="shared" si="13"/>
        <v>0</v>
      </c>
      <c r="AH20" s="72">
        <f t="shared" si="14"/>
        <v>0</v>
      </c>
      <c r="AI20" s="72">
        <f t="shared" si="15"/>
        <v>0</v>
      </c>
      <c r="AJ20" s="72">
        <f t="shared" si="16"/>
        <v>0</v>
      </c>
      <c r="AK20" s="72">
        <f t="shared" si="17"/>
        <v>0</v>
      </c>
      <c r="AL20" s="72">
        <f t="shared" si="18"/>
        <v>0</v>
      </c>
      <c r="AM20" s="72">
        <f t="shared" si="18"/>
        <v>0</v>
      </c>
      <c r="AN20" s="72">
        <f t="shared" si="18"/>
        <v>0</v>
      </c>
    </row>
    <row r="21" spans="2:52" ht="16.5" customHeight="1">
      <c r="B21" s="880"/>
      <c r="C21" s="880"/>
      <c r="D21" s="880"/>
      <c r="E21" s="880"/>
      <c r="F21" s="880"/>
      <c r="G21" s="880"/>
      <c r="H21" s="880"/>
      <c r="I21" s="481"/>
      <c r="J21" s="72">
        <f t="shared" si="19"/>
        <v>0</v>
      </c>
      <c r="K21" s="72">
        <f t="shared" si="20"/>
        <v>0</v>
      </c>
      <c r="L21" s="72">
        <f t="shared" si="21"/>
        <v>0</v>
      </c>
      <c r="M21" s="72">
        <f t="shared" si="22"/>
        <v>0</v>
      </c>
      <c r="N21" s="72">
        <f t="shared" si="23"/>
        <v>0</v>
      </c>
      <c r="O21" s="72">
        <f t="shared" si="24"/>
        <v>0</v>
      </c>
      <c r="P21" s="72">
        <f t="shared" si="25"/>
        <v>0</v>
      </c>
      <c r="Q21" s="72">
        <f t="shared" si="26"/>
        <v>0</v>
      </c>
      <c r="R21" s="72">
        <f t="shared" si="27"/>
        <v>0</v>
      </c>
      <c r="S21" s="72">
        <f t="shared" si="28"/>
        <v>0</v>
      </c>
      <c r="T21" s="72">
        <f t="shared" si="29"/>
        <v>0</v>
      </c>
      <c r="U21" s="72">
        <f t="shared" si="30"/>
        <v>0</v>
      </c>
      <c r="V21" s="72">
        <f t="shared" si="5"/>
        <v>0</v>
      </c>
      <c r="W21" s="72">
        <f t="shared" si="5"/>
        <v>0</v>
      </c>
      <c r="X21" s="72">
        <f t="shared" si="5"/>
        <v>0</v>
      </c>
      <c r="Z21" s="72">
        <f t="shared" si="6"/>
        <v>0</v>
      </c>
      <c r="AA21" s="72">
        <f t="shared" si="7"/>
        <v>0</v>
      </c>
      <c r="AB21" s="72">
        <f t="shared" si="8"/>
        <v>0</v>
      </c>
      <c r="AC21" s="72">
        <f t="shared" si="9"/>
        <v>0</v>
      </c>
      <c r="AD21" s="72">
        <f t="shared" si="10"/>
        <v>0</v>
      </c>
      <c r="AE21" s="72">
        <f t="shared" si="11"/>
        <v>0</v>
      </c>
      <c r="AF21" s="72">
        <f t="shared" si="12"/>
        <v>0</v>
      </c>
      <c r="AG21" s="72">
        <f t="shared" si="13"/>
        <v>0</v>
      </c>
      <c r="AH21" s="72">
        <f t="shared" si="14"/>
        <v>0</v>
      </c>
      <c r="AI21" s="72">
        <f t="shared" si="15"/>
        <v>0</v>
      </c>
      <c r="AJ21" s="72">
        <f t="shared" si="16"/>
        <v>0</v>
      </c>
      <c r="AK21" s="72">
        <f t="shared" si="17"/>
        <v>0</v>
      </c>
      <c r="AL21" s="72">
        <f t="shared" si="18"/>
        <v>0</v>
      </c>
      <c r="AM21" s="72">
        <f t="shared" si="18"/>
        <v>0</v>
      </c>
      <c r="AN21" s="72">
        <f t="shared" si="18"/>
        <v>0</v>
      </c>
    </row>
    <row r="22" spans="2:52" ht="16.5" customHeight="1">
      <c r="B22" s="880"/>
      <c r="C22" s="880"/>
      <c r="D22" s="880"/>
      <c r="E22" s="880"/>
      <c r="F22" s="880"/>
      <c r="G22" s="880"/>
      <c r="H22" s="880"/>
      <c r="I22" s="482"/>
      <c r="J22" s="72">
        <f t="shared" si="19"/>
        <v>0</v>
      </c>
      <c r="K22" s="72">
        <f t="shared" si="20"/>
        <v>0</v>
      </c>
      <c r="L22" s="72">
        <f t="shared" si="21"/>
        <v>0</v>
      </c>
      <c r="M22" s="72">
        <f t="shared" si="22"/>
        <v>0</v>
      </c>
      <c r="N22" s="72">
        <f t="shared" si="23"/>
        <v>0</v>
      </c>
      <c r="O22" s="72">
        <f t="shared" si="24"/>
        <v>0</v>
      </c>
      <c r="P22" s="72">
        <f t="shared" si="25"/>
        <v>0</v>
      </c>
      <c r="Q22" s="72">
        <f t="shared" si="26"/>
        <v>0</v>
      </c>
      <c r="R22" s="72">
        <f t="shared" si="27"/>
        <v>0</v>
      </c>
      <c r="S22" s="72">
        <f t="shared" si="28"/>
        <v>0</v>
      </c>
      <c r="T22" s="72">
        <f t="shared" si="29"/>
        <v>0</v>
      </c>
      <c r="U22" s="72">
        <f t="shared" si="30"/>
        <v>0</v>
      </c>
      <c r="V22" s="72">
        <f t="shared" si="5"/>
        <v>0</v>
      </c>
      <c r="W22" s="72">
        <f t="shared" si="5"/>
        <v>0</v>
      </c>
      <c r="X22" s="72">
        <f t="shared" si="5"/>
        <v>0</v>
      </c>
      <c r="Y22" s="61"/>
      <c r="Z22" s="72">
        <f t="shared" si="6"/>
        <v>0</v>
      </c>
      <c r="AA22" s="72">
        <f t="shared" si="7"/>
        <v>0</v>
      </c>
      <c r="AB22" s="72">
        <f t="shared" si="8"/>
        <v>0</v>
      </c>
      <c r="AC22" s="72">
        <f t="shared" si="9"/>
        <v>0</v>
      </c>
      <c r="AD22" s="72">
        <f t="shared" si="10"/>
        <v>0</v>
      </c>
      <c r="AE22" s="72">
        <f t="shared" si="11"/>
        <v>0</v>
      </c>
      <c r="AF22" s="72">
        <f t="shared" si="12"/>
        <v>0</v>
      </c>
      <c r="AG22" s="72">
        <f t="shared" si="13"/>
        <v>0</v>
      </c>
      <c r="AH22" s="72">
        <f t="shared" si="14"/>
        <v>0</v>
      </c>
      <c r="AI22" s="72">
        <f t="shared" si="15"/>
        <v>0</v>
      </c>
      <c r="AJ22" s="72">
        <f t="shared" si="16"/>
        <v>0</v>
      </c>
      <c r="AK22" s="72">
        <f t="shared" si="17"/>
        <v>0</v>
      </c>
      <c r="AL22" s="72">
        <f t="shared" si="18"/>
        <v>0</v>
      </c>
      <c r="AM22" s="72">
        <f t="shared" si="18"/>
        <v>0</v>
      </c>
      <c r="AN22" s="72">
        <f t="shared" si="18"/>
        <v>0</v>
      </c>
      <c r="AO22" s="61"/>
      <c r="AP22" s="61"/>
    </row>
    <row r="23" spans="2:52" ht="17.25" customHeight="1" thickBot="1">
      <c r="B23" s="880"/>
      <c r="C23" s="880"/>
      <c r="D23" s="880"/>
      <c r="E23" s="880"/>
      <c r="F23" s="880"/>
      <c r="G23" s="880"/>
      <c r="H23" s="880"/>
      <c r="I23" s="481"/>
      <c r="J23" s="72">
        <f t="shared" si="19"/>
        <v>0</v>
      </c>
      <c r="K23" s="72">
        <f t="shared" si="20"/>
        <v>0</v>
      </c>
      <c r="L23" s="72">
        <f t="shared" si="21"/>
        <v>0</v>
      </c>
      <c r="M23" s="72">
        <f t="shared" si="22"/>
        <v>0</v>
      </c>
      <c r="N23" s="72">
        <f t="shared" si="23"/>
        <v>0</v>
      </c>
      <c r="O23" s="72">
        <f t="shared" si="24"/>
        <v>0</v>
      </c>
      <c r="P23" s="72">
        <f t="shared" si="25"/>
        <v>0</v>
      </c>
      <c r="Q23" s="72">
        <f t="shared" si="26"/>
        <v>0</v>
      </c>
      <c r="R23" s="72">
        <f t="shared" si="27"/>
        <v>0</v>
      </c>
      <c r="S23" s="72">
        <f t="shared" si="28"/>
        <v>0</v>
      </c>
      <c r="T23" s="72">
        <f t="shared" si="29"/>
        <v>0</v>
      </c>
      <c r="U23" s="72">
        <f t="shared" si="30"/>
        <v>0</v>
      </c>
      <c r="V23" s="72">
        <f t="shared" si="5"/>
        <v>0</v>
      </c>
      <c r="W23" s="72">
        <f t="shared" si="5"/>
        <v>0</v>
      </c>
      <c r="X23" s="72">
        <f t="shared" si="5"/>
        <v>0</v>
      </c>
      <c r="Z23" s="72">
        <f t="shared" si="6"/>
        <v>0</v>
      </c>
      <c r="AA23" s="72">
        <f t="shared" si="7"/>
        <v>0</v>
      </c>
      <c r="AB23" s="72">
        <f t="shared" si="8"/>
        <v>0</v>
      </c>
      <c r="AC23" s="72">
        <f t="shared" si="9"/>
        <v>0</v>
      </c>
      <c r="AD23" s="72">
        <f t="shared" si="10"/>
        <v>0</v>
      </c>
      <c r="AE23" s="72">
        <f t="shared" si="11"/>
        <v>0</v>
      </c>
      <c r="AF23" s="72">
        <f t="shared" si="12"/>
        <v>0</v>
      </c>
      <c r="AG23" s="72">
        <f t="shared" si="13"/>
        <v>0</v>
      </c>
      <c r="AH23" s="72">
        <f t="shared" si="14"/>
        <v>0</v>
      </c>
      <c r="AI23" s="72">
        <f t="shared" si="15"/>
        <v>0</v>
      </c>
      <c r="AJ23" s="72">
        <f t="shared" si="16"/>
        <v>0</v>
      </c>
      <c r="AK23" s="72">
        <f t="shared" si="17"/>
        <v>0</v>
      </c>
      <c r="AL23" s="72">
        <f t="shared" si="18"/>
        <v>0</v>
      </c>
      <c r="AM23" s="72">
        <f t="shared" si="18"/>
        <v>0</v>
      </c>
      <c r="AN23" s="72">
        <f t="shared" si="18"/>
        <v>0</v>
      </c>
      <c r="AV23" s="864" t="s">
        <v>134</v>
      </c>
      <c r="AW23" s="864"/>
      <c r="AY23" s="866" t="s">
        <v>133</v>
      </c>
      <c r="AZ23" s="866"/>
    </row>
    <row r="24" spans="2:52" ht="16.5" customHeight="1">
      <c r="B24" s="880"/>
      <c r="C24" s="880"/>
      <c r="D24" s="880"/>
      <c r="E24" s="880"/>
      <c r="F24" s="880"/>
      <c r="G24" s="880"/>
      <c r="H24" s="880"/>
      <c r="I24" s="481"/>
      <c r="J24" s="72">
        <f t="shared" si="19"/>
        <v>0</v>
      </c>
      <c r="K24" s="72">
        <f t="shared" si="20"/>
        <v>0</v>
      </c>
      <c r="L24" s="72">
        <f t="shared" si="21"/>
        <v>0</v>
      </c>
      <c r="M24" s="72">
        <f t="shared" si="22"/>
        <v>0</v>
      </c>
      <c r="N24" s="72">
        <f t="shared" si="23"/>
        <v>0</v>
      </c>
      <c r="O24" s="72">
        <f t="shared" si="24"/>
        <v>0</v>
      </c>
      <c r="P24" s="72">
        <f t="shared" si="25"/>
        <v>0</v>
      </c>
      <c r="Q24" s="72">
        <f t="shared" si="26"/>
        <v>0</v>
      </c>
      <c r="R24" s="72">
        <f t="shared" si="27"/>
        <v>0</v>
      </c>
      <c r="S24" s="72">
        <f t="shared" si="28"/>
        <v>0</v>
      </c>
      <c r="T24" s="72">
        <f t="shared" si="29"/>
        <v>0</v>
      </c>
      <c r="U24" s="72">
        <f t="shared" si="30"/>
        <v>0</v>
      </c>
      <c r="V24" s="72">
        <f t="shared" si="5"/>
        <v>0</v>
      </c>
      <c r="W24" s="72">
        <f t="shared" si="5"/>
        <v>0</v>
      </c>
      <c r="X24" s="72">
        <f t="shared" si="5"/>
        <v>0</v>
      </c>
      <c r="Z24" s="72">
        <f t="shared" si="6"/>
        <v>0</v>
      </c>
      <c r="AA24" s="72">
        <f t="shared" si="7"/>
        <v>0</v>
      </c>
      <c r="AB24" s="72">
        <f t="shared" si="8"/>
        <v>0</v>
      </c>
      <c r="AC24" s="72">
        <f t="shared" si="9"/>
        <v>0</v>
      </c>
      <c r="AD24" s="72">
        <f t="shared" si="10"/>
        <v>0</v>
      </c>
      <c r="AE24" s="72">
        <f t="shared" si="11"/>
        <v>0</v>
      </c>
      <c r="AF24" s="72">
        <f t="shared" si="12"/>
        <v>0</v>
      </c>
      <c r="AG24" s="72">
        <f t="shared" si="13"/>
        <v>0</v>
      </c>
      <c r="AH24" s="72">
        <f t="shared" si="14"/>
        <v>0</v>
      </c>
      <c r="AI24" s="72">
        <f t="shared" si="15"/>
        <v>0</v>
      </c>
      <c r="AJ24" s="72">
        <f t="shared" si="16"/>
        <v>0</v>
      </c>
      <c r="AK24" s="72">
        <f t="shared" si="17"/>
        <v>0</v>
      </c>
      <c r="AL24" s="72">
        <f t="shared" si="18"/>
        <v>0</v>
      </c>
      <c r="AM24" s="72">
        <f t="shared" si="18"/>
        <v>0</v>
      </c>
      <c r="AN24" s="72">
        <f t="shared" si="18"/>
        <v>0</v>
      </c>
      <c r="AP24" s="491"/>
      <c r="AQ24" s="487" t="s">
        <v>350</v>
      </c>
      <c r="AR24" s="494">
        <f>AR17</f>
        <v>1340.6099999999997</v>
      </c>
      <c r="AV24" s="112" t="s">
        <v>75</v>
      </c>
      <c r="AW24" s="1">
        <v>121.09</v>
      </c>
      <c r="AY24" s="502" t="s">
        <v>130</v>
      </c>
      <c r="AZ24" s="503">
        <f>AS17</f>
        <v>252.67500000000001</v>
      </c>
    </row>
    <row r="25" spans="2:52" ht="16.5" customHeight="1">
      <c r="B25" s="880"/>
      <c r="C25" s="880"/>
      <c r="D25" s="880"/>
      <c r="E25" s="880"/>
      <c r="F25" s="880"/>
      <c r="G25" s="880"/>
      <c r="H25" s="880"/>
      <c r="I25" s="481"/>
      <c r="J25" s="72">
        <f t="shared" si="19"/>
        <v>0</v>
      </c>
      <c r="K25" s="72">
        <f t="shared" si="20"/>
        <v>0</v>
      </c>
      <c r="L25" s="72">
        <f t="shared" si="21"/>
        <v>0</v>
      </c>
      <c r="M25" s="72">
        <f t="shared" si="22"/>
        <v>0</v>
      </c>
      <c r="N25" s="72">
        <f t="shared" si="23"/>
        <v>0</v>
      </c>
      <c r="O25" s="72">
        <f t="shared" si="24"/>
        <v>0</v>
      </c>
      <c r="P25" s="72">
        <f t="shared" si="25"/>
        <v>0</v>
      </c>
      <c r="Q25" s="72">
        <f t="shared" si="26"/>
        <v>0</v>
      </c>
      <c r="R25" s="72">
        <f t="shared" si="27"/>
        <v>0</v>
      </c>
      <c r="S25" s="72">
        <f t="shared" si="28"/>
        <v>0</v>
      </c>
      <c r="T25" s="72">
        <f t="shared" si="29"/>
        <v>0</v>
      </c>
      <c r="U25" s="72">
        <f t="shared" si="30"/>
        <v>0</v>
      </c>
      <c r="V25" s="72">
        <f t="shared" si="5"/>
        <v>0</v>
      </c>
      <c r="W25" s="72">
        <f t="shared" si="5"/>
        <v>0</v>
      </c>
      <c r="X25" s="72">
        <f t="shared" si="5"/>
        <v>0</v>
      </c>
      <c r="Z25" s="72">
        <f t="shared" si="6"/>
        <v>0</v>
      </c>
      <c r="AA25" s="72">
        <f t="shared" si="7"/>
        <v>0</v>
      </c>
      <c r="AB25" s="72">
        <f t="shared" si="8"/>
        <v>0</v>
      </c>
      <c r="AC25" s="72">
        <f t="shared" si="9"/>
        <v>0</v>
      </c>
      <c r="AD25" s="72">
        <f t="shared" si="10"/>
        <v>0</v>
      </c>
      <c r="AE25" s="72">
        <f t="shared" si="11"/>
        <v>0</v>
      </c>
      <c r="AF25" s="72">
        <f t="shared" si="12"/>
        <v>0</v>
      </c>
      <c r="AG25" s="72">
        <f t="shared" si="13"/>
        <v>0</v>
      </c>
      <c r="AH25" s="72">
        <f t="shared" si="14"/>
        <v>0</v>
      </c>
      <c r="AI25" s="72">
        <f t="shared" si="15"/>
        <v>0</v>
      </c>
      <c r="AJ25" s="72">
        <f t="shared" si="16"/>
        <v>0</v>
      </c>
      <c r="AK25" s="72">
        <f t="shared" si="17"/>
        <v>0</v>
      </c>
      <c r="AL25" s="72">
        <f t="shared" si="18"/>
        <v>0</v>
      </c>
      <c r="AM25" s="72">
        <f t="shared" si="18"/>
        <v>0</v>
      </c>
      <c r="AN25" s="72">
        <f t="shared" si="18"/>
        <v>0</v>
      </c>
      <c r="AP25" s="492"/>
      <c r="AQ25" s="488" t="s">
        <v>349</v>
      </c>
      <c r="AR25" s="501">
        <f>AY4+AY6</f>
        <v>175.97</v>
      </c>
      <c r="AS25" s="869" t="s">
        <v>356</v>
      </c>
      <c r="AT25" s="870"/>
      <c r="AV25" s="112" t="s">
        <v>76</v>
      </c>
      <c r="AW25" s="1">
        <v>250.13</v>
      </c>
      <c r="AY25" s="502" t="s">
        <v>131</v>
      </c>
      <c r="AZ25" s="504">
        <f>AR27</f>
        <v>40.96</v>
      </c>
    </row>
    <row r="26" spans="2:52" ht="16.5" customHeight="1">
      <c r="B26" s="880"/>
      <c r="C26" s="880"/>
      <c r="D26" s="880"/>
      <c r="E26" s="880"/>
      <c r="F26" s="880"/>
      <c r="G26" s="880"/>
      <c r="H26" s="880"/>
      <c r="I26" s="481"/>
      <c r="J26" s="72">
        <f t="shared" si="19"/>
        <v>0</v>
      </c>
      <c r="K26" s="72">
        <f t="shared" si="20"/>
        <v>0</v>
      </c>
      <c r="L26" s="72">
        <f t="shared" si="21"/>
        <v>0</v>
      </c>
      <c r="M26" s="72">
        <f t="shared" si="22"/>
        <v>0</v>
      </c>
      <c r="N26" s="72">
        <f t="shared" si="23"/>
        <v>0</v>
      </c>
      <c r="O26" s="72">
        <f t="shared" si="24"/>
        <v>0</v>
      </c>
      <c r="P26" s="72">
        <f t="shared" si="25"/>
        <v>0</v>
      </c>
      <c r="Q26" s="72">
        <f t="shared" si="26"/>
        <v>0</v>
      </c>
      <c r="R26" s="72">
        <f t="shared" si="27"/>
        <v>0</v>
      </c>
      <c r="S26" s="72">
        <f t="shared" si="28"/>
        <v>0</v>
      </c>
      <c r="T26" s="72">
        <f t="shared" si="29"/>
        <v>0</v>
      </c>
      <c r="U26" s="72">
        <f t="shared" si="30"/>
        <v>0</v>
      </c>
      <c r="V26" s="72">
        <f t="shared" si="5"/>
        <v>0</v>
      </c>
      <c r="W26" s="72">
        <f t="shared" si="5"/>
        <v>0</v>
      </c>
      <c r="X26" s="72">
        <f t="shared" si="5"/>
        <v>0</v>
      </c>
      <c r="Z26" s="72">
        <f t="shared" si="6"/>
        <v>0</v>
      </c>
      <c r="AA26" s="72">
        <f t="shared" si="7"/>
        <v>0</v>
      </c>
      <c r="AB26" s="72">
        <f t="shared" si="8"/>
        <v>0</v>
      </c>
      <c r="AC26" s="72">
        <f t="shared" si="9"/>
        <v>0</v>
      </c>
      <c r="AD26" s="72">
        <f t="shared" si="10"/>
        <v>0</v>
      </c>
      <c r="AE26" s="72">
        <f t="shared" si="11"/>
        <v>0</v>
      </c>
      <c r="AF26" s="72">
        <f t="shared" si="12"/>
        <v>0</v>
      </c>
      <c r="AG26" s="72">
        <f t="shared" si="13"/>
        <v>0</v>
      </c>
      <c r="AH26" s="72">
        <f t="shared" si="14"/>
        <v>0</v>
      </c>
      <c r="AI26" s="72">
        <f t="shared" si="15"/>
        <v>0</v>
      </c>
      <c r="AJ26" s="72">
        <f t="shared" si="16"/>
        <v>0</v>
      </c>
      <c r="AK26" s="72">
        <f t="shared" si="17"/>
        <v>0</v>
      </c>
      <c r="AL26" s="72">
        <f t="shared" si="18"/>
        <v>0</v>
      </c>
      <c r="AM26" s="72">
        <f t="shared" si="18"/>
        <v>0</v>
      </c>
      <c r="AN26" s="72">
        <f t="shared" si="18"/>
        <v>0</v>
      </c>
      <c r="AP26" s="492"/>
      <c r="AQ26" s="488" t="s">
        <v>353</v>
      </c>
      <c r="AR26" s="495">
        <f>AR24-AR25</f>
        <v>1164.6399999999996</v>
      </c>
      <c r="AV26" s="112" t="s">
        <v>77</v>
      </c>
      <c r="AW26" s="1">
        <v>700</v>
      </c>
      <c r="AY26" s="502" t="s">
        <v>134</v>
      </c>
      <c r="AZ26" s="505">
        <f>AW31</f>
        <v>661.79</v>
      </c>
    </row>
    <row r="27" spans="2:52" ht="16.5" customHeight="1">
      <c r="B27" s="880"/>
      <c r="C27" s="880"/>
      <c r="D27" s="880"/>
      <c r="E27" s="880"/>
      <c r="F27" s="880"/>
      <c r="G27" s="880"/>
      <c r="H27" s="880"/>
      <c r="I27" s="481"/>
      <c r="J27" s="72">
        <f t="shared" si="19"/>
        <v>0</v>
      </c>
      <c r="K27" s="72">
        <f t="shared" si="20"/>
        <v>0</v>
      </c>
      <c r="L27" s="72">
        <f t="shared" si="21"/>
        <v>0</v>
      </c>
      <c r="M27" s="72">
        <f t="shared" si="22"/>
        <v>0</v>
      </c>
      <c r="N27" s="72">
        <f t="shared" si="23"/>
        <v>0</v>
      </c>
      <c r="O27" s="72">
        <f t="shared" si="24"/>
        <v>0</v>
      </c>
      <c r="P27" s="72">
        <f t="shared" si="25"/>
        <v>0</v>
      </c>
      <c r="Q27" s="72">
        <f t="shared" si="26"/>
        <v>0</v>
      </c>
      <c r="R27" s="72">
        <f t="shared" si="27"/>
        <v>0</v>
      </c>
      <c r="S27" s="72">
        <f t="shared" si="28"/>
        <v>0</v>
      </c>
      <c r="T27" s="72">
        <f t="shared" si="29"/>
        <v>0</v>
      </c>
      <c r="U27" s="72">
        <f t="shared" si="30"/>
        <v>0</v>
      </c>
      <c r="V27" s="72">
        <f t="shared" si="5"/>
        <v>0</v>
      </c>
      <c r="W27" s="72">
        <f t="shared" si="5"/>
        <v>0</v>
      </c>
      <c r="X27" s="72">
        <f t="shared" si="5"/>
        <v>0</v>
      </c>
      <c r="Z27" s="72">
        <f t="shared" si="6"/>
        <v>0</v>
      </c>
      <c r="AA27" s="72">
        <f t="shared" si="7"/>
        <v>0</v>
      </c>
      <c r="AB27" s="72">
        <f t="shared" si="8"/>
        <v>0</v>
      </c>
      <c r="AC27" s="72">
        <f t="shared" si="9"/>
        <v>0</v>
      </c>
      <c r="AD27" s="72">
        <f t="shared" si="10"/>
        <v>0</v>
      </c>
      <c r="AE27" s="72">
        <f t="shared" si="11"/>
        <v>0</v>
      </c>
      <c r="AF27" s="72">
        <f t="shared" si="12"/>
        <v>0</v>
      </c>
      <c r="AG27" s="72">
        <f t="shared" si="13"/>
        <v>0</v>
      </c>
      <c r="AH27" s="72">
        <f t="shared" si="14"/>
        <v>0</v>
      </c>
      <c r="AI27" s="72">
        <f t="shared" si="15"/>
        <v>0</v>
      </c>
      <c r="AJ27" s="72">
        <f t="shared" si="16"/>
        <v>0</v>
      </c>
      <c r="AK27" s="72">
        <f t="shared" si="17"/>
        <v>0</v>
      </c>
      <c r="AL27" s="72">
        <f t="shared" si="18"/>
        <v>0</v>
      </c>
      <c r="AM27" s="72">
        <f t="shared" si="18"/>
        <v>0</v>
      </c>
      <c r="AN27" s="72">
        <f t="shared" si="18"/>
        <v>0</v>
      </c>
      <c r="AP27" s="492"/>
      <c r="AQ27" s="489" t="s">
        <v>351</v>
      </c>
      <c r="AR27" s="486">
        <v>40.96</v>
      </c>
      <c r="AS27" s="867" t="s">
        <v>357</v>
      </c>
      <c r="AT27" s="868"/>
      <c r="AV27" s="112" t="s">
        <v>78</v>
      </c>
      <c r="AW27" s="54">
        <v>252.36</v>
      </c>
      <c r="AY27" s="502" t="s">
        <v>355</v>
      </c>
      <c r="AZ27" s="165">
        <v>0</v>
      </c>
    </row>
    <row r="28" spans="2:52" ht="17.25" customHeight="1" thickBot="1">
      <c r="B28" s="880"/>
      <c r="C28" s="880"/>
      <c r="D28" s="880"/>
      <c r="E28" s="880"/>
      <c r="F28" s="880"/>
      <c r="G28" s="880"/>
      <c r="H28" s="880"/>
      <c r="I28" s="481"/>
      <c r="J28" s="72">
        <f t="shared" si="19"/>
        <v>0</v>
      </c>
      <c r="K28" s="72">
        <f t="shared" si="20"/>
        <v>0</v>
      </c>
      <c r="L28" s="72">
        <f t="shared" si="21"/>
        <v>0</v>
      </c>
      <c r="M28" s="72">
        <f t="shared" si="22"/>
        <v>0</v>
      </c>
      <c r="N28" s="72">
        <f t="shared" si="23"/>
        <v>0</v>
      </c>
      <c r="O28" s="72">
        <f t="shared" si="24"/>
        <v>0</v>
      </c>
      <c r="P28" s="72">
        <f t="shared" si="25"/>
        <v>0</v>
      </c>
      <c r="Q28" s="72">
        <f t="shared" si="26"/>
        <v>0</v>
      </c>
      <c r="R28" s="72">
        <f t="shared" si="27"/>
        <v>0</v>
      </c>
      <c r="S28" s="72">
        <f t="shared" si="28"/>
        <v>0</v>
      </c>
      <c r="T28" s="72">
        <f t="shared" si="29"/>
        <v>0</v>
      </c>
      <c r="U28" s="72">
        <f t="shared" si="30"/>
        <v>0</v>
      </c>
      <c r="V28" s="72">
        <f t="shared" si="5"/>
        <v>0</v>
      </c>
      <c r="W28" s="72">
        <f t="shared" si="5"/>
        <v>0</v>
      </c>
      <c r="X28" s="72">
        <f t="shared" si="5"/>
        <v>0</v>
      </c>
      <c r="Z28" s="72">
        <f t="shared" si="6"/>
        <v>0</v>
      </c>
      <c r="AA28" s="72">
        <f t="shared" si="7"/>
        <v>0</v>
      </c>
      <c r="AB28" s="72">
        <f t="shared" si="8"/>
        <v>0</v>
      </c>
      <c r="AC28" s="72">
        <f t="shared" si="9"/>
        <v>0</v>
      </c>
      <c r="AD28" s="72">
        <f t="shared" si="10"/>
        <v>0</v>
      </c>
      <c r="AE28" s="72">
        <f t="shared" si="11"/>
        <v>0</v>
      </c>
      <c r="AF28" s="72">
        <f t="shared" si="12"/>
        <v>0</v>
      </c>
      <c r="AG28" s="72">
        <f t="shared" si="13"/>
        <v>0</v>
      </c>
      <c r="AH28" s="72">
        <f t="shared" si="14"/>
        <v>0</v>
      </c>
      <c r="AI28" s="72">
        <f t="shared" si="15"/>
        <v>0</v>
      </c>
      <c r="AJ28" s="72">
        <f t="shared" si="16"/>
        <v>0</v>
      </c>
      <c r="AK28" s="72">
        <f t="shared" si="17"/>
        <v>0</v>
      </c>
      <c r="AL28" s="72">
        <f t="shared" si="18"/>
        <v>0</v>
      </c>
      <c r="AM28" s="72">
        <f t="shared" si="18"/>
        <v>0</v>
      </c>
      <c r="AN28" s="72">
        <f t="shared" si="18"/>
        <v>0</v>
      </c>
      <c r="AP28" s="493"/>
      <c r="AQ28" s="490" t="s">
        <v>352</v>
      </c>
      <c r="AR28" s="500">
        <f>AR27+AR26</f>
        <v>1205.5999999999997</v>
      </c>
      <c r="AS28" s="867"/>
      <c r="AT28" s="868"/>
      <c r="AV28" s="112" t="s">
        <v>45</v>
      </c>
      <c r="AW28" s="1">
        <f>+SUM(AW24:AW27)</f>
        <v>1323.58</v>
      </c>
      <c r="AY28" s="502" t="s">
        <v>45</v>
      </c>
      <c r="AZ28" s="166">
        <f>AZ24+AZ25+AZ26-AZ27</f>
        <v>955.42499999999995</v>
      </c>
    </row>
    <row r="29" spans="2:52" ht="16.5" customHeight="1">
      <c r="B29" s="880"/>
      <c r="C29" s="880"/>
      <c r="D29" s="880"/>
      <c r="E29" s="880"/>
      <c r="F29" s="880"/>
      <c r="G29" s="880"/>
      <c r="H29" s="880"/>
      <c r="I29" s="481"/>
      <c r="J29" s="72">
        <f t="shared" si="19"/>
        <v>0</v>
      </c>
      <c r="K29" s="72">
        <f t="shared" si="20"/>
        <v>0</v>
      </c>
      <c r="L29" s="72">
        <f t="shared" si="21"/>
        <v>0</v>
      </c>
      <c r="M29" s="72">
        <f t="shared" si="22"/>
        <v>0</v>
      </c>
      <c r="N29" s="72">
        <f t="shared" si="23"/>
        <v>0</v>
      </c>
      <c r="O29" s="72">
        <f t="shared" si="24"/>
        <v>0</v>
      </c>
      <c r="P29" s="72">
        <f t="shared" si="25"/>
        <v>0</v>
      </c>
      <c r="Q29" s="72">
        <f t="shared" si="26"/>
        <v>0</v>
      </c>
      <c r="R29" s="72">
        <f t="shared" si="27"/>
        <v>0</v>
      </c>
      <c r="S29" s="72">
        <f t="shared" si="28"/>
        <v>0</v>
      </c>
      <c r="T29" s="72">
        <f t="shared" si="29"/>
        <v>0</v>
      </c>
      <c r="U29" s="72">
        <f t="shared" si="30"/>
        <v>0</v>
      </c>
      <c r="V29" s="72">
        <f t="shared" si="5"/>
        <v>0</v>
      </c>
      <c r="W29" s="72">
        <f t="shared" si="5"/>
        <v>0</v>
      </c>
      <c r="X29" s="72">
        <f t="shared" si="5"/>
        <v>0</v>
      </c>
      <c r="Z29" s="72">
        <f t="shared" si="6"/>
        <v>0</v>
      </c>
      <c r="AA29" s="72">
        <f t="shared" si="7"/>
        <v>0</v>
      </c>
      <c r="AB29" s="72">
        <f t="shared" si="8"/>
        <v>0</v>
      </c>
      <c r="AC29" s="72">
        <f t="shared" si="9"/>
        <v>0</v>
      </c>
      <c r="AD29" s="72">
        <f t="shared" si="10"/>
        <v>0</v>
      </c>
      <c r="AE29" s="72">
        <f t="shared" si="11"/>
        <v>0</v>
      </c>
      <c r="AF29" s="72">
        <f t="shared" si="12"/>
        <v>0</v>
      </c>
      <c r="AG29" s="72">
        <f t="shared" si="13"/>
        <v>0</v>
      </c>
      <c r="AH29" s="72">
        <f t="shared" si="14"/>
        <v>0</v>
      </c>
      <c r="AI29" s="72">
        <f t="shared" si="15"/>
        <v>0</v>
      </c>
      <c r="AJ29" s="72">
        <f t="shared" si="16"/>
        <v>0</v>
      </c>
      <c r="AK29" s="72">
        <f t="shared" si="17"/>
        <v>0</v>
      </c>
      <c r="AL29" s="72">
        <f t="shared" si="18"/>
        <v>0</v>
      </c>
      <c r="AM29" s="72">
        <f t="shared" si="18"/>
        <v>0</v>
      </c>
      <c r="AN29" s="72">
        <f t="shared" si="18"/>
        <v>0</v>
      </c>
      <c r="AR29" s="59"/>
      <c r="AV29" s="112"/>
      <c r="AW29" s="1"/>
    </row>
    <row r="30" spans="2:52" ht="17.25" customHeight="1" thickBot="1">
      <c r="B30" s="880"/>
      <c r="C30" s="880"/>
      <c r="D30" s="880"/>
      <c r="E30" s="880"/>
      <c r="F30" s="880"/>
      <c r="G30" s="880"/>
      <c r="H30" s="880"/>
      <c r="I30" s="481"/>
      <c r="J30" s="72">
        <f t="shared" si="19"/>
        <v>0</v>
      </c>
      <c r="K30" s="72">
        <f t="shared" si="20"/>
        <v>0</v>
      </c>
      <c r="L30" s="72">
        <f t="shared" si="21"/>
        <v>0</v>
      </c>
      <c r="M30" s="72">
        <f t="shared" si="22"/>
        <v>0</v>
      </c>
      <c r="N30" s="72">
        <f t="shared" si="23"/>
        <v>0</v>
      </c>
      <c r="O30" s="72">
        <f t="shared" si="24"/>
        <v>0</v>
      </c>
      <c r="P30" s="72">
        <f t="shared" si="25"/>
        <v>0</v>
      </c>
      <c r="Q30" s="72">
        <f t="shared" si="26"/>
        <v>0</v>
      </c>
      <c r="R30" s="72">
        <f t="shared" si="27"/>
        <v>0</v>
      </c>
      <c r="S30" s="72">
        <f t="shared" si="28"/>
        <v>0</v>
      </c>
      <c r="T30" s="72">
        <f t="shared" si="29"/>
        <v>0</v>
      </c>
      <c r="U30" s="72">
        <f t="shared" si="30"/>
        <v>0</v>
      </c>
      <c r="V30" s="72">
        <f t="shared" si="5"/>
        <v>0</v>
      </c>
      <c r="W30" s="72">
        <f t="shared" si="5"/>
        <v>0</v>
      </c>
      <c r="X30" s="72">
        <f t="shared" si="5"/>
        <v>0</v>
      </c>
      <c r="Z30" s="72">
        <f t="shared" si="6"/>
        <v>0</v>
      </c>
      <c r="AA30" s="72">
        <f t="shared" si="7"/>
        <v>0</v>
      </c>
      <c r="AB30" s="72">
        <f t="shared" si="8"/>
        <v>0</v>
      </c>
      <c r="AC30" s="72">
        <f t="shared" si="9"/>
        <v>0</v>
      </c>
      <c r="AD30" s="72">
        <f t="shared" si="10"/>
        <v>0</v>
      </c>
      <c r="AE30" s="72">
        <f t="shared" si="11"/>
        <v>0</v>
      </c>
      <c r="AF30" s="72">
        <f t="shared" si="12"/>
        <v>0</v>
      </c>
      <c r="AG30" s="72">
        <f t="shared" si="13"/>
        <v>0</v>
      </c>
      <c r="AH30" s="72">
        <f t="shared" si="14"/>
        <v>0</v>
      </c>
      <c r="AI30" s="72">
        <f t="shared" si="15"/>
        <v>0</v>
      </c>
      <c r="AJ30" s="72">
        <f t="shared" si="16"/>
        <v>0</v>
      </c>
      <c r="AK30" s="72">
        <f t="shared" si="17"/>
        <v>0</v>
      </c>
      <c r="AL30" s="72">
        <f t="shared" si="18"/>
        <v>0</v>
      </c>
      <c r="AM30" s="72">
        <f t="shared" si="18"/>
        <v>0</v>
      </c>
      <c r="AN30" s="72">
        <f t="shared" si="18"/>
        <v>0</v>
      </c>
      <c r="AV30" s="1"/>
      <c r="AW30" s="1"/>
      <c r="AY30" s="485" t="s">
        <v>386</v>
      </c>
      <c r="AZ30" s="509">
        <f>AZ25+AZ24-AY6</f>
        <v>176.32499999999999</v>
      </c>
    </row>
    <row r="31" spans="2:52" ht="17.25" customHeight="1" thickBot="1">
      <c r="B31" s="880"/>
      <c r="C31" s="880"/>
      <c r="D31" s="880"/>
      <c r="E31" s="880"/>
      <c r="F31" s="880"/>
      <c r="G31" s="880"/>
      <c r="H31" s="880"/>
      <c r="I31" s="481"/>
      <c r="J31" s="72">
        <f t="shared" si="19"/>
        <v>0</v>
      </c>
      <c r="K31" s="72">
        <f t="shared" si="20"/>
        <v>0</v>
      </c>
      <c r="L31" s="72">
        <f t="shared" si="21"/>
        <v>0</v>
      </c>
      <c r="M31" s="72">
        <f t="shared" si="22"/>
        <v>0</v>
      </c>
      <c r="N31" s="72">
        <f t="shared" si="23"/>
        <v>0</v>
      </c>
      <c r="O31" s="72">
        <f t="shared" si="24"/>
        <v>0</v>
      </c>
      <c r="P31" s="72">
        <f t="shared" si="25"/>
        <v>0</v>
      </c>
      <c r="Q31" s="72">
        <f t="shared" si="26"/>
        <v>0</v>
      </c>
      <c r="R31" s="72">
        <f t="shared" si="27"/>
        <v>0</v>
      </c>
      <c r="S31" s="72">
        <f t="shared" si="28"/>
        <v>0</v>
      </c>
      <c r="T31" s="72">
        <f t="shared" si="29"/>
        <v>0</v>
      </c>
      <c r="U31" s="72">
        <f t="shared" si="30"/>
        <v>0</v>
      </c>
      <c r="V31" s="72">
        <f t="shared" si="5"/>
        <v>0</v>
      </c>
      <c r="W31" s="72">
        <f t="shared" si="5"/>
        <v>0</v>
      </c>
      <c r="X31" s="72">
        <f t="shared" si="5"/>
        <v>0</v>
      </c>
      <c r="Z31" s="72">
        <f t="shared" si="6"/>
        <v>0</v>
      </c>
      <c r="AA31" s="72">
        <f t="shared" si="7"/>
        <v>0</v>
      </c>
      <c r="AB31" s="72">
        <f t="shared" si="8"/>
        <v>0</v>
      </c>
      <c r="AC31" s="72">
        <f t="shared" si="9"/>
        <v>0</v>
      </c>
      <c r="AD31" s="72">
        <f t="shared" si="10"/>
        <v>0</v>
      </c>
      <c r="AE31" s="72">
        <f t="shared" si="11"/>
        <v>0</v>
      </c>
      <c r="AF31" s="72">
        <f t="shared" si="12"/>
        <v>0</v>
      </c>
      <c r="AG31" s="72">
        <f t="shared" si="13"/>
        <v>0</v>
      </c>
      <c r="AH31" s="72">
        <f t="shared" si="14"/>
        <v>0</v>
      </c>
      <c r="AI31" s="72">
        <f t="shared" si="15"/>
        <v>0</v>
      </c>
      <c r="AJ31" s="72">
        <f t="shared" si="16"/>
        <v>0</v>
      </c>
      <c r="AK31" s="72">
        <f t="shared" si="17"/>
        <v>0</v>
      </c>
      <c r="AL31" s="72">
        <f t="shared" si="18"/>
        <v>0</v>
      </c>
      <c r="AM31" s="72">
        <f t="shared" si="18"/>
        <v>0</v>
      </c>
      <c r="AN31" s="72">
        <f t="shared" si="18"/>
        <v>0</v>
      </c>
      <c r="AQ31" s="485" t="s">
        <v>67</v>
      </c>
      <c r="AR31" s="496">
        <f>AR27+AS17</f>
        <v>293.63499999999999</v>
      </c>
      <c r="AV31" s="112" t="s">
        <v>80</v>
      </c>
      <c r="AW31" s="113">
        <f>AW28/2</f>
        <v>661.79</v>
      </c>
    </row>
    <row r="32" spans="2:52" ht="16.5" customHeight="1">
      <c r="B32" s="880"/>
      <c r="C32" s="880"/>
      <c r="D32" s="880"/>
      <c r="E32" s="880"/>
      <c r="F32" s="880"/>
      <c r="G32" s="880"/>
      <c r="H32" s="880"/>
      <c r="I32" s="481"/>
      <c r="J32" s="72">
        <f t="shared" si="19"/>
        <v>0</v>
      </c>
      <c r="K32" s="72">
        <f t="shared" si="20"/>
        <v>0</v>
      </c>
      <c r="L32" s="72">
        <f t="shared" si="21"/>
        <v>0</v>
      </c>
      <c r="M32" s="72">
        <f t="shared" si="22"/>
        <v>0</v>
      </c>
      <c r="N32" s="72">
        <f t="shared" si="23"/>
        <v>0</v>
      </c>
      <c r="O32" s="72">
        <f t="shared" si="24"/>
        <v>0</v>
      </c>
      <c r="P32" s="72">
        <f t="shared" si="25"/>
        <v>0</v>
      </c>
      <c r="Q32" s="72">
        <f t="shared" si="26"/>
        <v>0</v>
      </c>
      <c r="R32" s="72">
        <f t="shared" si="27"/>
        <v>0</v>
      </c>
      <c r="S32" s="72">
        <f t="shared" si="28"/>
        <v>0</v>
      </c>
      <c r="T32" s="72">
        <f t="shared" si="29"/>
        <v>0</v>
      </c>
      <c r="U32" s="72">
        <f t="shared" si="30"/>
        <v>0</v>
      </c>
      <c r="V32" s="72">
        <f t="shared" si="5"/>
        <v>0</v>
      </c>
      <c r="W32" s="72">
        <f t="shared" si="5"/>
        <v>0</v>
      </c>
      <c r="X32" s="72">
        <f t="shared" si="5"/>
        <v>0</v>
      </c>
      <c r="Z32" s="72">
        <f t="shared" si="6"/>
        <v>0</v>
      </c>
      <c r="AA32" s="72">
        <f t="shared" si="7"/>
        <v>0</v>
      </c>
      <c r="AB32" s="72">
        <f t="shared" si="8"/>
        <v>0</v>
      </c>
      <c r="AC32" s="72">
        <f t="shared" si="9"/>
        <v>0</v>
      </c>
      <c r="AD32" s="72">
        <f t="shared" si="10"/>
        <v>0</v>
      </c>
      <c r="AE32" s="72">
        <f t="shared" si="11"/>
        <v>0</v>
      </c>
      <c r="AF32" s="72">
        <f t="shared" si="12"/>
        <v>0</v>
      </c>
      <c r="AG32" s="72">
        <f t="shared" si="13"/>
        <v>0</v>
      </c>
      <c r="AH32" s="72">
        <f t="shared" si="14"/>
        <v>0</v>
      </c>
      <c r="AI32" s="72">
        <f t="shared" si="15"/>
        <v>0</v>
      </c>
      <c r="AJ32" s="72">
        <f t="shared" si="16"/>
        <v>0</v>
      </c>
      <c r="AK32" s="72">
        <f t="shared" si="17"/>
        <v>0</v>
      </c>
      <c r="AL32" s="72">
        <f t="shared" si="18"/>
        <v>0</v>
      </c>
      <c r="AM32" s="72">
        <f t="shared" si="18"/>
        <v>0</v>
      </c>
      <c r="AN32" s="72">
        <f t="shared" si="18"/>
        <v>0</v>
      </c>
      <c r="AQ32" s="485" t="s">
        <v>65</v>
      </c>
      <c r="AR32" s="496">
        <f>AT17</f>
        <v>1087.9349999999999</v>
      </c>
      <c r="AY32" s="485" t="s">
        <v>389</v>
      </c>
      <c r="AZ32" s="509">
        <f>AT17-AY4</f>
        <v>1029.2749999999999</v>
      </c>
    </row>
    <row r="33" spans="2:55" ht="17.25" customHeight="1" thickBot="1">
      <c r="B33" s="880"/>
      <c r="C33" s="880"/>
      <c r="D33" s="880"/>
      <c r="E33" s="880"/>
      <c r="F33" s="880"/>
      <c r="G33" s="880"/>
      <c r="H33" s="880"/>
      <c r="I33" s="481"/>
      <c r="J33" s="72">
        <f t="shared" si="19"/>
        <v>0</v>
      </c>
      <c r="K33" s="72">
        <f t="shared" si="20"/>
        <v>0</v>
      </c>
      <c r="L33" s="72">
        <f t="shared" si="21"/>
        <v>0</v>
      </c>
      <c r="M33" s="72">
        <f t="shared" si="22"/>
        <v>0</v>
      </c>
      <c r="N33" s="72">
        <f t="shared" si="23"/>
        <v>0</v>
      </c>
      <c r="O33" s="72">
        <f t="shared" si="24"/>
        <v>0</v>
      </c>
      <c r="P33" s="72">
        <f t="shared" si="25"/>
        <v>0</v>
      </c>
      <c r="Q33" s="72">
        <f t="shared" si="26"/>
        <v>0</v>
      </c>
      <c r="R33" s="72">
        <f t="shared" si="27"/>
        <v>0</v>
      </c>
      <c r="S33" s="72">
        <f t="shared" si="28"/>
        <v>0</v>
      </c>
      <c r="T33" s="72">
        <f t="shared" si="29"/>
        <v>0</v>
      </c>
      <c r="U33" s="72">
        <f t="shared" si="30"/>
        <v>0</v>
      </c>
      <c r="V33" s="72">
        <f t="shared" si="5"/>
        <v>0</v>
      </c>
      <c r="W33" s="72">
        <f t="shared" si="5"/>
        <v>0</v>
      </c>
      <c r="X33" s="72">
        <f t="shared" si="5"/>
        <v>0</v>
      </c>
      <c r="Z33" s="72">
        <f t="shared" si="6"/>
        <v>0</v>
      </c>
      <c r="AA33" s="72">
        <f t="shared" si="7"/>
        <v>0</v>
      </c>
      <c r="AB33" s="72">
        <f t="shared" si="8"/>
        <v>0</v>
      </c>
      <c r="AC33" s="72">
        <f t="shared" si="9"/>
        <v>0</v>
      </c>
      <c r="AD33" s="72">
        <f t="shared" si="10"/>
        <v>0</v>
      </c>
      <c r="AE33" s="72">
        <f t="shared" si="11"/>
        <v>0</v>
      </c>
      <c r="AF33" s="72">
        <f t="shared" si="12"/>
        <v>0</v>
      </c>
      <c r="AG33" s="72">
        <f t="shared" si="13"/>
        <v>0</v>
      </c>
      <c r="AH33" s="72">
        <f t="shared" si="14"/>
        <v>0</v>
      </c>
      <c r="AI33" s="72">
        <f t="shared" si="15"/>
        <v>0</v>
      </c>
      <c r="AJ33" s="72">
        <f t="shared" si="16"/>
        <v>0</v>
      </c>
      <c r="AK33" s="72">
        <f t="shared" si="17"/>
        <v>0</v>
      </c>
      <c r="AL33" s="72">
        <f t="shared" si="18"/>
        <v>0</v>
      </c>
      <c r="AM33" s="72">
        <f t="shared" si="18"/>
        <v>0</v>
      </c>
      <c r="AN33" s="72">
        <f t="shared" si="18"/>
        <v>0</v>
      </c>
      <c r="AR33" s="59"/>
    </row>
    <row r="34" spans="2:55" ht="17.25" customHeight="1" thickBot="1">
      <c r="B34" s="880"/>
      <c r="C34" s="880"/>
      <c r="D34" s="880"/>
      <c r="E34" s="880"/>
      <c r="F34" s="880"/>
      <c r="G34" s="880"/>
      <c r="H34" s="880"/>
      <c r="I34" s="481"/>
      <c r="J34" s="72">
        <f t="shared" si="19"/>
        <v>0</v>
      </c>
      <c r="K34" s="72">
        <f t="shared" si="20"/>
        <v>0</v>
      </c>
      <c r="L34" s="72">
        <f t="shared" si="21"/>
        <v>0</v>
      </c>
      <c r="M34" s="72">
        <f t="shared" si="22"/>
        <v>0</v>
      </c>
      <c r="N34" s="72">
        <f t="shared" si="23"/>
        <v>0</v>
      </c>
      <c r="O34" s="72">
        <f t="shared" si="24"/>
        <v>0</v>
      </c>
      <c r="P34" s="72">
        <f t="shared" si="25"/>
        <v>0</v>
      </c>
      <c r="Q34" s="72">
        <f t="shared" si="26"/>
        <v>0</v>
      </c>
      <c r="R34" s="72">
        <f t="shared" si="27"/>
        <v>0</v>
      </c>
      <c r="S34" s="72">
        <f t="shared" si="28"/>
        <v>0</v>
      </c>
      <c r="T34" s="72">
        <f t="shared" si="29"/>
        <v>0</v>
      </c>
      <c r="U34" s="72">
        <f t="shared" si="30"/>
        <v>0</v>
      </c>
      <c r="V34" s="72">
        <f t="shared" si="5"/>
        <v>0</v>
      </c>
      <c r="W34" s="72">
        <f t="shared" si="5"/>
        <v>0</v>
      </c>
      <c r="X34" s="72">
        <f t="shared" si="5"/>
        <v>0</v>
      </c>
      <c r="Z34" s="72">
        <f t="shared" si="6"/>
        <v>0</v>
      </c>
      <c r="AA34" s="72">
        <f t="shared" si="7"/>
        <v>0</v>
      </c>
      <c r="AB34" s="72">
        <f t="shared" si="8"/>
        <v>0</v>
      </c>
      <c r="AC34" s="72">
        <f t="shared" si="9"/>
        <v>0</v>
      </c>
      <c r="AD34" s="72">
        <f t="shared" si="10"/>
        <v>0</v>
      </c>
      <c r="AE34" s="72">
        <f t="shared" si="11"/>
        <v>0</v>
      </c>
      <c r="AF34" s="72">
        <f t="shared" si="12"/>
        <v>0</v>
      </c>
      <c r="AG34" s="72">
        <f t="shared" si="13"/>
        <v>0</v>
      </c>
      <c r="AH34" s="72">
        <f t="shared" si="14"/>
        <v>0</v>
      </c>
      <c r="AI34" s="72">
        <f t="shared" si="15"/>
        <v>0</v>
      </c>
      <c r="AJ34" s="72">
        <f t="shared" si="16"/>
        <v>0</v>
      </c>
      <c r="AK34" s="72">
        <f t="shared" si="17"/>
        <v>0</v>
      </c>
      <c r="AL34" s="72">
        <f t="shared" si="18"/>
        <v>0</v>
      </c>
      <c r="AM34" s="72">
        <f t="shared" si="18"/>
        <v>0</v>
      </c>
      <c r="AN34" s="72">
        <f t="shared" si="18"/>
        <v>0</v>
      </c>
      <c r="AR34" s="497">
        <f>AR32+AR31</f>
        <v>1381.57</v>
      </c>
      <c r="AS34" s="498" t="s">
        <v>354</v>
      </c>
      <c r="AT34" s="499">
        <f>AR24+AR27</f>
        <v>1381.5699999999997</v>
      </c>
      <c r="AZ34" s="513">
        <f>AZ32+AZ30</f>
        <v>1205.5999999999999</v>
      </c>
    </row>
    <row r="35" spans="2:55" ht="2.25" customHeight="1">
      <c r="B35" s="618"/>
      <c r="C35" s="619"/>
      <c r="D35" s="79"/>
      <c r="E35" s="620"/>
      <c r="F35" s="76"/>
      <c r="G35" s="77">
        <f t="shared" ref="G35:G39" si="33">IF(F35="MARCIA",E35,IF(F35="AMBOS",E35/2,0))</f>
        <v>0</v>
      </c>
      <c r="H35" s="78">
        <f t="shared" ref="H35:H39" si="34">IF(F35="LUCIANO",E35,IF(F35="AMBOS",E35/2,0))</f>
        <v>0</v>
      </c>
      <c r="I35" s="481"/>
      <c r="J35" s="72">
        <f t="shared" si="19"/>
        <v>0</v>
      </c>
      <c r="K35" s="72">
        <f t="shared" si="20"/>
        <v>0</v>
      </c>
      <c r="L35" s="72">
        <f t="shared" si="21"/>
        <v>0</v>
      </c>
      <c r="M35" s="72">
        <f t="shared" si="22"/>
        <v>0</v>
      </c>
      <c r="N35" s="72">
        <f t="shared" si="23"/>
        <v>0</v>
      </c>
      <c r="O35" s="72">
        <f t="shared" si="24"/>
        <v>0</v>
      </c>
      <c r="P35" s="72">
        <f t="shared" si="25"/>
        <v>0</v>
      </c>
      <c r="Q35" s="72">
        <f t="shared" si="26"/>
        <v>0</v>
      </c>
      <c r="R35" s="72">
        <f t="shared" si="27"/>
        <v>0</v>
      </c>
      <c r="S35" s="72">
        <f t="shared" si="28"/>
        <v>0</v>
      </c>
      <c r="T35" s="72">
        <f t="shared" si="29"/>
        <v>0</v>
      </c>
      <c r="U35" s="72">
        <f t="shared" si="30"/>
        <v>0</v>
      </c>
      <c r="V35" s="72">
        <f t="shared" si="5"/>
        <v>0</v>
      </c>
      <c r="W35" s="72">
        <f t="shared" si="5"/>
        <v>0</v>
      </c>
      <c r="X35" s="72">
        <f t="shared" si="5"/>
        <v>0</v>
      </c>
      <c r="Z35" s="72">
        <f t="shared" si="6"/>
        <v>0</v>
      </c>
      <c r="AA35" s="72">
        <f t="shared" si="7"/>
        <v>0</v>
      </c>
      <c r="AB35" s="72">
        <f t="shared" si="8"/>
        <v>0</v>
      </c>
      <c r="AC35" s="72">
        <f t="shared" si="9"/>
        <v>0</v>
      </c>
      <c r="AD35" s="72">
        <f t="shared" si="10"/>
        <v>0</v>
      </c>
      <c r="AE35" s="72">
        <f t="shared" si="11"/>
        <v>0</v>
      </c>
      <c r="AF35" s="72">
        <f t="shared" si="12"/>
        <v>0</v>
      </c>
      <c r="AG35" s="72">
        <f t="shared" si="13"/>
        <v>0</v>
      </c>
      <c r="AH35" s="72">
        <f t="shared" si="14"/>
        <v>0</v>
      </c>
      <c r="AI35" s="72">
        <f t="shared" si="15"/>
        <v>0</v>
      </c>
      <c r="AJ35" s="72">
        <f t="shared" si="16"/>
        <v>0</v>
      </c>
      <c r="AK35" s="72">
        <f t="shared" si="17"/>
        <v>0</v>
      </c>
      <c r="AL35" s="72">
        <f t="shared" si="18"/>
        <v>0</v>
      </c>
      <c r="AM35" s="72">
        <f t="shared" si="18"/>
        <v>0</v>
      </c>
      <c r="AN35" s="72">
        <f t="shared" si="18"/>
        <v>0</v>
      </c>
    </row>
    <row r="36" spans="2:55" ht="16.5" hidden="1" customHeight="1">
      <c r="B36" s="60"/>
      <c r="C36" s="62"/>
      <c r="D36" s="79"/>
      <c r="E36" s="56"/>
      <c r="F36" s="76"/>
      <c r="G36" s="77">
        <f t="shared" si="33"/>
        <v>0</v>
      </c>
      <c r="H36" s="78">
        <f t="shared" si="34"/>
        <v>0</v>
      </c>
      <c r="I36" s="481"/>
      <c r="J36" s="72">
        <f t="shared" si="19"/>
        <v>0</v>
      </c>
      <c r="K36" s="72">
        <f t="shared" si="20"/>
        <v>0</v>
      </c>
      <c r="L36" s="72">
        <f t="shared" si="21"/>
        <v>0</v>
      </c>
      <c r="M36" s="72">
        <f t="shared" si="22"/>
        <v>0</v>
      </c>
      <c r="N36" s="72">
        <f t="shared" si="23"/>
        <v>0</v>
      </c>
      <c r="O36" s="72">
        <f t="shared" si="24"/>
        <v>0</v>
      </c>
      <c r="P36" s="72">
        <f t="shared" si="25"/>
        <v>0</v>
      </c>
      <c r="Q36" s="72">
        <f t="shared" si="26"/>
        <v>0</v>
      </c>
      <c r="R36" s="72">
        <f t="shared" si="27"/>
        <v>0</v>
      </c>
      <c r="S36" s="72">
        <f t="shared" si="28"/>
        <v>0</v>
      </c>
      <c r="T36" s="72">
        <f t="shared" si="29"/>
        <v>0</v>
      </c>
      <c r="U36" s="72">
        <f t="shared" si="30"/>
        <v>0</v>
      </c>
      <c r="V36" s="72">
        <f t="shared" ref="V36:X62" si="35">IF($D36=V$2,$H36,0)</f>
        <v>0</v>
      </c>
      <c r="W36" s="72">
        <f t="shared" si="35"/>
        <v>0</v>
      </c>
      <c r="X36" s="72">
        <f t="shared" si="35"/>
        <v>0</v>
      </c>
      <c r="Z36" s="72">
        <f t="shared" si="6"/>
        <v>0</v>
      </c>
      <c r="AA36" s="72">
        <f t="shared" si="7"/>
        <v>0</v>
      </c>
      <c r="AB36" s="72">
        <f t="shared" si="8"/>
        <v>0</v>
      </c>
      <c r="AC36" s="72">
        <f t="shared" si="9"/>
        <v>0</v>
      </c>
      <c r="AD36" s="72">
        <f t="shared" si="10"/>
        <v>0</v>
      </c>
      <c r="AE36" s="72">
        <f t="shared" si="11"/>
        <v>0</v>
      </c>
      <c r="AF36" s="72">
        <f t="shared" si="12"/>
        <v>0</v>
      </c>
      <c r="AG36" s="72">
        <f t="shared" si="13"/>
        <v>0</v>
      </c>
      <c r="AH36" s="72">
        <f t="shared" si="14"/>
        <v>0</v>
      </c>
      <c r="AI36" s="72">
        <f t="shared" si="15"/>
        <v>0</v>
      </c>
      <c r="AJ36" s="72">
        <f t="shared" si="16"/>
        <v>0</v>
      </c>
      <c r="AK36" s="72">
        <f t="shared" si="17"/>
        <v>0</v>
      </c>
      <c r="AL36" s="72">
        <f t="shared" si="18"/>
        <v>0</v>
      </c>
      <c r="AM36" s="72">
        <f t="shared" si="18"/>
        <v>0</v>
      </c>
      <c r="AN36" s="72">
        <f t="shared" si="18"/>
        <v>0</v>
      </c>
    </row>
    <row r="37" spans="2:55" ht="16.5" hidden="1" customHeight="1">
      <c r="B37" s="60"/>
      <c r="C37" s="62"/>
      <c r="D37" s="79"/>
      <c r="E37" s="56"/>
      <c r="F37" s="76"/>
      <c r="G37" s="77">
        <f t="shared" si="33"/>
        <v>0</v>
      </c>
      <c r="H37" s="78">
        <f t="shared" si="34"/>
        <v>0</v>
      </c>
      <c r="I37" s="481"/>
      <c r="J37" s="72">
        <f t="shared" si="19"/>
        <v>0</v>
      </c>
      <c r="K37" s="72">
        <f t="shared" si="20"/>
        <v>0</v>
      </c>
      <c r="L37" s="72">
        <f t="shared" si="21"/>
        <v>0</v>
      </c>
      <c r="M37" s="72">
        <f t="shared" si="22"/>
        <v>0</v>
      </c>
      <c r="N37" s="72">
        <f t="shared" si="23"/>
        <v>0</v>
      </c>
      <c r="O37" s="72">
        <f t="shared" si="24"/>
        <v>0</v>
      </c>
      <c r="P37" s="72">
        <f t="shared" si="25"/>
        <v>0</v>
      </c>
      <c r="Q37" s="72">
        <f t="shared" si="26"/>
        <v>0</v>
      </c>
      <c r="R37" s="72">
        <f t="shared" si="27"/>
        <v>0</v>
      </c>
      <c r="S37" s="72">
        <f t="shared" si="28"/>
        <v>0</v>
      </c>
      <c r="T37" s="72">
        <f t="shared" si="29"/>
        <v>0</v>
      </c>
      <c r="U37" s="72">
        <f t="shared" si="30"/>
        <v>0</v>
      </c>
      <c r="V37" s="72">
        <f t="shared" si="35"/>
        <v>0</v>
      </c>
      <c r="W37" s="72">
        <f t="shared" si="35"/>
        <v>0</v>
      </c>
      <c r="X37" s="72">
        <f t="shared" si="35"/>
        <v>0</v>
      </c>
      <c r="Z37" s="72">
        <f t="shared" si="6"/>
        <v>0</v>
      </c>
      <c r="AA37" s="72">
        <f t="shared" si="7"/>
        <v>0</v>
      </c>
      <c r="AB37" s="72">
        <f t="shared" si="8"/>
        <v>0</v>
      </c>
      <c r="AC37" s="72">
        <f t="shared" si="9"/>
        <v>0</v>
      </c>
      <c r="AD37" s="72">
        <f t="shared" si="10"/>
        <v>0</v>
      </c>
      <c r="AE37" s="72">
        <f t="shared" si="11"/>
        <v>0</v>
      </c>
      <c r="AF37" s="72">
        <f t="shared" si="12"/>
        <v>0</v>
      </c>
      <c r="AG37" s="72">
        <f t="shared" si="13"/>
        <v>0</v>
      </c>
      <c r="AH37" s="72">
        <f t="shared" si="14"/>
        <v>0</v>
      </c>
      <c r="AI37" s="72">
        <f t="shared" si="15"/>
        <v>0</v>
      </c>
      <c r="AJ37" s="72">
        <f t="shared" si="16"/>
        <v>0</v>
      </c>
      <c r="AK37" s="72">
        <f t="shared" si="17"/>
        <v>0</v>
      </c>
      <c r="AL37" s="72">
        <f t="shared" si="18"/>
        <v>0</v>
      </c>
      <c r="AM37" s="72">
        <f t="shared" si="18"/>
        <v>0</v>
      </c>
      <c r="AN37" s="72">
        <f t="shared" si="18"/>
        <v>0</v>
      </c>
    </row>
    <row r="38" spans="2:55" ht="16.5" hidden="1" customHeight="1">
      <c r="B38" s="60"/>
      <c r="C38" s="62"/>
      <c r="D38" s="79"/>
      <c r="E38" s="56"/>
      <c r="F38" s="76"/>
      <c r="G38" s="77">
        <f t="shared" si="33"/>
        <v>0</v>
      </c>
      <c r="H38" s="78">
        <f t="shared" si="34"/>
        <v>0</v>
      </c>
      <c r="I38" s="481"/>
      <c r="J38" s="72">
        <f t="shared" si="19"/>
        <v>0</v>
      </c>
      <c r="K38" s="72">
        <f t="shared" si="20"/>
        <v>0</v>
      </c>
      <c r="L38" s="72">
        <f t="shared" si="21"/>
        <v>0</v>
      </c>
      <c r="M38" s="72">
        <f t="shared" si="22"/>
        <v>0</v>
      </c>
      <c r="N38" s="72">
        <f t="shared" si="23"/>
        <v>0</v>
      </c>
      <c r="O38" s="72">
        <f t="shared" si="24"/>
        <v>0</v>
      </c>
      <c r="P38" s="72">
        <f t="shared" si="25"/>
        <v>0</v>
      </c>
      <c r="Q38" s="72">
        <f t="shared" si="26"/>
        <v>0</v>
      </c>
      <c r="R38" s="72">
        <f t="shared" si="27"/>
        <v>0</v>
      </c>
      <c r="S38" s="72">
        <f t="shared" si="28"/>
        <v>0</v>
      </c>
      <c r="T38" s="72">
        <f t="shared" si="29"/>
        <v>0</v>
      </c>
      <c r="U38" s="72">
        <f t="shared" si="30"/>
        <v>0</v>
      </c>
      <c r="V38" s="72">
        <f t="shared" si="35"/>
        <v>0</v>
      </c>
      <c r="W38" s="72">
        <f t="shared" si="35"/>
        <v>0</v>
      </c>
      <c r="X38" s="72">
        <f t="shared" si="35"/>
        <v>0</v>
      </c>
      <c r="Z38" s="72">
        <f t="shared" si="6"/>
        <v>0</v>
      </c>
      <c r="AA38" s="72">
        <f t="shared" si="7"/>
        <v>0</v>
      </c>
      <c r="AB38" s="72">
        <f t="shared" si="8"/>
        <v>0</v>
      </c>
      <c r="AC38" s="72">
        <f t="shared" si="9"/>
        <v>0</v>
      </c>
      <c r="AD38" s="72">
        <f t="shared" si="10"/>
        <v>0</v>
      </c>
      <c r="AE38" s="72">
        <f t="shared" si="11"/>
        <v>0</v>
      </c>
      <c r="AF38" s="72">
        <f t="shared" si="12"/>
        <v>0</v>
      </c>
      <c r="AG38" s="72">
        <f t="shared" si="13"/>
        <v>0</v>
      </c>
      <c r="AH38" s="72">
        <f t="shared" si="14"/>
        <v>0</v>
      </c>
      <c r="AI38" s="72">
        <f t="shared" si="15"/>
        <v>0</v>
      </c>
      <c r="AJ38" s="72">
        <f t="shared" si="16"/>
        <v>0</v>
      </c>
      <c r="AK38" s="72">
        <f t="shared" si="17"/>
        <v>0</v>
      </c>
      <c r="AL38" s="72">
        <f t="shared" si="18"/>
        <v>0</v>
      </c>
      <c r="AM38" s="72">
        <f t="shared" si="18"/>
        <v>0</v>
      </c>
      <c r="AN38" s="72">
        <f t="shared" si="18"/>
        <v>0</v>
      </c>
      <c r="BC38" s="55">
        <f>371.22/2</f>
        <v>185.61</v>
      </c>
    </row>
    <row r="39" spans="2:55" ht="16.5" hidden="1" customHeight="1">
      <c r="B39" s="60"/>
      <c r="C39" s="62"/>
      <c r="D39" s="79"/>
      <c r="E39" s="56"/>
      <c r="F39" s="76"/>
      <c r="G39" s="77">
        <f t="shared" si="33"/>
        <v>0</v>
      </c>
      <c r="H39" s="78">
        <f t="shared" si="34"/>
        <v>0</v>
      </c>
      <c r="I39" s="481"/>
      <c r="J39" s="72">
        <f t="shared" si="19"/>
        <v>0</v>
      </c>
      <c r="K39" s="72">
        <f t="shared" si="20"/>
        <v>0</v>
      </c>
      <c r="L39" s="72">
        <f t="shared" si="21"/>
        <v>0</v>
      </c>
      <c r="M39" s="72">
        <f t="shared" si="22"/>
        <v>0</v>
      </c>
      <c r="N39" s="72">
        <f t="shared" si="23"/>
        <v>0</v>
      </c>
      <c r="O39" s="72">
        <f t="shared" si="24"/>
        <v>0</v>
      </c>
      <c r="P39" s="72">
        <f t="shared" si="25"/>
        <v>0</v>
      </c>
      <c r="Q39" s="72">
        <f t="shared" si="26"/>
        <v>0</v>
      </c>
      <c r="R39" s="72">
        <f t="shared" si="27"/>
        <v>0</v>
      </c>
      <c r="S39" s="72">
        <f t="shared" si="28"/>
        <v>0</v>
      </c>
      <c r="T39" s="72">
        <f t="shared" si="29"/>
        <v>0</v>
      </c>
      <c r="U39" s="72">
        <f t="shared" si="30"/>
        <v>0</v>
      </c>
      <c r="V39" s="72">
        <f t="shared" si="35"/>
        <v>0</v>
      </c>
      <c r="W39" s="72">
        <f t="shared" si="35"/>
        <v>0</v>
      </c>
      <c r="X39" s="72">
        <f t="shared" si="35"/>
        <v>0</v>
      </c>
      <c r="Z39" s="72">
        <f t="shared" si="6"/>
        <v>0</v>
      </c>
      <c r="AA39" s="72">
        <f t="shared" si="7"/>
        <v>0</v>
      </c>
      <c r="AB39" s="72">
        <f t="shared" si="8"/>
        <v>0</v>
      </c>
      <c r="AC39" s="72">
        <f t="shared" si="9"/>
        <v>0</v>
      </c>
      <c r="AD39" s="72">
        <f t="shared" si="10"/>
        <v>0</v>
      </c>
      <c r="AE39" s="72">
        <f t="shared" si="11"/>
        <v>0</v>
      </c>
      <c r="AF39" s="72">
        <f t="shared" si="12"/>
        <v>0</v>
      </c>
      <c r="AG39" s="72">
        <f t="shared" si="13"/>
        <v>0</v>
      </c>
      <c r="AH39" s="72">
        <f t="shared" si="14"/>
        <v>0</v>
      </c>
      <c r="AI39" s="72">
        <f t="shared" si="15"/>
        <v>0</v>
      </c>
      <c r="AJ39" s="72">
        <f t="shared" si="16"/>
        <v>0</v>
      </c>
      <c r="AK39" s="72">
        <f t="shared" si="17"/>
        <v>0</v>
      </c>
      <c r="AL39" s="72">
        <f t="shared" si="18"/>
        <v>0</v>
      </c>
      <c r="AM39" s="72">
        <f t="shared" si="18"/>
        <v>0</v>
      </c>
      <c r="AN39" s="72">
        <f t="shared" si="18"/>
        <v>0</v>
      </c>
      <c r="AZ39" s="55">
        <v>1079.05</v>
      </c>
    </row>
    <row r="40" spans="2:55" hidden="1">
      <c r="B40" s="60"/>
      <c r="C40" s="62"/>
      <c r="D40" s="79"/>
      <c r="E40" s="56"/>
      <c r="F40" s="76"/>
      <c r="G40" s="77">
        <f t="shared" si="3"/>
        <v>0</v>
      </c>
      <c r="H40" s="78">
        <f t="shared" si="4"/>
        <v>0</v>
      </c>
      <c r="I40" s="481"/>
      <c r="J40" s="72">
        <f>IF($D40="ALIMENTAÇÃO",$H40,0)</f>
        <v>0</v>
      </c>
      <c r="K40" s="72">
        <f>IF($D40="ANIMAIS",$H40,0)</f>
        <v>0</v>
      </c>
      <c r="L40" s="72">
        <f>IF($D40="FILHO",$H40,0)</f>
        <v>0</v>
      </c>
      <c r="M40" s="72">
        <f>IF($D40="GASOLINA",$H40,0)</f>
        <v>0</v>
      </c>
      <c r="N40" s="72">
        <f>IF($D40="LAZER",$H40,0)</f>
        <v>0</v>
      </c>
      <c r="O40" s="72">
        <f>IF($D40="MANUT. IMÓVEL",$H40,0)</f>
        <v>0</v>
      </c>
      <c r="P40" s="72">
        <f>IF($D40="MANUT. VEICULAR",$H40,0)</f>
        <v>0</v>
      </c>
      <c r="Q40" s="72">
        <f>IF($D40="MÓVEIS",$H40,0)</f>
        <v>0</v>
      </c>
      <c r="R40" s="72">
        <f>IF($D40="OUTROS",$H40,0)</f>
        <v>0</v>
      </c>
      <c r="S40" s="72">
        <f>IF($D40="PLANOS",$H40,0)</f>
        <v>0</v>
      </c>
      <c r="T40" s="72">
        <f>IF($D40="SAÚDE",$H40,0)</f>
        <v>0</v>
      </c>
      <c r="U40" s="72">
        <f>IF($D40="TRANSPORTE",$H40,0)</f>
        <v>0</v>
      </c>
      <c r="V40" s="72">
        <f>IF($D40=V$2,$H40,0)</f>
        <v>0</v>
      </c>
      <c r="W40" s="72">
        <f>IF($D40=W$2,$H40,0)</f>
        <v>0</v>
      </c>
      <c r="X40" s="72">
        <f>IF($D40=X$2,$H40,0)</f>
        <v>0</v>
      </c>
      <c r="Z40" s="72">
        <f>IF($D40="ALIMENTAÇÃO",$G40,0)</f>
        <v>0</v>
      </c>
      <c r="AA40" s="72">
        <f>IF($D40="ANIMAIS",$G40,0)</f>
        <v>0</v>
      </c>
      <c r="AB40" s="72">
        <f>IF($D40="FILHO",$G40,0)</f>
        <v>0</v>
      </c>
      <c r="AC40" s="72">
        <f>IF($D40="GASOLINA",$G40,0)</f>
        <v>0</v>
      </c>
      <c r="AD40" s="72">
        <f>IF($D40="LAZER",$G40,0)</f>
        <v>0</v>
      </c>
      <c r="AE40" s="72">
        <f>IF($D40="MANUT. IMÓVEL",$G40,0)</f>
        <v>0</v>
      </c>
      <c r="AF40" s="72">
        <f>IF($D40="MANUT. VEICULAR",$G40,0)</f>
        <v>0</v>
      </c>
      <c r="AG40" s="72">
        <f>IF($D40="MÓVEIS",$G40,0)</f>
        <v>0</v>
      </c>
      <c r="AH40" s="72">
        <f>IF($D40="OUTROS",$G40,0)</f>
        <v>0</v>
      </c>
      <c r="AI40" s="72">
        <f>IF($D40="PLANOS",$G40,0)</f>
        <v>0</v>
      </c>
      <c r="AJ40" s="72">
        <f>IF($D40="SAÚDE",$G40,0)</f>
        <v>0</v>
      </c>
      <c r="AK40" s="72">
        <f>IF($D40="TRANSPORTE",$G40,0)</f>
        <v>0</v>
      </c>
      <c r="AL40" s="72">
        <f>IF($D40=AL$2,$G40,0)</f>
        <v>0</v>
      </c>
      <c r="AM40" s="72">
        <f>IF($D40=AM$2,$G40,0)</f>
        <v>0</v>
      </c>
      <c r="AN40" s="72">
        <f>IF($D40=AN$2,$G40,0)</f>
        <v>0</v>
      </c>
    </row>
    <row r="41" spans="2:55" hidden="1">
      <c r="B41" s="60"/>
      <c r="C41" s="62"/>
      <c r="D41" s="79"/>
      <c r="E41" s="56"/>
      <c r="F41" s="76"/>
      <c r="G41" s="77">
        <f t="shared" si="3"/>
        <v>0</v>
      </c>
      <c r="H41" s="78">
        <f t="shared" si="4"/>
        <v>0</v>
      </c>
      <c r="I41" s="481"/>
      <c r="J41" s="72">
        <f t="shared" si="19"/>
        <v>0</v>
      </c>
      <c r="K41" s="72">
        <f t="shared" si="20"/>
        <v>0</v>
      </c>
      <c r="L41" s="72">
        <f t="shared" si="21"/>
        <v>0</v>
      </c>
      <c r="M41" s="72">
        <f t="shared" si="22"/>
        <v>0</v>
      </c>
      <c r="N41" s="72">
        <f t="shared" si="23"/>
        <v>0</v>
      </c>
      <c r="O41" s="72">
        <f t="shared" si="24"/>
        <v>0</v>
      </c>
      <c r="P41" s="72">
        <f t="shared" si="25"/>
        <v>0</v>
      </c>
      <c r="Q41" s="72">
        <f t="shared" si="26"/>
        <v>0</v>
      </c>
      <c r="R41" s="72">
        <f t="shared" si="27"/>
        <v>0</v>
      </c>
      <c r="S41" s="72">
        <f t="shared" si="28"/>
        <v>0</v>
      </c>
      <c r="T41" s="72">
        <f t="shared" si="29"/>
        <v>0</v>
      </c>
      <c r="U41" s="72">
        <f t="shared" si="30"/>
        <v>0</v>
      </c>
      <c r="V41" s="72">
        <f t="shared" si="35"/>
        <v>0</v>
      </c>
      <c r="W41" s="72">
        <f t="shared" si="35"/>
        <v>0</v>
      </c>
      <c r="X41" s="72">
        <f t="shared" si="35"/>
        <v>0</v>
      </c>
      <c r="Z41" s="72">
        <f t="shared" si="6"/>
        <v>0</v>
      </c>
      <c r="AA41" s="72">
        <f t="shared" si="7"/>
        <v>0</v>
      </c>
      <c r="AB41" s="72">
        <f t="shared" si="8"/>
        <v>0</v>
      </c>
      <c r="AC41" s="72">
        <f t="shared" si="9"/>
        <v>0</v>
      </c>
      <c r="AD41" s="72">
        <f t="shared" si="10"/>
        <v>0</v>
      </c>
      <c r="AE41" s="72">
        <f t="shared" si="11"/>
        <v>0</v>
      </c>
      <c r="AF41" s="72">
        <f t="shared" si="12"/>
        <v>0</v>
      </c>
      <c r="AG41" s="72">
        <f t="shared" si="13"/>
        <v>0</v>
      </c>
      <c r="AH41" s="72">
        <f t="shared" si="14"/>
        <v>0</v>
      </c>
      <c r="AI41" s="72">
        <f t="shared" si="15"/>
        <v>0</v>
      </c>
      <c r="AJ41" s="72">
        <f t="shared" si="16"/>
        <v>0</v>
      </c>
      <c r="AK41" s="72">
        <f t="shared" si="17"/>
        <v>0</v>
      </c>
      <c r="AL41" s="72">
        <f t="shared" si="18"/>
        <v>0</v>
      </c>
      <c r="AM41" s="72">
        <f t="shared" si="18"/>
        <v>0</v>
      </c>
      <c r="AN41" s="72">
        <f t="shared" si="18"/>
        <v>0</v>
      </c>
    </row>
    <row r="42" spans="2:55" hidden="1">
      <c r="B42" s="60"/>
      <c r="C42" s="62"/>
      <c r="D42" s="79"/>
      <c r="E42" s="56"/>
      <c r="F42" s="76"/>
      <c r="G42" s="77">
        <f t="shared" si="3"/>
        <v>0</v>
      </c>
      <c r="H42" s="78">
        <f t="shared" si="4"/>
        <v>0</v>
      </c>
      <c r="I42" s="481"/>
      <c r="J42" s="72">
        <f t="shared" si="19"/>
        <v>0</v>
      </c>
      <c r="K42" s="72">
        <f t="shared" si="20"/>
        <v>0</v>
      </c>
      <c r="L42" s="72">
        <f t="shared" si="21"/>
        <v>0</v>
      </c>
      <c r="M42" s="72">
        <f t="shared" si="22"/>
        <v>0</v>
      </c>
      <c r="N42" s="72">
        <f t="shared" si="23"/>
        <v>0</v>
      </c>
      <c r="O42" s="72">
        <f t="shared" si="24"/>
        <v>0</v>
      </c>
      <c r="P42" s="72">
        <f t="shared" si="25"/>
        <v>0</v>
      </c>
      <c r="Q42" s="72">
        <f t="shared" si="26"/>
        <v>0</v>
      </c>
      <c r="R42" s="72">
        <f t="shared" si="27"/>
        <v>0</v>
      </c>
      <c r="S42" s="72">
        <f t="shared" si="28"/>
        <v>0</v>
      </c>
      <c r="T42" s="72">
        <f t="shared" si="29"/>
        <v>0</v>
      </c>
      <c r="U42" s="72">
        <f t="shared" si="30"/>
        <v>0</v>
      </c>
      <c r="V42" s="72">
        <f t="shared" si="35"/>
        <v>0</v>
      </c>
      <c r="W42" s="72">
        <f t="shared" si="35"/>
        <v>0</v>
      </c>
      <c r="X42" s="72">
        <f t="shared" si="35"/>
        <v>0</v>
      </c>
      <c r="Z42" s="72">
        <f t="shared" si="6"/>
        <v>0</v>
      </c>
      <c r="AA42" s="72">
        <f t="shared" si="7"/>
        <v>0</v>
      </c>
      <c r="AB42" s="72">
        <f t="shared" si="8"/>
        <v>0</v>
      </c>
      <c r="AC42" s="72">
        <f t="shared" si="9"/>
        <v>0</v>
      </c>
      <c r="AD42" s="72">
        <f t="shared" si="10"/>
        <v>0</v>
      </c>
      <c r="AE42" s="72">
        <f t="shared" si="11"/>
        <v>0</v>
      </c>
      <c r="AF42" s="72">
        <f t="shared" si="12"/>
        <v>0</v>
      </c>
      <c r="AG42" s="72">
        <f t="shared" si="13"/>
        <v>0</v>
      </c>
      <c r="AH42" s="72">
        <f t="shared" si="14"/>
        <v>0</v>
      </c>
      <c r="AI42" s="72">
        <f t="shared" si="15"/>
        <v>0</v>
      </c>
      <c r="AJ42" s="72">
        <f t="shared" si="16"/>
        <v>0</v>
      </c>
      <c r="AK42" s="72">
        <f t="shared" si="17"/>
        <v>0</v>
      </c>
      <c r="AL42" s="72">
        <f t="shared" si="18"/>
        <v>0</v>
      </c>
      <c r="AM42" s="72">
        <f t="shared" si="18"/>
        <v>0</v>
      </c>
      <c r="AN42" s="72">
        <f t="shared" si="18"/>
        <v>0</v>
      </c>
    </row>
    <row r="43" spans="2:55" hidden="1">
      <c r="B43" s="60"/>
      <c r="C43" s="62"/>
      <c r="D43" s="79"/>
      <c r="E43" s="56"/>
      <c r="F43" s="76"/>
      <c r="G43" s="77">
        <f t="shared" si="3"/>
        <v>0</v>
      </c>
      <c r="H43" s="78">
        <f t="shared" si="4"/>
        <v>0</v>
      </c>
      <c r="I43" s="481"/>
      <c r="J43" s="72">
        <f t="shared" si="19"/>
        <v>0</v>
      </c>
      <c r="K43" s="72">
        <f t="shared" si="20"/>
        <v>0</v>
      </c>
      <c r="L43" s="72">
        <f t="shared" si="21"/>
        <v>0</v>
      </c>
      <c r="M43" s="72">
        <f t="shared" si="22"/>
        <v>0</v>
      </c>
      <c r="N43" s="72">
        <f t="shared" si="23"/>
        <v>0</v>
      </c>
      <c r="O43" s="72">
        <f t="shared" si="24"/>
        <v>0</v>
      </c>
      <c r="P43" s="72">
        <f t="shared" si="25"/>
        <v>0</v>
      </c>
      <c r="Q43" s="72">
        <f t="shared" si="26"/>
        <v>0</v>
      </c>
      <c r="R43" s="72">
        <f t="shared" si="27"/>
        <v>0</v>
      </c>
      <c r="S43" s="72">
        <f t="shared" si="28"/>
        <v>0</v>
      </c>
      <c r="T43" s="72">
        <f t="shared" si="29"/>
        <v>0</v>
      </c>
      <c r="U43" s="72">
        <f t="shared" si="30"/>
        <v>0</v>
      </c>
      <c r="V43" s="72">
        <f t="shared" si="35"/>
        <v>0</v>
      </c>
      <c r="W43" s="72">
        <f t="shared" si="35"/>
        <v>0</v>
      </c>
      <c r="X43" s="72">
        <f t="shared" si="35"/>
        <v>0</v>
      </c>
      <c r="Z43" s="72">
        <f t="shared" si="6"/>
        <v>0</v>
      </c>
      <c r="AA43" s="72">
        <f t="shared" si="7"/>
        <v>0</v>
      </c>
      <c r="AB43" s="72">
        <f t="shared" si="8"/>
        <v>0</v>
      </c>
      <c r="AC43" s="72">
        <f t="shared" si="9"/>
        <v>0</v>
      </c>
      <c r="AD43" s="72">
        <f t="shared" si="10"/>
        <v>0</v>
      </c>
      <c r="AE43" s="72">
        <f t="shared" si="11"/>
        <v>0</v>
      </c>
      <c r="AF43" s="72">
        <f t="shared" si="12"/>
        <v>0</v>
      </c>
      <c r="AG43" s="72">
        <f t="shared" si="13"/>
        <v>0</v>
      </c>
      <c r="AH43" s="72">
        <f t="shared" si="14"/>
        <v>0</v>
      </c>
      <c r="AI43" s="72">
        <f t="shared" si="15"/>
        <v>0</v>
      </c>
      <c r="AJ43" s="72">
        <f t="shared" si="16"/>
        <v>0</v>
      </c>
      <c r="AK43" s="72">
        <f t="shared" si="17"/>
        <v>0</v>
      </c>
      <c r="AL43" s="72">
        <f t="shared" si="18"/>
        <v>0</v>
      </c>
      <c r="AM43" s="72">
        <f t="shared" si="18"/>
        <v>0</v>
      </c>
      <c r="AN43" s="72">
        <f t="shared" si="18"/>
        <v>0</v>
      </c>
    </row>
    <row r="44" spans="2:55" hidden="1">
      <c r="B44" s="60"/>
      <c r="C44" s="62"/>
      <c r="D44" s="79"/>
      <c r="E44" s="56"/>
      <c r="F44" s="76"/>
      <c r="G44" s="77">
        <f t="shared" si="3"/>
        <v>0</v>
      </c>
      <c r="H44" s="78">
        <f t="shared" si="4"/>
        <v>0</v>
      </c>
      <c r="I44" s="481"/>
      <c r="J44" s="72">
        <f t="shared" si="19"/>
        <v>0</v>
      </c>
      <c r="K44" s="72">
        <f t="shared" si="20"/>
        <v>0</v>
      </c>
      <c r="L44" s="72">
        <f t="shared" si="21"/>
        <v>0</v>
      </c>
      <c r="M44" s="72">
        <f t="shared" si="22"/>
        <v>0</v>
      </c>
      <c r="N44" s="72">
        <f t="shared" si="23"/>
        <v>0</v>
      </c>
      <c r="O44" s="72">
        <f t="shared" si="24"/>
        <v>0</v>
      </c>
      <c r="P44" s="72">
        <f t="shared" si="25"/>
        <v>0</v>
      </c>
      <c r="Q44" s="72">
        <f t="shared" si="26"/>
        <v>0</v>
      </c>
      <c r="R44" s="72">
        <f t="shared" si="27"/>
        <v>0</v>
      </c>
      <c r="S44" s="72">
        <f t="shared" si="28"/>
        <v>0</v>
      </c>
      <c r="T44" s="72">
        <f t="shared" si="29"/>
        <v>0</v>
      </c>
      <c r="U44" s="72">
        <f t="shared" si="30"/>
        <v>0</v>
      </c>
      <c r="V44" s="72">
        <f t="shared" si="35"/>
        <v>0</v>
      </c>
      <c r="W44" s="72">
        <f t="shared" si="35"/>
        <v>0</v>
      </c>
      <c r="X44" s="72">
        <f t="shared" si="35"/>
        <v>0</v>
      </c>
      <c r="Z44" s="72">
        <f t="shared" si="6"/>
        <v>0</v>
      </c>
      <c r="AA44" s="72">
        <f t="shared" si="7"/>
        <v>0</v>
      </c>
      <c r="AB44" s="72">
        <f t="shared" si="8"/>
        <v>0</v>
      </c>
      <c r="AC44" s="72">
        <f t="shared" si="9"/>
        <v>0</v>
      </c>
      <c r="AD44" s="72">
        <f t="shared" si="10"/>
        <v>0</v>
      </c>
      <c r="AE44" s="72">
        <f t="shared" si="11"/>
        <v>0</v>
      </c>
      <c r="AF44" s="72">
        <f t="shared" si="12"/>
        <v>0</v>
      </c>
      <c r="AG44" s="72">
        <f t="shared" si="13"/>
        <v>0</v>
      </c>
      <c r="AH44" s="72">
        <f t="shared" si="14"/>
        <v>0</v>
      </c>
      <c r="AI44" s="72">
        <f t="shared" si="15"/>
        <v>0</v>
      </c>
      <c r="AJ44" s="72">
        <f t="shared" si="16"/>
        <v>0</v>
      </c>
      <c r="AK44" s="72">
        <f t="shared" si="17"/>
        <v>0</v>
      </c>
      <c r="AL44" s="72">
        <f t="shared" si="18"/>
        <v>0</v>
      </c>
      <c r="AM44" s="72">
        <f t="shared" si="18"/>
        <v>0</v>
      </c>
      <c r="AN44" s="72">
        <f t="shared" si="18"/>
        <v>0</v>
      </c>
    </row>
    <row r="45" spans="2:55" hidden="1">
      <c r="B45" s="60"/>
      <c r="C45" s="62"/>
      <c r="D45" s="79"/>
      <c r="E45" s="56"/>
      <c r="F45" s="76"/>
      <c r="G45" s="77">
        <f t="shared" si="3"/>
        <v>0</v>
      </c>
      <c r="H45" s="78">
        <f t="shared" si="4"/>
        <v>0</v>
      </c>
      <c r="I45" s="481"/>
      <c r="J45" s="72">
        <f t="shared" si="19"/>
        <v>0</v>
      </c>
      <c r="K45" s="72">
        <f t="shared" si="20"/>
        <v>0</v>
      </c>
      <c r="L45" s="72">
        <f t="shared" si="21"/>
        <v>0</v>
      </c>
      <c r="M45" s="72">
        <f t="shared" si="22"/>
        <v>0</v>
      </c>
      <c r="N45" s="72">
        <f t="shared" si="23"/>
        <v>0</v>
      </c>
      <c r="O45" s="72">
        <f t="shared" si="24"/>
        <v>0</v>
      </c>
      <c r="P45" s="72">
        <f t="shared" si="25"/>
        <v>0</v>
      </c>
      <c r="Q45" s="72">
        <f t="shared" si="26"/>
        <v>0</v>
      </c>
      <c r="R45" s="72">
        <f t="shared" si="27"/>
        <v>0</v>
      </c>
      <c r="S45" s="72">
        <f t="shared" si="28"/>
        <v>0</v>
      </c>
      <c r="T45" s="72">
        <f t="shared" si="29"/>
        <v>0</v>
      </c>
      <c r="U45" s="72">
        <f t="shared" si="30"/>
        <v>0</v>
      </c>
      <c r="V45" s="72">
        <f t="shared" si="35"/>
        <v>0</v>
      </c>
      <c r="W45" s="72">
        <f t="shared" si="35"/>
        <v>0</v>
      </c>
      <c r="X45" s="72">
        <f t="shared" si="35"/>
        <v>0</v>
      </c>
      <c r="Z45" s="72">
        <f t="shared" si="6"/>
        <v>0</v>
      </c>
      <c r="AA45" s="72">
        <f t="shared" si="7"/>
        <v>0</v>
      </c>
      <c r="AB45" s="72">
        <f t="shared" si="8"/>
        <v>0</v>
      </c>
      <c r="AC45" s="72">
        <f t="shared" si="9"/>
        <v>0</v>
      </c>
      <c r="AD45" s="72">
        <f t="shared" si="10"/>
        <v>0</v>
      </c>
      <c r="AE45" s="72">
        <f t="shared" si="11"/>
        <v>0</v>
      </c>
      <c r="AF45" s="72">
        <f t="shared" si="12"/>
        <v>0</v>
      </c>
      <c r="AG45" s="72">
        <f t="shared" si="13"/>
        <v>0</v>
      </c>
      <c r="AH45" s="72">
        <f t="shared" si="14"/>
        <v>0</v>
      </c>
      <c r="AI45" s="72">
        <f t="shared" si="15"/>
        <v>0</v>
      </c>
      <c r="AJ45" s="72">
        <f t="shared" si="16"/>
        <v>0</v>
      </c>
      <c r="AK45" s="72">
        <f t="shared" si="17"/>
        <v>0</v>
      </c>
      <c r="AL45" s="72">
        <f t="shared" si="18"/>
        <v>0</v>
      </c>
      <c r="AM45" s="72">
        <f t="shared" si="18"/>
        <v>0</v>
      </c>
      <c r="AN45" s="72">
        <f t="shared" si="18"/>
        <v>0</v>
      </c>
    </row>
    <row r="46" spans="2:55" hidden="1">
      <c r="B46" s="60"/>
      <c r="C46" s="62"/>
      <c r="D46" s="79"/>
      <c r="E46" s="56"/>
      <c r="F46" s="76"/>
      <c r="G46" s="77">
        <f t="shared" si="3"/>
        <v>0</v>
      </c>
      <c r="H46" s="78">
        <f t="shared" si="4"/>
        <v>0</v>
      </c>
      <c r="I46" s="481"/>
      <c r="J46" s="72">
        <f t="shared" si="19"/>
        <v>0</v>
      </c>
      <c r="K46" s="72">
        <f t="shared" si="20"/>
        <v>0</v>
      </c>
      <c r="L46" s="72">
        <f t="shared" si="21"/>
        <v>0</v>
      </c>
      <c r="M46" s="72">
        <f t="shared" si="22"/>
        <v>0</v>
      </c>
      <c r="N46" s="72">
        <f t="shared" si="23"/>
        <v>0</v>
      </c>
      <c r="O46" s="72">
        <f t="shared" si="24"/>
        <v>0</v>
      </c>
      <c r="P46" s="72">
        <f t="shared" si="25"/>
        <v>0</v>
      </c>
      <c r="Q46" s="72">
        <f t="shared" si="26"/>
        <v>0</v>
      </c>
      <c r="R46" s="72">
        <f t="shared" si="27"/>
        <v>0</v>
      </c>
      <c r="S46" s="72">
        <f t="shared" si="28"/>
        <v>0</v>
      </c>
      <c r="T46" s="72">
        <f t="shared" si="29"/>
        <v>0</v>
      </c>
      <c r="U46" s="72">
        <f t="shared" si="30"/>
        <v>0</v>
      </c>
      <c r="V46" s="72">
        <f t="shared" si="35"/>
        <v>0</v>
      </c>
      <c r="W46" s="72">
        <f t="shared" si="35"/>
        <v>0</v>
      </c>
      <c r="X46" s="72">
        <f t="shared" si="35"/>
        <v>0</v>
      </c>
      <c r="Z46" s="72">
        <f t="shared" si="6"/>
        <v>0</v>
      </c>
      <c r="AA46" s="72">
        <f t="shared" si="7"/>
        <v>0</v>
      </c>
      <c r="AB46" s="72">
        <f t="shared" si="8"/>
        <v>0</v>
      </c>
      <c r="AC46" s="72">
        <f t="shared" si="9"/>
        <v>0</v>
      </c>
      <c r="AD46" s="72">
        <f t="shared" si="10"/>
        <v>0</v>
      </c>
      <c r="AE46" s="72">
        <f t="shared" si="11"/>
        <v>0</v>
      </c>
      <c r="AF46" s="72">
        <f t="shared" si="12"/>
        <v>0</v>
      </c>
      <c r="AG46" s="72">
        <f t="shared" si="13"/>
        <v>0</v>
      </c>
      <c r="AH46" s="72">
        <f t="shared" si="14"/>
        <v>0</v>
      </c>
      <c r="AI46" s="72">
        <f t="shared" si="15"/>
        <v>0</v>
      </c>
      <c r="AJ46" s="72">
        <f t="shared" si="16"/>
        <v>0</v>
      </c>
      <c r="AK46" s="72">
        <f t="shared" si="17"/>
        <v>0</v>
      </c>
      <c r="AL46" s="72">
        <f t="shared" si="18"/>
        <v>0</v>
      </c>
      <c r="AM46" s="72">
        <f t="shared" si="18"/>
        <v>0</v>
      </c>
      <c r="AN46" s="72">
        <f t="shared" si="18"/>
        <v>0</v>
      </c>
    </row>
    <row r="47" spans="2:55" hidden="1">
      <c r="B47" s="60"/>
      <c r="C47" s="62"/>
      <c r="D47" s="79"/>
      <c r="E47" s="56"/>
      <c r="F47" s="76"/>
      <c r="G47" s="77">
        <f t="shared" si="3"/>
        <v>0</v>
      </c>
      <c r="H47" s="78">
        <f t="shared" si="4"/>
        <v>0</v>
      </c>
      <c r="I47" s="481"/>
      <c r="J47" s="72">
        <f t="shared" si="19"/>
        <v>0</v>
      </c>
      <c r="K47" s="72">
        <f t="shared" si="20"/>
        <v>0</v>
      </c>
      <c r="L47" s="72">
        <f t="shared" si="21"/>
        <v>0</v>
      </c>
      <c r="M47" s="72">
        <f t="shared" si="22"/>
        <v>0</v>
      </c>
      <c r="N47" s="72">
        <f t="shared" si="23"/>
        <v>0</v>
      </c>
      <c r="O47" s="72">
        <f t="shared" si="24"/>
        <v>0</v>
      </c>
      <c r="P47" s="72">
        <f t="shared" si="25"/>
        <v>0</v>
      </c>
      <c r="Q47" s="72">
        <f t="shared" si="26"/>
        <v>0</v>
      </c>
      <c r="R47" s="72">
        <f t="shared" si="27"/>
        <v>0</v>
      </c>
      <c r="S47" s="72">
        <f t="shared" si="28"/>
        <v>0</v>
      </c>
      <c r="T47" s="72">
        <f t="shared" si="29"/>
        <v>0</v>
      </c>
      <c r="U47" s="72">
        <f t="shared" si="30"/>
        <v>0</v>
      </c>
      <c r="V47" s="72">
        <f t="shared" si="35"/>
        <v>0</v>
      </c>
      <c r="W47" s="72">
        <f t="shared" si="35"/>
        <v>0</v>
      </c>
      <c r="X47" s="72">
        <f t="shared" si="35"/>
        <v>0</v>
      </c>
      <c r="Z47" s="72">
        <f t="shared" si="6"/>
        <v>0</v>
      </c>
      <c r="AA47" s="72">
        <f t="shared" si="7"/>
        <v>0</v>
      </c>
      <c r="AB47" s="72">
        <f t="shared" si="8"/>
        <v>0</v>
      </c>
      <c r="AC47" s="72">
        <f t="shared" si="9"/>
        <v>0</v>
      </c>
      <c r="AD47" s="72">
        <f t="shared" si="10"/>
        <v>0</v>
      </c>
      <c r="AE47" s="72">
        <f t="shared" si="11"/>
        <v>0</v>
      </c>
      <c r="AF47" s="72">
        <f t="shared" si="12"/>
        <v>0</v>
      </c>
      <c r="AG47" s="72">
        <f t="shared" si="13"/>
        <v>0</v>
      </c>
      <c r="AH47" s="72">
        <f t="shared" si="14"/>
        <v>0</v>
      </c>
      <c r="AI47" s="72">
        <f t="shared" si="15"/>
        <v>0</v>
      </c>
      <c r="AJ47" s="72">
        <f t="shared" si="16"/>
        <v>0</v>
      </c>
      <c r="AK47" s="72">
        <f t="shared" si="17"/>
        <v>0</v>
      </c>
      <c r="AL47" s="72">
        <f t="shared" si="18"/>
        <v>0</v>
      </c>
      <c r="AM47" s="72">
        <f t="shared" si="18"/>
        <v>0</v>
      </c>
      <c r="AN47" s="72">
        <f t="shared" si="18"/>
        <v>0</v>
      </c>
    </row>
    <row r="48" spans="2:55" hidden="1">
      <c r="B48" s="60"/>
      <c r="C48" s="62"/>
      <c r="D48" s="79"/>
      <c r="E48" s="56"/>
      <c r="F48" s="76"/>
      <c r="G48" s="77">
        <f t="shared" si="3"/>
        <v>0</v>
      </c>
      <c r="H48" s="78">
        <f t="shared" si="4"/>
        <v>0</v>
      </c>
      <c r="I48" s="481"/>
      <c r="J48" s="72">
        <f t="shared" si="19"/>
        <v>0</v>
      </c>
      <c r="K48" s="72">
        <f t="shared" si="20"/>
        <v>0</v>
      </c>
      <c r="L48" s="72">
        <f t="shared" si="21"/>
        <v>0</v>
      </c>
      <c r="M48" s="72">
        <f t="shared" si="22"/>
        <v>0</v>
      </c>
      <c r="N48" s="72">
        <f t="shared" si="23"/>
        <v>0</v>
      </c>
      <c r="O48" s="72">
        <f t="shared" si="24"/>
        <v>0</v>
      </c>
      <c r="P48" s="72">
        <f t="shared" si="25"/>
        <v>0</v>
      </c>
      <c r="Q48" s="72">
        <f t="shared" si="26"/>
        <v>0</v>
      </c>
      <c r="R48" s="72">
        <f t="shared" si="27"/>
        <v>0</v>
      </c>
      <c r="S48" s="72">
        <f t="shared" si="28"/>
        <v>0</v>
      </c>
      <c r="T48" s="72">
        <f t="shared" si="29"/>
        <v>0</v>
      </c>
      <c r="U48" s="72">
        <f t="shared" si="30"/>
        <v>0</v>
      </c>
      <c r="V48" s="72">
        <f t="shared" si="35"/>
        <v>0</v>
      </c>
      <c r="W48" s="72">
        <f t="shared" si="35"/>
        <v>0</v>
      </c>
      <c r="X48" s="72">
        <f t="shared" si="35"/>
        <v>0</v>
      </c>
      <c r="Z48" s="72">
        <f t="shared" si="6"/>
        <v>0</v>
      </c>
      <c r="AA48" s="72">
        <f t="shared" si="7"/>
        <v>0</v>
      </c>
      <c r="AB48" s="72">
        <f t="shared" si="8"/>
        <v>0</v>
      </c>
      <c r="AC48" s="72">
        <f t="shared" si="9"/>
        <v>0</v>
      </c>
      <c r="AD48" s="72">
        <f t="shared" si="10"/>
        <v>0</v>
      </c>
      <c r="AE48" s="72">
        <f t="shared" si="11"/>
        <v>0</v>
      </c>
      <c r="AF48" s="72">
        <f t="shared" si="12"/>
        <v>0</v>
      </c>
      <c r="AG48" s="72">
        <f t="shared" si="13"/>
        <v>0</v>
      </c>
      <c r="AH48" s="72">
        <f t="shared" si="14"/>
        <v>0</v>
      </c>
      <c r="AI48" s="72">
        <f t="shared" si="15"/>
        <v>0</v>
      </c>
      <c r="AJ48" s="72">
        <f t="shared" si="16"/>
        <v>0</v>
      </c>
      <c r="AK48" s="72">
        <f t="shared" si="17"/>
        <v>0</v>
      </c>
      <c r="AL48" s="72">
        <f t="shared" si="18"/>
        <v>0</v>
      </c>
      <c r="AM48" s="72">
        <f t="shared" si="18"/>
        <v>0</v>
      </c>
      <c r="AN48" s="72">
        <f t="shared" si="18"/>
        <v>0</v>
      </c>
    </row>
    <row r="49" spans="2:47" hidden="1">
      <c r="B49" s="60"/>
      <c r="C49" s="62"/>
      <c r="D49" s="79"/>
      <c r="E49" s="56"/>
      <c r="F49" s="76"/>
      <c r="G49" s="77">
        <f t="shared" si="3"/>
        <v>0</v>
      </c>
      <c r="H49" s="78">
        <f t="shared" si="4"/>
        <v>0</v>
      </c>
      <c r="I49" s="481"/>
      <c r="J49" s="72">
        <f t="shared" si="19"/>
        <v>0</v>
      </c>
      <c r="K49" s="72">
        <f t="shared" si="20"/>
        <v>0</v>
      </c>
      <c r="L49" s="72">
        <f t="shared" si="21"/>
        <v>0</v>
      </c>
      <c r="M49" s="72">
        <f t="shared" si="22"/>
        <v>0</v>
      </c>
      <c r="N49" s="72">
        <f t="shared" si="23"/>
        <v>0</v>
      </c>
      <c r="O49" s="72">
        <f t="shared" si="24"/>
        <v>0</v>
      </c>
      <c r="P49" s="72">
        <f t="shared" si="25"/>
        <v>0</v>
      </c>
      <c r="Q49" s="72">
        <f t="shared" si="26"/>
        <v>0</v>
      </c>
      <c r="R49" s="72">
        <f t="shared" si="27"/>
        <v>0</v>
      </c>
      <c r="S49" s="72">
        <f t="shared" si="28"/>
        <v>0</v>
      </c>
      <c r="T49" s="72">
        <f t="shared" si="29"/>
        <v>0</v>
      </c>
      <c r="U49" s="72">
        <f t="shared" si="30"/>
        <v>0</v>
      </c>
      <c r="V49" s="72">
        <f t="shared" si="35"/>
        <v>0</v>
      </c>
      <c r="W49" s="72">
        <f t="shared" si="35"/>
        <v>0</v>
      </c>
      <c r="X49" s="72">
        <f t="shared" si="35"/>
        <v>0</v>
      </c>
      <c r="Z49" s="72">
        <f t="shared" si="6"/>
        <v>0</v>
      </c>
      <c r="AA49" s="72">
        <f t="shared" si="7"/>
        <v>0</v>
      </c>
      <c r="AB49" s="72">
        <f t="shared" si="8"/>
        <v>0</v>
      </c>
      <c r="AC49" s="72">
        <f t="shared" si="9"/>
        <v>0</v>
      </c>
      <c r="AD49" s="72">
        <f t="shared" si="10"/>
        <v>0</v>
      </c>
      <c r="AE49" s="72">
        <f t="shared" si="11"/>
        <v>0</v>
      </c>
      <c r="AF49" s="72">
        <f t="shared" si="12"/>
        <v>0</v>
      </c>
      <c r="AG49" s="72">
        <f t="shared" si="13"/>
        <v>0</v>
      </c>
      <c r="AH49" s="72">
        <f t="shared" si="14"/>
        <v>0</v>
      </c>
      <c r="AI49" s="72">
        <f t="shared" si="15"/>
        <v>0</v>
      </c>
      <c r="AJ49" s="72">
        <f t="shared" si="16"/>
        <v>0</v>
      </c>
      <c r="AK49" s="72">
        <f t="shared" si="17"/>
        <v>0</v>
      </c>
      <c r="AL49" s="72">
        <f t="shared" si="18"/>
        <v>0</v>
      </c>
      <c r="AM49" s="72">
        <f t="shared" si="18"/>
        <v>0</v>
      </c>
      <c r="AN49" s="72">
        <f t="shared" si="18"/>
        <v>0</v>
      </c>
    </row>
    <row r="50" spans="2:47" hidden="1">
      <c r="B50" s="60"/>
      <c r="C50" s="62"/>
      <c r="D50" s="79"/>
      <c r="E50" s="56"/>
      <c r="F50" s="76"/>
      <c r="G50" s="77">
        <f t="shared" si="3"/>
        <v>0</v>
      </c>
      <c r="H50" s="78">
        <f t="shared" si="4"/>
        <v>0</v>
      </c>
      <c r="I50" s="481"/>
      <c r="J50" s="72">
        <f t="shared" si="19"/>
        <v>0</v>
      </c>
      <c r="K50" s="72">
        <f t="shared" si="20"/>
        <v>0</v>
      </c>
      <c r="L50" s="72">
        <f t="shared" si="21"/>
        <v>0</v>
      </c>
      <c r="M50" s="72">
        <f t="shared" si="22"/>
        <v>0</v>
      </c>
      <c r="N50" s="72">
        <f t="shared" si="23"/>
        <v>0</v>
      </c>
      <c r="O50" s="72">
        <f t="shared" si="24"/>
        <v>0</v>
      </c>
      <c r="P50" s="72">
        <f t="shared" si="25"/>
        <v>0</v>
      </c>
      <c r="Q50" s="72">
        <f t="shared" si="26"/>
        <v>0</v>
      </c>
      <c r="R50" s="72">
        <f t="shared" si="27"/>
        <v>0</v>
      </c>
      <c r="S50" s="72">
        <f t="shared" si="28"/>
        <v>0</v>
      </c>
      <c r="T50" s="72">
        <f t="shared" si="29"/>
        <v>0</v>
      </c>
      <c r="U50" s="72">
        <f t="shared" si="30"/>
        <v>0</v>
      </c>
      <c r="V50" s="72">
        <f t="shared" si="35"/>
        <v>0</v>
      </c>
      <c r="W50" s="72">
        <f t="shared" si="35"/>
        <v>0</v>
      </c>
      <c r="X50" s="72">
        <f t="shared" si="35"/>
        <v>0</v>
      </c>
      <c r="Z50" s="72">
        <f t="shared" si="6"/>
        <v>0</v>
      </c>
      <c r="AA50" s="72">
        <f t="shared" si="7"/>
        <v>0</v>
      </c>
      <c r="AB50" s="72">
        <f t="shared" si="8"/>
        <v>0</v>
      </c>
      <c r="AC50" s="72">
        <f t="shared" si="9"/>
        <v>0</v>
      </c>
      <c r="AD50" s="72">
        <f t="shared" si="10"/>
        <v>0</v>
      </c>
      <c r="AE50" s="72">
        <f t="shared" si="11"/>
        <v>0</v>
      </c>
      <c r="AF50" s="72">
        <f t="shared" si="12"/>
        <v>0</v>
      </c>
      <c r="AG50" s="72">
        <f t="shared" si="13"/>
        <v>0</v>
      </c>
      <c r="AH50" s="72">
        <f t="shared" si="14"/>
        <v>0</v>
      </c>
      <c r="AI50" s="72">
        <f t="shared" si="15"/>
        <v>0</v>
      </c>
      <c r="AJ50" s="72">
        <f t="shared" si="16"/>
        <v>0</v>
      </c>
      <c r="AK50" s="72">
        <f t="shared" si="17"/>
        <v>0</v>
      </c>
      <c r="AL50" s="72">
        <f t="shared" si="18"/>
        <v>0</v>
      </c>
      <c r="AM50" s="72">
        <f t="shared" si="18"/>
        <v>0</v>
      </c>
      <c r="AN50" s="72">
        <f t="shared" si="18"/>
        <v>0</v>
      </c>
      <c r="AU50" s="59"/>
    </row>
    <row r="51" spans="2:47" hidden="1">
      <c r="B51" s="60"/>
      <c r="C51" s="62"/>
      <c r="D51" s="79"/>
      <c r="E51" s="56"/>
      <c r="F51" s="76"/>
      <c r="G51" s="77">
        <f t="shared" si="3"/>
        <v>0</v>
      </c>
      <c r="H51" s="78">
        <f t="shared" si="4"/>
        <v>0</v>
      </c>
      <c r="I51" s="481"/>
      <c r="J51" s="72">
        <f t="shared" si="19"/>
        <v>0</v>
      </c>
      <c r="K51" s="72">
        <f t="shared" si="20"/>
        <v>0</v>
      </c>
      <c r="L51" s="72">
        <f t="shared" si="21"/>
        <v>0</v>
      </c>
      <c r="M51" s="72">
        <f t="shared" si="22"/>
        <v>0</v>
      </c>
      <c r="N51" s="72">
        <f t="shared" si="23"/>
        <v>0</v>
      </c>
      <c r="O51" s="72">
        <f t="shared" si="24"/>
        <v>0</v>
      </c>
      <c r="P51" s="72">
        <f t="shared" si="25"/>
        <v>0</v>
      </c>
      <c r="Q51" s="72">
        <f t="shared" si="26"/>
        <v>0</v>
      </c>
      <c r="R51" s="72">
        <f t="shared" si="27"/>
        <v>0</v>
      </c>
      <c r="S51" s="72">
        <f t="shared" si="28"/>
        <v>0</v>
      </c>
      <c r="T51" s="72">
        <f t="shared" si="29"/>
        <v>0</v>
      </c>
      <c r="U51" s="72">
        <f t="shared" si="30"/>
        <v>0</v>
      </c>
      <c r="V51" s="72">
        <f t="shared" si="35"/>
        <v>0</v>
      </c>
      <c r="W51" s="72">
        <f t="shared" si="35"/>
        <v>0</v>
      </c>
      <c r="X51" s="72">
        <f t="shared" si="35"/>
        <v>0</v>
      </c>
      <c r="Z51" s="72">
        <f t="shared" si="6"/>
        <v>0</v>
      </c>
      <c r="AA51" s="72">
        <f t="shared" si="7"/>
        <v>0</v>
      </c>
      <c r="AB51" s="72">
        <f t="shared" si="8"/>
        <v>0</v>
      </c>
      <c r="AC51" s="72">
        <f t="shared" si="9"/>
        <v>0</v>
      </c>
      <c r="AD51" s="72">
        <f t="shared" si="10"/>
        <v>0</v>
      </c>
      <c r="AE51" s="72">
        <f t="shared" si="11"/>
        <v>0</v>
      </c>
      <c r="AF51" s="72">
        <f t="shared" si="12"/>
        <v>0</v>
      </c>
      <c r="AG51" s="72">
        <f t="shared" si="13"/>
        <v>0</v>
      </c>
      <c r="AH51" s="72">
        <f t="shared" si="14"/>
        <v>0</v>
      </c>
      <c r="AI51" s="72">
        <f t="shared" si="15"/>
        <v>0</v>
      </c>
      <c r="AJ51" s="72">
        <f t="shared" si="16"/>
        <v>0</v>
      </c>
      <c r="AK51" s="72">
        <f t="shared" si="17"/>
        <v>0</v>
      </c>
      <c r="AL51" s="72">
        <f t="shared" si="18"/>
        <v>0</v>
      </c>
      <c r="AM51" s="72">
        <f t="shared" si="18"/>
        <v>0</v>
      </c>
      <c r="AN51" s="72">
        <f t="shared" si="18"/>
        <v>0</v>
      </c>
    </row>
    <row r="52" spans="2:47" ht="15" hidden="1" customHeight="1">
      <c r="B52" s="60"/>
      <c r="C52" s="62"/>
      <c r="D52" s="79"/>
      <c r="E52" s="56"/>
      <c r="F52" s="76"/>
      <c r="G52" s="77">
        <f t="shared" si="3"/>
        <v>0</v>
      </c>
      <c r="H52" s="78">
        <f t="shared" si="4"/>
        <v>0</v>
      </c>
      <c r="I52" s="481"/>
      <c r="J52" s="72">
        <f t="shared" si="19"/>
        <v>0</v>
      </c>
      <c r="K52" s="72">
        <f t="shared" si="20"/>
        <v>0</v>
      </c>
      <c r="L52" s="72">
        <f t="shared" si="21"/>
        <v>0</v>
      </c>
      <c r="M52" s="72">
        <f t="shared" si="22"/>
        <v>0</v>
      </c>
      <c r="N52" s="72">
        <f t="shared" si="23"/>
        <v>0</v>
      </c>
      <c r="O52" s="72">
        <f t="shared" si="24"/>
        <v>0</v>
      </c>
      <c r="P52" s="72">
        <f t="shared" si="25"/>
        <v>0</v>
      </c>
      <c r="Q52" s="72">
        <f t="shared" si="26"/>
        <v>0</v>
      </c>
      <c r="R52" s="72">
        <f t="shared" si="27"/>
        <v>0</v>
      </c>
      <c r="S52" s="72">
        <f t="shared" si="28"/>
        <v>0</v>
      </c>
      <c r="T52" s="72">
        <f t="shared" si="29"/>
        <v>0</v>
      </c>
      <c r="U52" s="72">
        <f t="shared" si="30"/>
        <v>0</v>
      </c>
      <c r="V52" s="72">
        <f t="shared" si="35"/>
        <v>0</v>
      </c>
      <c r="W52" s="72">
        <f t="shared" si="35"/>
        <v>0</v>
      </c>
      <c r="X52" s="72">
        <f t="shared" si="35"/>
        <v>0</v>
      </c>
      <c r="Z52" s="72">
        <f t="shared" si="6"/>
        <v>0</v>
      </c>
      <c r="AA52" s="72">
        <f t="shared" si="7"/>
        <v>0</v>
      </c>
      <c r="AB52" s="72">
        <f t="shared" si="8"/>
        <v>0</v>
      </c>
      <c r="AC52" s="72">
        <f t="shared" si="9"/>
        <v>0</v>
      </c>
      <c r="AD52" s="72">
        <f t="shared" si="10"/>
        <v>0</v>
      </c>
      <c r="AE52" s="72">
        <f t="shared" si="11"/>
        <v>0</v>
      </c>
      <c r="AF52" s="72">
        <f t="shared" si="12"/>
        <v>0</v>
      </c>
      <c r="AG52" s="72">
        <f t="shared" si="13"/>
        <v>0</v>
      </c>
      <c r="AH52" s="72">
        <f t="shared" si="14"/>
        <v>0</v>
      </c>
      <c r="AI52" s="72">
        <f t="shared" si="15"/>
        <v>0</v>
      </c>
      <c r="AJ52" s="72">
        <f t="shared" si="16"/>
        <v>0</v>
      </c>
      <c r="AK52" s="72">
        <f t="shared" si="17"/>
        <v>0</v>
      </c>
      <c r="AL52" s="72">
        <f t="shared" si="18"/>
        <v>0</v>
      </c>
      <c r="AM52" s="72">
        <f t="shared" si="18"/>
        <v>0</v>
      </c>
      <c r="AN52" s="72">
        <f t="shared" si="18"/>
        <v>0</v>
      </c>
    </row>
    <row r="53" spans="2:47" hidden="1">
      <c r="B53" s="60"/>
      <c r="C53" s="62"/>
      <c r="D53" s="79"/>
      <c r="E53" s="56"/>
      <c r="F53" s="76"/>
      <c r="G53" s="77">
        <f t="shared" si="3"/>
        <v>0</v>
      </c>
      <c r="H53" s="78">
        <f t="shared" si="4"/>
        <v>0</v>
      </c>
      <c r="I53" s="481"/>
      <c r="J53" s="72">
        <f t="shared" si="19"/>
        <v>0</v>
      </c>
      <c r="K53" s="72">
        <f t="shared" si="20"/>
        <v>0</v>
      </c>
      <c r="L53" s="72">
        <f t="shared" si="21"/>
        <v>0</v>
      </c>
      <c r="M53" s="72">
        <f t="shared" si="22"/>
        <v>0</v>
      </c>
      <c r="N53" s="72">
        <f t="shared" si="23"/>
        <v>0</v>
      </c>
      <c r="O53" s="72">
        <f t="shared" si="24"/>
        <v>0</v>
      </c>
      <c r="P53" s="72">
        <f t="shared" si="25"/>
        <v>0</v>
      </c>
      <c r="Q53" s="72">
        <f t="shared" si="26"/>
        <v>0</v>
      </c>
      <c r="R53" s="72">
        <f t="shared" si="27"/>
        <v>0</v>
      </c>
      <c r="S53" s="72">
        <f t="shared" si="28"/>
        <v>0</v>
      </c>
      <c r="T53" s="72">
        <f t="shared" si="29"/>
        <v>0</v>
      </c>
      <c r="U53" s="72">
        <f t="shared" si="30"/>
        <v>0</v>
      </c>
      <c r="V53" s="72">
        <f t="shared" si="35"/>
        <v>0</v>
      </c>
      <c r="W53" s="72">
        <f t="shared" si="35"/>
        <v>0</v>
      </c>
      <c r="X53" s="72">
        <f t="shared" si="35"/>
        <v>0</v>
      </c>
      <c r="Z53" s="72">
        <f t="shared" si="6"/>
        <v>0</v>
      </c>
      <c r="AA53" s="72">
        <f t="shared" si="7"/>
        <v>0</v>
      </c>
      <c r="AB53" s="72">
        <f t="shared" si="8"/>
        <v>0</v>
      </c>
      <c r="AC53" s="72">
        <f t="shared" si="9"/>
        <v>0</v>
      </c>
      <c r="AD53" s="72">
        <f t="shared" si="10"/>
        <v>0</v>
      </c>
      <c r="AE53" s="72">
        <f t="shared" si="11"/>
        <v>0</v>
      </c>
      <c r="AF53" s="72">
        <f t="shared" si="12"/>
        <v>0</v>
      </c>
      <c r="AG53" s="72">
        <f t="shared" si="13"/>
        <v>0</v>
      </c>
      <c r="AH53" s="72">
        <f t="shared" si="14"/>
        <v>0</v>
      </c>
      <c r="AI53" s="72">
        <f t="shared" si="15"/>
        <v>0</v>
      </c>
      <c r="AJ53" s="72">
        <f t="shared" si="16"/>
        <v>0</v>
      </c>
      <c r="AK53" s="72">
        <f t="shared" si="17"/>
        <v>0</v>
      </c>
      <c r="AL53" s="72">
        <f t="shared" si="18"/>
        <v>0</v>
      </c>
      <c r="AM53" s="72">
        <f t="shared" si="18"/>
        <v>0</v>
      </c>
      <c r="AN53" s="72">
        <f t="shared" si="18"/>
        <v>0</v>
      </c>
    </row>
    <row r="54" spans="2:47" hidden="1">
      <c r="B54" s="60"/>
      <c r="C54" s="62"/>
      <c r="D54" s="79"/>
      <c r="E54" s="56"/>
      <c r="F54" s="76"/>
      <c r="G54" s="77">
        <f t="shared" si="3"/>
        <v>0</v>
      </c>
      <c r="H54" s="78">
        <f t="shared" si="4"/>
        <v>0</v>
      </c>
      <c r="I54" s="481"/>
      <c r="J54" s="72">
        <f t="shared" si="19"/>
        <v>0</v>
      </c>
      <c r="K54" s="72">
        <f t="shared" si="20"/>
        <v>0</v>
      </c>
      <c r="L54" s="72">
        <f t="shared" si="21"/>
        <v>0</v>
      </c>
      <c r="M54" s="72">
        <f t="shared" si="22"/>
        <v>0</v>
      </c>
      <c r="N54" s="72">
        <f t="shared" si="23"/>
        <v>0</v>
      </c>
      <c r="O54" s="72">
        <f t="shared" si="24"/>
        <v>0</v>
      </c>
      <c r="P54" s="72">
        <f t="shared" si="25"/>
        <v>0</v>
      </c>
      <c r="Q54" s="72">
        <f t="shared" si="26"/>
        <v>0</v>
      </c>
      <c r="R54" s="72">
        <f t="shared" si="27"/>
        <v>0</v>
      </c>
      <c r="S54" s="72">
        <f t="shared" si="28"/>
        <v>0</v>
      </c>
      <c r="T54" s="72">
        <f t="shared" si="29"/>
        <v>0</v>
      </c>
      <c r="U54" s="72">
        <f t="shared" si="30"/>
        <v>0</v>
      </c>
      <c r="V54" s="72">
        <f t="shared" si="35"/>
        <v>0</v>
      </c>
      <c r="W54" s="72">
        <f t="shared" si="35"/>
        <v>0</v>
      </c>
      <c r="X54" s="72">
        <f t="shared" si="35"/>
        <v>0</v>
      </c>
      <c r="Z54" s="72">
        <f t="shared" si="6"/>
        <v>0</v>
      </c>
      <c r="AA54" s="72">
        <f t="shared" si="7"/>
        <v>0</v>
      </c>
      <c r="AB54" s="72">
        <f t="shared" si="8"/>
        <v>0</v>
      </c>
      <c r="AC54" s="72">
        <f t="shared" si="9"/>
        <v>0</v>
      </c>
      <c r="AD54" s="72">
        <f t="shared" si="10"/>
        <v>0</v>
      </c>
      <c r="AE54" s="72">
        <f t="shared" si="11"/>
        <v>0</v>
      </c>
      <c r="AF54" s="72">
        <f t="shared" si="12"/>
        <v>0</v>
      </c>
      <c r="AG54" s="72">
        <f t="shared" si="13"/>
        <v>0</v>
      </c>
      <c r="AH54" s="72">
        <f t="shared" si="14"/>
        <v>0</v>
      </c>
      <c r="AI54" s="72">
        <f t="shared" si="15"/>
        <v>0</v>
      </c>
      <c r="AJ54" s="72">
        <f t="shared" si="16"/>
        <v>0</v>
      </c>
      <c r="AK54" s="72">
        <f t="shared" si="17"/>
        <v>0</v>
      </c>
      <c r="AL54" s="72">
        <f t="shared" si="18"/>
        <v>0</v>
      </c>
      <c r="AM54" s="72">
        <f t="shared" si="18"/>
        <v>0</v>
      </c>
      <c r="AN54" s="72">
        <f t="shared" si="18"/>
        <v>0</v>
      </c>
    </row>
    <row r="55" spans="2:47" hidden="1">
      <c r="B55" s="60"/>
      <c r="C55" s="62"/>
      <c r="D55" s="79"/>
      <c r="E55" s="56"/>
      <c r="F55" s="76"/>
      <c r="G55" s="77">
        <f t="shared" si="3"/>
        <v>0</v>
      </c>
      <c r="H55" s="78">
        <f t="shared" si="4"/>
        <v>0</v>
      </c>
      <c r="I55" s="481"/>
      <c r="J55" s="72">
        <f t="shared" si="19"/>
        <v>0</v>
      </c>
      <c r="K55" s="72">
        <f t="shared" si="20"/>
        <v>0</v>
      </c>
      <c r="L55" s="72">
        <f t="shared" si="21"/>
        <v>0</v>
      </c>
      <c r="M55" s="72">
        <f t="shared" si="22"/>
        <v>0</v>
      </c>
      <c r="N55" s="72">
        <f t="shared" si="23"/>
        <v>0</v>
      </c>
      <c r="O55" s="72">
        <f t="shared" si="24"/>
        <v>0</v>
      </c>
      <c r="P55" s="72">
        <f t="shared" si="25"/>
        <v>0</v>
      </c>
      <c r="Q55" s="72">
        <f t="shared" si="26"/>
        <v>0</v>
      </c>
      <c r="R55" s="72">
        <f t="shared" si="27"/>
        <v>0</v>
      </c>
      <c r="S55" s="72">
        <f t="shared" si="28"/>
        <v>0</v>
      </c>
      <c r="T55" s="72">
        <f t="shared" si="29"/>
        <v>0</v>
      </c>
      <c r="U55" s="72">
        <f t="shared" si="30"/>
        <v>0</v>
      </c>
      <c r="V55" s="72">
        <f t="shared" si="35"/>
        <v>0</v>
      </c>
      <c r="W55" s="72">
        <f t="shared" si="35"/>
        <v>0</v>
      </c>
      <c r="X55" s="72">
        <f t="shared" si="35"/>
        <v>0</v>
      </c>
      <c r="Z55" s="72">
        <f t="shared" si="6"/>
        <v>0</v>
      </c>
      <c r="AA55" s="72">
        <f t="shared" si="7"/>
        <v>0</v>
      </c>
      <c r="AB55" s="72">
        <f t="shared" si="8"/>
        <v>0</v>
      </c>
      <c r="AC55" s="72">
        <f t="shared" si="9"/>
        <v>0</v>
      </c>
      <c r="AD55" s="72">
        <f t="shared" si="10"/>
        <v>0</v>
      </c>
      <c r="AE55" s="72">
        <f t="shared" si="11"/>
        <v>0</v>
      </c>
      <c r="AF55" s="72">
        <f t="shared" si="12"/>
        <v>0</v>
      </c>
      <c r="AG55" s="72">
        <f t="shared" si="13"/>
        <v>0</v>
      </c>
      <c r="AH55" s="72">
        <f t="shared" si="14"/>
        <v>0</v>
      </c>
      <c r="AI55" s="72">
        <f t="shared" si="15"/>
        <v>0</v>
      </c>
      <c r="AJ55" s="72">
        <f t="shared" si="16"/>
        <v>0</v>
      </c>
      <c r="AK55" s="72">
        <f t="shared" si="17"/>
        <v>0</v>
      </c>
      <c r="AL55" s="72">
        <f t="shared" si="18"/>
        <v>0</v>
      </c>
      <c r="AM55" s="72">
        <f t="shared" si="18"/>
        <v>0</v>
      </c>
      <c r="AN55" s="72">
        <f t="shared" si="18"/>
        <v>0</v>
      </c>
    </row>
    <row r="56" spans="2:47" hidden="1">
      <c r="B56" s="60"/>
      <c r="C56" s="62"/>
      <c r="D56" s="79"/>
      <c r="E56" s="56"/>
      <c r="F56" s="76"/>
      <c r="G56" s="77">
        <f t="shared" si="3"/>
        <v>0</v>
      </c>
      <c r="H56" s="78">
        <f t="shared" si="4"/>
        <v>0</v>
      </c>
      <c r="I56" s="481"/>
      <c r="J56" s="72">
        <f t="shared" si="19"/>
        <v>0</v>
      </c>
      <c r="K56" s="72">
        <f t="shared" si="20"/>
        <v>0</v>
      </c>
      <c r="L56" s="72">
        <f t="shared" si="21"/>
        <v>0</v>
      </c>
      <c r="M56" s="72">
        <f t="shared" si="22"/>
        <v>0</v>
      </c>
      <c r="N56" s="72">
        <f t="shared" si="23"/>
        <v>0</v>
      </c>
      <c r="O56" s="72">
        <f t="shared" si="24"/>
        <v>0</v>
      </c>
      <c r="P56" s="72">
        <f t="shared" si="25"/>
        <v>0</v>
      </c>
      <c r="Q56" s="72">
        <f t="shared" si="26"/>
        <v>0</v>
      </c>
      <c r="R56" s="72">
        <f t="shared" si="27"/>
        <v>0</v>
      </c>
      <c r="S56" s="72">
        <f t="shared" si="28"/>
        <v>0</v>
      </c>
      <c r="T56" s="72">
        <f t="shared" si="29"/>
        <v>0</v>
      </c>
      <c r="U56" s="72">
        <f t="shared" si="30"/>
        <v>0</v>
      </c>
      <c r="V56" s="72">
        <f t="shared" si="35"/>
        <v>0</v>
      </c>
      <c r="W56" s="72">
        <f t="shared" si="35"/>
        <v>0</v>
      </c>
      <c r="X56" s="72">
        <f t="shared" si="35"/>
        <v>0</v>
      </c>
      <c r="Z56" s="72">
        <f t="shared" si="6"/>
        <v>0</v>
      </c>
      <c r="AA56" s="72">
        <f t="shared" si="7"/>
        <v>0</v>
      </c>
      <c r="AB56" s="72">
        <f t="shared" si="8"/>
        <v>0</v>
      </c>
      <c r="AC56" s="72">
        <f t="shared" si="9"/>
        <v>0</v>
      </c>
      <c r="AD56" s="72">
        <f t="shared" si="10"/>
        <v>0</v>
      </c>
      <c r="AE56" s="72">
        <f t="shared" si="11"/>
        <v>0</v>
      </c>
      <c r="AF56" s="72">
        <f t="shared" si="12"/>
        <v>0</v>
      </c>
      <c r="AG56" s="72">
        <f t="shared" si="13"/>
        <v>0</v>
      </c>
      <c r="AH56" s="72">
        <f t="shared" si="14"/>
        <v>0</v>
      </c>
      <c r="AI56" s="72">
        <f t="shared" si="15"/>
        <v>0</v>
      </c>
      <c r="AJ56" s="72">
        <f t="shared" si="16"/>
        <v>0</v>
      </c>
      <c r="AK56" s="72">
        <f t="shared" si="17"/>
        <v>0</v>
      </c>
      <c r="AL56" s="72">
        <f t="shared" si="18"/>
        <v>0</v>
      </c>
      <c r="AM56" s="72">
        <f t="shared" si="18"/>
        <v>0</v>
      </c>
      <c r="AN56" s="72">
        <f t="shared" si="18"/>
        <v>0</v>
      </c>
    </row>
    <row r="57" spans="2:47" ht="11.25" hidden="1" customHeight="1">
      <c r="B57" s="60"/>
      <c r="C57" s="62"/>
      <c r="D57" s="79"/>
      <c r="E57" s="56"/>
      <c r="F57" s="76"/>
      <c r="G57" s="77">
        <f t="shared" si="3"/>
        <v>0</v>
      </c>
      <c r="H57" s="78">
        <f t="shared" si="4"/>
        <v>0</v>
      </c>
      <c r="I57" s="481"/>
      <c r="J57" s="72">
        <f t="shared" si="19"/>
        <v>0</v>
      </c>
      <c r="K57" s="72">
        <f t="shared" si="20"/>
        <v>0</v>
      </c>
      <c r="L57" s="72">
        <f t="shared" si="21"/>
        <v>0</v>
      </c>
      <c r="M57" s="72">
        <f t="shared" si="22"/>
        <v>0</v>
      </c>
      <c r="N57" s="72">
        <f t="shared" si="23"/>
        <v>0</v>
      </c>
      <c r="O57" s="72">
        <f t="shared" si="24"/>
        <v>0</v>
      </c>
      <c r="P57" s="72">
        <f t="shared" si="25"/>
        <v>0</v>
      </c>
      <c r="Q57" s="72">
        <f t="shared" si="26"/>
        <v>0</v>
      </c>
      <c r="R57" s="72">
        <f t="shared" si="27"/>
        <v>0</v>
      </c>
      <c r="S57" s="72">
        <f t="shared" si="28"/>
        <v>0</v>
      </c>
      <c r="T57" s="72">
        <f t="shared" si="29"/>
        <v>0</v>
      </c>
      <c r="U57" s="72">
        <f t="shared" si="30"/>
        <v>0</v>
      </c>
      <c r="V57" s="72">
        <f t="shared" si="35"/>
        <v>0</v>
      </c>
      <c r="W57" s="72">
        <f t="shared" si="35"/>
        <v>0</v>
      </c>
      <c r="X57" s="72">
        <f t="shared" si="35"/>
        <v>0</v>
      </c>
      <c r="Z57" s="72">
        <f t="shared" si="6"/>
        <v>0</v>
      </c>
      <c r="AA57" s="72">
        <f t="shared" si="7"/>
        <v>0</v>
      </c>
      <c r="AB57" s="72">
        <f t="shared" si="8"/>
        <v>0</v>
      </c>
      <c r="AC57" s="72">
        <f t="shared" si="9"/>
        <v>0</v>
      </c>
      <c r="AD57" s="72">
        <f t="shared" si="10"/>
        <v>0</v>
      </c>
      <c r="AE57" s="72">
        <f t="shared" si="11"/>
        <v>0</v>
      </c>
      <c r="AF57" s="72">
        <f t="shared" si="12"/>
        <v>0</v>
      </c>
      <c r="AG57" s="72">
        <f t="shared" si="13"/>
        <v>0</v>
      </c>
      <c r="AH57" s="72">
        <f t="shared" si="14"/>
        <v>0</v>
      </c>
      <c r="AI57" s="72">
        <f t="shared" si="15"/>
        <v>0</v>
      </c>
      <c r="AJ57" s="72">
        <f t="shared" si="16"/>
        <v>0</v>
      </c>
      <c r="AK57" s="72">
        <f t="shared" si="17"/>
        <v>0</v>
      </c>
      <c r="AL57" s="72">
        <f t="shared" si="18"/>
        <v>0</v>
      </c>
      <c r="AM57" s="72">
        <f t="shared" si="18"/>
        <v>0</v>
      </c>
      <c r="AN57" s="72">
        <f t="shared" si="18"/>
        <v>0</v>
      </c>
    </row>
    <row r="58" spans="2:47" hidden="1">
      <c r="B58" s="60"/>
      <c r="C58" s="62"/>
      <c r="D58" s="79"/>
      <c r="E58" s="56"/>
      <c r="F58" s="76"/>
      <c r="G58" s="77">
        <f t="shared" si="3"/>
        <v>0</v>
      </c>
      <c r="H58" s="78">
        <f t="shared" si="4"/>
        <v>0</v>
      </c>
      <c r="I58" s="481"/>
      <c r="J58" s="72">
        <f t="shared" si="19"/>
        <v>0</v>
      </c>
      <c r="K58" s="72">
        <f t="shared" si="20"/>
        <v>0</v>
      </c>
      <c r="L58" s="72">
        <f t="shared" si="21"/>
        <v>0</v>
      </c>
      <c r="M58" s="72">
        <f t="shared" si="22"/>
        <v>0</v>
      </c>
      <c r="N58" s="72">
        <f t="shared" si="23"/>
        <v>0</v>
      </c>
      <c r="O58" s="72">
        <f t="shared" si="24"/>
        <v>0</v>
      </c>
      <c r="P58" s="72">
        <f t="shared" si="25"/>
        <v>0</v>
      </c>
      <c r="Q58" s="72">
        <f t="shared" si="26"/>
        <v>0</v>
      </c>
      <c r="R58" s="72">
        <f t="shared" si="27"/>
        <v>0</v>
      </c>
      <c r="S58" s="72">
        <f t="shared" si="28"/>
        <v>0</v>
      </c>
      <c r="T58" s="72">
        <f t="shared" si="29"/>
        <v>0</v>
      </c>
      <c r="U58" s="72">
        <f t="shared" si="30"/>
        <v>0</v>
      </c>
      <c r="V58" s="72">
        <f t="shared" si="35"/>
        <v>0</v>
      </c>
      <c r="W58" s="72">
        <f t="shared" si="35"/>
        <v>0</v>
      </c>
      <c r="X58" s="72">
        <f t="shared" si="35"/>
        <v>0</v>
      </c>
      <c r="Z58" s="72">
        <f t="shared" si="6"/>
        <v>0</v>
      </c>
      <c r="AA58" s="72">
        <f t="shared" si="7"/>
        <v>0</v>
      </c>
      <c r="AB58" s="72">
        <f t="shared" si="8"/>
        <v>0</v>
      </c>
      <c r="AC58" s="72">
        <f t="shared" si="9"/>
        <v>0</v>
      </c>
      <c r="AD58" s="72">
        <f t="shared" si="10"/>
        <v>0</v>
      </c>
      <c r="AE58" s="72">
        <f t="shared" si="11"/>
        <v>0</v>
      </c>
      <c r="AF58" s="72">
        <f t="shared" si="12"/>
        <v>0</v>
      </c>
      <c r="AG58" s="72">
        <f t="shared" si="13"/>
        <v>0</v>
      </c>
      <c r="AH58" s="72">
        <f t="shared" si="14"/>
        <v>0</v>
      </c>
      <c r="AI58" s="72">
        <f t="shared" si="15"/>
        <v>0</v>
      </c>
      <c r="AJ58" s="72">
        <f t="shared" si="16"/>
        <v>0</v>
      </c>
      <c r="AK58" s="72">
        <f t="shared" si="17"/>
        <v>0</v>
      </c>
      <c r="AL58" s="72">
        <f t="shared" si="18"/>
        <v>0</v>
      </c>
      <c r="AM58" s="72">
        <f t="shared" si="18"/>
        <v>0</v>
      </c>
      <c r="AN58" s="72">
        <f t="shared" si="18"/>
        <v>0</v>
      </c>
    </row>
    <row r="59" spans="2:47" hidden="1">
      <c r="B59" s="60"/>
      <c r="C59" s="62"/>
      <c r="D59" s="79"/>
      <c r="E59" s="56"/>
      <c r="F59" s="76"/>
      <c r="G59" s="77">
        <f t="shared" si="3"/>
        <v>0</v>
      </c>
      <c r="H59" s="78">
        <f t="shared" si="4"/>
        <v>0</v>
      </c>
      <c r="I59" s="481"/>
      <c r="J59" s="72">
        <f t="shared" si="19"/>
        <v>0</v>
      </c>
      <c r="K59" s="72">
        <f t="shared" si="20"/>
        <v>0</v>
      </c>
      <c r="L59" s="72">
        <f t="shared" si="21"/>
        <v>0</v>
      </c>
      <c r="M59" s="72">
        <f t="shared" si="22"/>
        <v>0</v>
      </c>
      <c r="N59" s="72">
        <f t="shared" si="23"/>
        <v>0</v>
      </c>
      <c r="O59" s="72">
        <f t="shared" si="24"/>
        <v>0</v>
      </c>
      <c r="P59" s="72">
        <f t="shared" si="25"/>
        <v>0</v>
      </c>
      <c r="Q59" s="72">
        <f t="shared" si="26"/>
        <v>0</v>
      </c>
      <c r="R59" s="72">
        <f t="shared" si="27"/>
        <v>0</v>
      </c>
      <c r="S59" s="72">
        <f t="shared" si="28"/>
        <v>0</v>
      </c>
      <c r="T59" s="72">
        <f t="shared" si="29"/>
        <v>0</v>
      </c>
      <c r="U59" s="72">
        <f t="shared" si="30"/>
        <v>0</v>
      </c>
      <c r="V59" s="72">
        <f t="shared" si="35"/>
        <v>0</v>
      </c>
      <c r="W59" s="72">
        <f t="shared" si="35"/>
        <v>0</v>
      </c>
      <c r="X59" s="72">
        <f t="shared" si="35"/>
        <v>0</v>
      </c>
      <c r="Z59" s="72">
        <f t="shared" si="6"/>
        <v>0</v>
      </c>
      <c r="AA59" s="72">
        <f t="shared" si="7"/>
        <v>0</v>
      </c>
      <c r="AB59" s="72">
        <f t="shared" si="8"/>
        <v>0</v>
      </c>
      <c r="AC59" s="72">
        <f t="shared" si="9"/>
        <v>0</v>
      </c>
      <c r="AD59" s="72">
        <f t="shared" si="10"/>
        <v>0</v>
      </c>
      <c r="AE59" s="72">
        <f t="shared" si="11"/>
        <v>0</v>
      </c>
      <c r="AF59" s="72">
        <f t="shared" si="12"/>
        <v>0</v>
      </c>
      <c r="AG59" s="72">
        <f t="shared" si="13"/>
        <v>0</v>
      </c>
      <c r="AH59" s="72">
        <f t="shared" si="14"/>
        <v>0</v>
      </c>
      <c r="AI59" s="72">
        <f t="shared" si="15"/>
        <v>0</v>
      </c>
      <c r="AJ59" s="72">
        <f t="shared" si="16"/>
        <v>0</v>
      </c>
      <c r="AK59" s="72">
        <f t="shared" si="17"/>
        <v>0</v>
      </c>
      <c r="AL59" s="72">
        <f t="shared" si="18"/>
        <v>0</v>
      </c>
      <c r="AM59" s="72">
        <f t="shared" si="18"/>
        <v>0</v>
      </c>
      <c r="AN59" s="72">
        <f t="shared" si="18"/>
        <v>0</v>
      </c>
    </row>
    <row r="60" spans="2:47" hidden="1">
      <c r="B60" s="60"/>
      <c r="C60" s="62"/>
      <c r="D60" s="79"/>
      <c r="E60" s="56"/>
      <c r="F60" s="76"/>
      <c r="G60" s="77">
        <f t="shared" si="3"/>
        <v>0</v>
      </c>
      <c r="H60" s="78">
        <f t="shared" si="4"/>
        <v>0</v>
      </c>
      <c r="I60" s="481"/>
      <c r="J60" s="72">
        <f t="shared" si="19"/>
        <v>0</v>
      </c>
      <c r="K60" s="72">
        <f t="shared" si="20"/>
        <v>0</v>
      </c>
      <c r="L60" s="72">
        <f t="shared" si="21"/>
        <v>0</v>
      </c>
      <c r="M60" s="72">
        <f t="shared" si="22"/>
        <v>0</v>
      </c>
      <c r="N60" s="72">
        <f t="shared" si="23"/>
        <v>0</v>
      </c>
      <c r="O60" s="72">
        <f t="shared" si="24"/>
        <v>0</v>
      </c>
      <c r="P60" s="72">
        <f t="shared" si="25"/>
        <v>0</v>
      </c>
      <c r="Q60" s="72">
        <f t="shared" si="26"/>
        <v>0</v>
      </c>
      <c r="R60" s="72">
        <f t="shared" si="27"/>
        <v>0</v>
      </c>
      <c r="S60" s="72">
        <f t="shared" si="28"/>
        <v>0</v>
      </c>
      <c r="T60" s="72">
        <f t="shared" si="29"/>
        <v>0</v>
      </c>
      <c r="U60" s="72">
        <f t="shared" si="30"/>
        <v>0</v>
      </c>
      <c r="V60" s="72">
        <f t="shared" si="35"/>
        <v>0</v>
      </c>
      <c r="W60" s="72">
        <f t="shared" si="35"/>
        <v>0</v>
      </c>
      <c r="X60" s="72">
        <f t="shared" si="35"/>
        <v>0</v>
      </c>
      <c r="Z60" s="72">
        <f t="shared" si="6"/>
        <v>0</v>
      </c>
      <c r="AA60" s="72">
        <f t="shared" si="7"/>
        <v>0</v>
      </c>
      <c r="AB60" s="72">
        <f t="shared" si="8"/>
        <v>0</v>
      </c>
      <c r="AC60" s="72">
        <f t="shared" si="9"/>
        <v>0</v>
      </c>
      <c r="AD60" s="72">
        <f t="shared" si="10"/>
        <v>0</v>
      </c>
      <c r="AE60" s="72">
        <f t="shared" si="11"/>
        <v>0</v>
      </c>
      <c r="AF60" s="72">
        <f t="shared" si="12"/>
        <v>0</v>
      </c>
      <c r="AG60" s="72">
        <f t="shared" si="13"/>
        <v>0</v>
      </c>
      <c r="AH60" s="72">
        <f t="shared" si="14"/>
        <v>0</v>
      </c>
      <c r="AI60" s="72">
        <f t="shared" si="15"/>
        <v>0</v>
      </c>
      <c r="AJ60" s="72">
        <f t="shared" si="16"/>
        <v>0</v>
      </c>
      <c r="AK60" s="72">
        <f t="shared" si="17"/>
        <v>0</v>
      </c>
      <c r="AL60" s="72">
        <f t="shared" si="18"/>
        <v>0</v>
      </c>
      <c r="AM60" s="72">
        <f t="shared" si="18"/>
        <v>0</v>
      </c>
      <c r="AN60" s="72">
        <f t="shared" si="18"/>
        <v>0</v>
      </c>
    </row>
    <row r="61" spans="2:47" hidden="1">
      <c r="B61" s="60"/>
      <c r="C61" s="62"/>
      <c r="D61" s="79"/>
      <c r="E61" s="56"/>
      <c r="F61" s="76"/>
      <c r="G61" s="77">
        <f t="shared" si="3"/>
        <v>0</v>
      </c>
      <c r="H61" s="78">
        <f t="shared" si="4"/>
        <v>0</v>
      </c>
      <c r="I61" s="481"/>
      <c r="J61" s="72">
        <f t="shared" si="19"/>
        <v>0</v>
      </c>
      <c r="K61" s="72">
        <f t="shared" si="20"/>
        <v>0</v>
      </c>
      <c r="L61" s="72">
        <f t="shared" si="21"/>
        <v>0</v>
      </c>
      <c r="M61" s="72">
        <f t="shared" si="22"/>
        <v>0</v>
      </c>
      <c r="N61" s="72">
        <f t="shared" si="23"/>
        <v>0</v>
      </c>
      <c r="O61" s="72">
        <f t="shared" si="24"/>
        <v>0</v>
      </c>
      <c r="P61" s="72">
        <f t="shared" si="25"/>
        <v>0</v>
      </c>
      <c r="Q61" s="72">
        <f t="shared" si="26"/>
        <v>0</v>
      </c>
      <c r="R61" s="72">
        <f t="shared" si="27"/>
        <v>0</v>
      </c>
      <c r="S61" s="72">
        <f t="shared" si="28"/>
        <v>0</v>
      </c>
      <c r="T61" s="72">
        <f t="shared" si="29"/>
        <v>0</v>
      </c>
      <c r="U61" s="72">
        <f t="shared" si="30"/>
        <v>0</v>
      </c>
      <c r="V61" s="72">
        <f t="shared" si="35"/>
        <v>0</v>
      </c>
      <c r="W61" s="72">
        <f t="shared" si="35"/>
        <v>0</v>
      </c>
      <c r="X61" s="72">
        <f t="shared" si="35"/>
        <v>0</v>
      </c>
      <c r="Z61" s="72">
        <f t="shared" si="6"/>
        <v>0</v>
      </c>
      <c r="AA61" s="72">
        <f t="shared" si="7"/>
        <v>0</v>
      </c>
      <c r="AB61" s="72">
        <f t="shared" si="8"/>
        <v>0</v>
      </c>
      <c r="AC61" s="72">
        <f t="shared" si="9"/>
        <v>0</v>
      </c>
      <c r="AD61" s="72">
        <f t="shared" si="10"/>
        <v>0</v>
      </c>
      <c r="AE61" s="72">
        <f t="shared" si="11"/>
        <v>0</v>
      </c>
      <c r="AF61" s="72">
        <f t="shared" si="12"/>
        <v>0</v>
      </c>
      <c r="AG61" s="72">
        <f t="shared" si="13"/>
        <v>0</v>
      </c>
      <c r="AH61" s="72">
        <f t="shared" si="14"/>
        <v>0</v>
      </c>
      <c r="AI61" s="72">
        <f t="shared" si="15"/>
        <v>0</v>
      </c>
      <c r="AJ61" s="72">
        <f t="shared" si="16"/>
        <v>0</v>
      </c>
      <c r="AK61" s="72">
        <f t="shared" si="17"/>
        <v>0</v>
      </c>
      <c r="AL61" s="72">
        <f t="shared" si="18"/>
        <v>0</v>
      </c>
      <c r="AM61" s="72">
        <f t="shared" si="18"/>
        <v>0</v>
      </c>
      <c r="AN61" s="72">
        <f t="shared" si="18"/>
        <v>0</v>
      </c>
    </row>
    <row r="62" spans="2:47" ht="17.25" hidden="1" thickBot="1">
      <c r="B62" s="100"/>
      <c r="C62" s="84"/>
      <c r="D62" s="171"/>
      <c r="E62" s="86"/>
      <c r="F62" s="163"/>
      <c r="G62" s="161">
        <f t="shared" si="3"/>
        <v>0</v>
      </c>
      <c r="H62" s="162">
        <f t="shared" si="4"/>
        <v>0</v>
      </c>
      <c r="I62" s="481"/>
      <c r="J62" s="72">
        <f t="shared" si="19"/>
        <v>0</v>
      </c>
      <c r="K62" s="72">
        <f t="shared" si="20"/>
        <v>0</v>
      </c>
      <c r="L62" s="72">
        <f t="shared" si="21"/>
        <v>0</v>
      </c>
      <c r="M62" s="72">
        <f t="shared" si="22"/>
        <v>0</v>
      </c>
      <c r="N62" s="72">
        <f t="shared" si="23"/>
        <v>0</v>
      </c>
      <c r="O62" s="72">
        <f t="shared" si="24"/>
        <v>0</v>
      </c>
      <c r="P62" s="72">
        <f t="shared" si="25"/>
        <v>0</v>
      </c>
      <c r="Q62" s="72">
        <f t="shared" si="26"/>
        <v>0</v>
      </c>
      <c r="R62" s="72">
        <f t="shared" si="27"/>
        <v>0</v>
      </c>
      <c r="S62" s="72">
        <f t="shared" si="28"/>
        <v>0</v>
      </c>
      <c r="T62" s="72">
        <f t="shared" si="29"/>
        <v>0</v>
      </c>
      <c r="U62" s="72">
        <f t="shared" si="30"/>
        <v>0</v>
      </c>
      <c r="V62" s="72">
        <f t="shared" si="35"/>
        <v>0</v>
      </c>
      <c r="W62" s="72">
        <f t="shared" si="35"/>
        <v>0</v>
      </c>
      <c r="X62" s="72">
        <f t="shared" si="35"/>
        <v>0</v>
      </c>
      <c r="Z62" s="72">
        <f t="shared" si="6"/>
        <v>0</v>
      </c>
      <c r="AA62" s="72">
        <f t="shared" si="7"/>
        <v>0</v>
      </c>
      <c r="AB62" s="72">
        <f t="shared" si="8"/>
        <v>0</v>
      </c>
      <c r="AC62" s="72">
        <f t="shared" si="9"/>
        <v>0</v>
      </c>
      <c r="AD62" s="72">
        <f t="shared" si="10"/>
        <v>0</v>
      </c>
      <c r="AE62" s="72">
        <f t="shared" si="11"/>
        <v>0</v>
      </c>
      <c r="AF62" s="72">
        <f t="shared" si="12"/>
        <v>0</v>
      </c>
      <c r="AG62" s="72">
        <f t="shared" si="13"/>
        <v>0</v>
      </c>
      <c r="AH62" s="72">
        <f t="shared" si="14"/>
        <v>0</v>
      </c>
      <c r="AI62" s="72">
        <f t="shared" si="15"/>
        <v>0</v>
      </c>
      <c r="AJ62" s="72">
        <f t="shared" si="16"/>
        <v>0</v>
      </c>
      <c r="AK62" s="72">
        <f t="shared" si="17"/>
        <v>0</v>
      </c>
      <c r="AL62" s="72">
        <f t="shared" si="18"/>
        <v>0</v>
      </c>
      <c r="AM62" s="72">
        <f t="shared" si="18"/>
        <v>0</v>
      </c>
      <c r="AN62" s="72">
        <f t="shared" si="18"/>
        <v>0</v>
      </c>
    </row>
    <row r="63" spans="2:47" ht="17.25" thickBot="1">
      <c r="C63" s="853" t="s">
        <v>45</v>
      </c>
      <c r="D63" s="854"/>
      <c r="E63" s="63">
        <f>SUM(E3:E62)</f>
        <v>1340.6100000000001</v>
      </c>
      <c r="F63" s="69"/>
      <c r="G63" s="64">
        <f>SUM(G3:G62)</f>
        <v>252.67500000000001</v>
      </c>
      <c r="H63" s="65">
        <f>SUM(H3:H62)</f>
        <v>1087.9349999999999</v>
      </c>
      <c r="I63" s="483"/>
      <c r="J63" s="73">
        <f>SUM(J3:J62)</f>
        <v>0</v>
      </c>
      <c r="K63" s="73">
        <f t="shared" ref="K63:X63" si="36">SUM(K3:K62)</f>
        <v>75</v>
      </c>
      <c r="L63" s="73">
        <f t="shared" si="36"/>
        <v>221.70999999999998</v>
      </c>
      <c r="M63" s="73">
        <f t="shared" si="36"/>
        <v>0</v>
      </c>
      <c r="N63" s="73">
        <f t="shared" si="36"/>
        <v>58.66</v>
      </c>
      <c r="O63" s="73">
        <f t="shared" si="36"/>
        <v>0</v>
      </c>
      <c r="P63" s="73">
        <f t="shared" si="36"/>
        <v>0</v>
      </c>
      <c r="Q63" s="73">
        <f t="shared" si="36"/>
        <v>0</v>
      </c>
      <c r="R63" s="73">
        <f t="shared" si="36"/>
        <v>290.54500000000002</v>
      </c>
      <c r="S63" s="73">
        <f t="shared" si="36"/>
        <v>48.599999999999994</v>
      </c>
      <c r="T63" s="73">
        <f t="shared" si="36"/>
        <v>60.67</v>
      </c>
      <c r="U63" s="73">
        <f t="shared" si="36"/>
        <v>0</v>
      </c>
      <c r="V63" s="73">
        <f t="shared" si="36"/>
        <v>32.869999999999997</v>
      </c>
      <c r="W63" s="73">
        <f t="shared" si="36"/>
        <v>299.88</v>
      </c>
      <c r="X63" s="73">
        <f t="shared" si="36"/>
        <v>0</v>
      </c>
      <c r="Y63" s="73"/>
      <c r="Z63" s="73">
        <f>SUM(Z3:Z62)</f>
        <v>0</v>
      </c>
      <c r="AA63" s="73">
        <f t="shared" ref="AA63:AN63" si="37">SUM(AA3:AA62)</f>
        <v>75</v>
      </c>
      <c r="AB63" s="73">
        <f t="shared" si="37"/>
        <v>0</v>
      </c>
      <c r="AC63" s="73">
        <f t="shared" si="37"/>
        <v>0</v>
      </c>
      <c r="AD63" s="73">
        <f t="shared" si="37"/>
        <v>117.31</v>
      </c>
      <c r="AE63" s="73">
        <f t="shared" si="37"/>
        <v>0</v>
      </c>
      <c r="AF63" s="73">
        <f t="shared" si="37"/>
        <v>0</v>
      </c>
      <c r="AG63" s="73">
        <f t="shared" si="37"/>
        <v>0</v>
      </c>
      <c r="AH63" s="73">
        <f t="shared" si="37"/>
        <v>60.365000000000002</v>
      </c>
      <c r="AI63" s="73">
        <f t="shared" si="37"/>
        <v>0</v>
      </c>
      <c r="AJ63" s="73">
        <f t="shared" si="37"/>
        <v>0</v>
      </c>
      <c r="AK63" s="73">
        <f t="shared" si="37"/>
        <v>0</v>
      </c>
      <c r="AL63" s="73">
        <f t="shared" si="37"/>
        <v>0</v>
      </c>
      <c r="AM63" s="73">
        <f t="shared" si="37"/>
        <v>0</v>
      </c>
      <c r="AN63" s="73">
        <f t="shared" si="37"/>
        <v>0</v>
      </c>
      <c r="AO63" s="73"/>
      <c r="AP63" s="73"/>
    </row>
    <row r="64" spans="2:47">
      <c r="H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Z64" s="59"/>
      <c r="AA64" s="59"/>
      <c r="AB64" s="59"/>
      <c r="AC64" s="59"/>
      <c r="AD64" s="59"/>
      <c r="AE64" s="59"/>
      <c r="AF64" s="59"/>
      <c r="AG64" s="59"/>
      <c r="AH64" s="59"/>
      <c r="AI64" s="59"/>
    </row>
    <row r="70" spans="5:6">
      <c r="E70" s="59"/>
      <c r="F70" s="70"/>
    </row>
  </sheetData>
  <mergeCells count="7">
    <mergeCell ref="AR18:AT18"/>
    <mergeCell ref="C63:D63"/>
    <mergeCell ref="AV23:AW23"/>
    <mergeCell ref="AY23:AZ23"/>
    <mergeCell ref="AS25:AT25"/>
    <mergeCell ref="AS27:AT28"/>
    <mergeCell ref="B19:H34"/>
  </mergeCells>
  <dataValidations count="4">
    <dataValidation type="list" allowBlank="1" showInputMessage="1" showErrorMessage="1" sqref="F3:F18 F35:F62">
      <formula1>$AQ$17:$AQ$19</formula1>
    </dataValidation>
    <dataValidation type="list" allowBlank="1" showInputMessage="1" showErrorMessage="1" sqref="D9:D18 D35:D62">
      <formula1>$AQ$2:$AQ$16</formula1>
    </dataValidation>
    <dataValidation type="list" allowBlank="1" showInputMessage="1" showErrorMessage="1" sqref="D3:D5">
      <formula1>$AH$2:$AH$12</formula1>
    </dataValidation>
    <dataValidation type="list" allowBlank="1" showInputMessage="1" showErrorMessage="1" sqref="D6:D8">
      <formula1>$AQ$2:$AQ$12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B1:AZ70"/>
  <sheetViews>
    <sheetView workbookViewId="0">
      <selection activeCell="B18" sqref="B18:H34"/>
    </sheetView>
  </sheetViews>
  <sheetFormatPr defaultRowHeight="16.5"/>
  <cols>
    <col min="1" max="1" width="1" style="55" customWidth="1"/>
    <col min="2" max="2" width="6.5703125" style="134" bestFit="1" customWidth="1"/>
    <col min="3" max="3" width="16.7109375" style="55" customWidth="1"/>
    <col min="4" max="4" width="17.5703125" style="55" customWidth="1"/>
    <col min="5" max="5" width="13.7109375" style="55" customWidth="1"/>
    <col min="6" max="6" width="13.7109375" style="134" customWidth="1"/>
    <col min="7" max="8" width="13.7109375" style="55" customWidth="1"/>
    <col min="9" max="9" width="8.42578125" style="479" customWidth="1"/>
    <col min="10" max="10" width="13.5703125" style="55" hidden="1" customWidth="1"/>
    <col min="11" max="11" width="7.85546875" style="55" hidden="1" customWidth="1"/>
    <col min="12" max="12" width="7.42578125" style="55" hidden="1" customWidth="1"/>
    <col min="13" max="13" width="9.7109375" style="55" hidden="1" customWidth="1"/>
    <col min="14" max="14" width="7.42578125" style="55" hidden="1" customWidth="1"/>
    <col min="15" max="15" width="14.5703125" style="55" hidden="1" customWidth="1"/>
    <col min="16" max="16" width="16.85546875" style="55" hidden="1" customWidth="1"/>
    <col min="17" max="17" width="7.7109375" style="55" hidden="1" customWidth="1"/>
    <col min="18" max="18" width="8.85546875" style="55" hidden="1" customWidth="1"/>
    <col min="19" max="19" width="8" style="55" hidden="1" customWidth="1"/>
    <col min="20" max="20" width="7.42578125" style="55" hidden="1" customWidth="1"/>
    <col min="21" max="21" width="2" style="55" hidden="1" customWidth="1"/>
    <col min="22" max="22" width="9.7109375" style="55" hidden="1" customWidth="1"/>
    <col min="23" max="24" width="7.42578125" style="55" hidden="1" customWidth="1"/>
    <col min="25" max="25" width="1.7109375" style="55" hidden="1" customWidth="1"/>
    <col min="26" max="26" width="13.5703125" style="55" hidden="1" customWidth="1"/>
    <col min="27" max="27" width="7.85546875" style="55" hidden="1" customWidth="1"/>
    <col min="28" max="28" width="7.42578125" style="55" hidden="1" customWidth="1"/>
    <col min="29" max="29" width="9.7109375" style="55" hidden="1" customWidth="1"/>
    <col min="30" max="30" width="7.42578125" style="55" hidden="1" customWidth="1"/>
    <col min="31" max="31" width="14.5703125" style="55" hidden="1" customWidth="1"/>
    <col min="32" max="32" width="16.85546875" style="55" hidden="1" customWidth="1"/>
    <col min="33" max="33" width="7.7109375" style="55" hidden="1" customWidth="1"/>
    <col min="34" max="34" width="8.85546875" style="55" hidden="1" customWidth="1"/>
    <col min="35" max="35" width="8" style="55" hidden="1" customWidth="1"/>
    <col min="36" max="36" width="7.42578125" style="55" hidden="1" customWidth="1"/>
    <col min="37" max="37" width="13.42578125" style="55" hidden="1" customWidth="1"/>
    <col min="38" max="38" width="10.28515625" style="450" hidden="1" customWidth="1"/>
    <col min="39" max="40" width="7.42578125" style="55" hidden="1" customWidth="1"/>
    <col min="41" max="41" width="4" style="55" hidden="1" customWidth="1"/>
    <col min="42" max="42" width="4.42578125" style="55" customWidth="1"/>
    <col min="43" max="43" width="16.85546875" style="55" bestFit="1" customWidth="1"/>
    <col min="44" max="47" width="12.7109375" style="55" customWidth="1"/>
    <col min="48" max="48" width="8.28515625" style="55" bestFit="1" customWidth="1"/>
    <col min="49" max="49" width="10.5703125" style="55" bestFit="1" customWidth="1"/>
    <col min="50" max="50" width="3.28515625" style="55" customWidth="1"/>
    <col min="51" max="51" width="18.42578125" style="55" bestFit="1" customWidth="1"/>
    <col min="52" max="52" width="11.7109375" style="55" bestFit="1" customWidth="1"/>
    <col min="53" max="16384" width="9.140625" style="55"/>
  </cols>
  <sheetData>
    <row r="1" spans="2:51" ht="17.25" thickBot="1">
      <c r="AR1" s="134" t="s">
        <v>66</v>
      </c>
      <c r="AS1" s="134" t="s">
        <v>67</v>
      </c>
      <c r="AT1" s="81" t="s">
        <v>65</v>
      </c>
      <c r="AV1" s="134"/>
    </row>
    <row r="2" spans="2:51" ht="17.25" thickBot="1">
      <c r="B2" s="68" t="s">
        <v>1</v>
      </c>
      <c r="C2" s="66" t="s">
        <v>0</v>
      </c>
      <c r="D2" s="66" t="s">
        <v>63</v>
      </c>
      <c r="E2" s="66" t="s">
        <v>2</v>
      </c>
      <c r="F2" s="66" t="s">
        <v>64</v>
      </c>
      <c r="G2" s="66" t="s">
        <v>3</v>
      </c>
      <c r="H2" s="67" t="s">
        <v>4</v>
      </c>
      <c r="I2" s="480"/>
      <c r="J2" s="75" t="s">
        <v>57</v>
      </c>
      <c r="K2" s="74" t="s">
        <v>51</v>
      </c>
      <c r="L2" s="74" t="s">
        <v>120</v>
      </c>
      <c r="M2" s="74" t="s">
        <v>36</v>
      </c>
      <c r="N2" s="74" t="s">
        <v>56</v>
      </c>
      <c r="O2" s="74" t="s">
        <v>125</v>
      </c>
      <c r="P2" s="74" t="s">
        <v>54</v>
      </c>
      <c r="Q2" s="74" t="s">
        <v>59</v>
      </c>
      <c r="R2" s="74" t="s">
        <v>40</v>
      </c>
      <c r="S2" s="74" t="s">
        <v>55</v>
      </c>
      <c r="T2" s="74" t="s">
        <v>58</v>
      </c>
      <c r="U2" s="74" t="s">
        <v>52</v>
      </c>
      <c r="V2" s="451" t="str">
        <f>AQ14</f>
        <v>ESTUDOS</v>
      </c>
      <c r="W2" s="74" t="str">
        <f>AQ15</f>
        <v>MALU</v>
      </c>
      <c r="X2" s="74">
        <f>AQ16</f>
        <v>0</v>
      </c>
      <c r="Z2" s="75" t="s">
        <v>57</v>
      </c>
      <c r="AA2" s="74" t="s">
        <v>51</v>
      </c>
      <c r="AB2" s="74" t="s">
        <v>120</v>
      </c>
      <c r="AC2" s="74" t="s">
        <v>36</v>
      </c>
      <c r="AD2" s="74" t="s">
        <v>56</v>
      </c>
      <c r="AE2" s="74" t="s">
        <v>125</v>
      </c>
      <c r="AF2" s="74" t="s">
        <v>54</v>
      </c>
      <c r="AG2" s="74" t="s">
        <v>59</v>
      </c>
      <c r="AH2" s="74" t="s">
        <v>40</v>
      </c>
      <c r="AI2" s="74" t="s">
        <v>55</v>
      </c>
      <c r="AJ2" s="74" t="s">
        <v>58</v>
      </c>
      <c r="AK2" s="74" t="s">
        <v>52</v>
      </c>
      <c r="AL2" s="451" t="str">
        <f>AQ14</f>
        <v>ESTUDOS</v>
      </c>
      <c r="AM2" s="74" t="str">
        <f>AQ15</f>
        <v>MALU</v>
      </c>
      <c r="AN2" s="74">
        <f>AQ16</f>
        <v>0</v>
      </c>
      <c r="AO2" s="74"/>
      <c r="AP2" s="74"/>
      <c r="AQ2" s="71" t="s">
        <v>57</v>
      </c>
      <c r="AR2" s="97">
        <f t="shared" ref="AR2:AR16" si="0">AT2+AS2</f>
        <v>0</v>
      </c>
      <c r="AS2" s="58">
        <f>Z63</f>
        <v>0</v>
      </c>
      <c r="AT2" s="58">
        <f>J63</f>
        <v>0</v>
      </c>
    </row>
    <row r="3" spans="2:51">
      <c r="B3" s="60">
        <v>20</v>
      </c>
      <c r="C3" s="62" t="s">
        <v>532</v>
      </c>
      <c r="D3" s="79" t="s">
        <v>55</v>
      </c>
      <c r="E3" s="56">
        <v>29.7</v>
      </c>
      <c r="F3" s="76" t="s">
        <v>65</v>
      </c>
      <c r="G3" s="157">
        <f>IF(F3="MARCIA",E3,IF(F3="AMBOS",E3/2,0))</f>
        <v>0</v>
      </c>
      <c r="H3" s="158">
        <f>IF(F3="LUCIANO",E3,IF(F3="AMBOS",E3/2,0))</f>
        <v>29.7</v>
      </c>
      <c r="I3" s="481" t="s">
        <v>533</v>
      </c>
      <c r="J3" s="72">
        <f>IF($D3="ALIMENTAÇÃO",$H3,0)</f>
        <v>0</v>
      </c>
      <c r="K3" s="72">
        <f>IF($D3="ANIMAIS",$H3,0)</f>
        <v>0</v>
      </c>
      <c r="L3" s="72">
        <f>IF($D3="FILHO",$H3,0)</f>
        <v>0</v>
      </c>
      <c r="M3" s="72">
        <f>IF($D3="GASOLINA",$H3,0)</f>
        <v>0</v>
      </c>
      <c r="N3" s="72">
        <f>IF($D3="LAZER",$H3,0)</f>
        <v>0</v>
      </c>
      <c r="O3" s="72">
        <f>IF($D3="MANUT. IMÓVEL",$H3,0)</f>
        <v>0</v>
      </c>
      <c r="P3" s="72">
        <f>IF($D3="MANUT. VEICULAR",$H3,0)</f>
        <v>0</v>
      </c>
      <c r="Q3" s="72">
        <f>IF($D3="MÓVEIS",$H3,0)</f>
        <v>0</v>
      </c>
      <c r="R3" s="72">
        <f>IF($D3="OUTROS",$H3,0)</f>
        <v>0</v>
      </c>
      <c r="S3" s="72">
        <f>IF($D3="PLANOS",$H3,0)</f>
        <v>29.7</v>
      </c>
      <c r="T3" s="72">
        <f>IF($D3="SAÚDE",$H3,0)</f>
        <v>0</v>
      </c>
      <c r="U3" s="72">
        <f>IF($D3="TRANSPORTE",$H3,0)</f>
        <v>0</v>
      </c>
      <c r="V3" s="72">
        <f>IF($D3=V$2,$H3,0)</f>
        <v>0</v>
      </c>
      <c r="W3" s="72">
        <f t="shared" ref="W3:X18" si="1">IF($D3=W$2,$H3,0)</f>
        <v>0</v>
      </c>
      <c r="X3" s="72">
        <f t="shared" si="1"/>
        <v>0</v>
      </c>
      <c r="Z3" s="72">
        <f>IF($D3="ALIMENTAÇÃO",$G3,0)</f>
        <v>0</v>
      </c>
      <c r="AA3" s="72">
        <f>IF($D3="ANIMAIS",$G3,0)</f>
        <v>0</v>
      </c>
      <c r="AB3" s="72">
        <f>IF($D3="FILHO",$G3,0)</f>
        <v>0</v>
      </c>
      <c r="AC3" s="72">
        <f>IF($D3="GASOLINA",$G3,0)</f>
        <v>0</v>
      </c>
      <c r="AD3" s="72">
        <f>IF($D3="LAZER",$G3,0)</f>
        <v>0</v>
      </c>
      <c r="AE3" s="72">
        <f>IF($D3="MANUT. IMÓVEL",$G3,0)</f>
        <v>0</v>
      </c>
      <c r="AF3" s="72">
        <f>IF($D3="MANUT. VEICULAR",$G3,0)</f>
        <v>0</v>
      </c>
      <c r="AG3" s="72">
        <f>IF($D3="MÓVEIS",$G3,0)</f>
        <v>0</v>
      </c>
      <c r="AH3" s="72">
        <f>IF($D3="OUTROS",$G3,0)</f>
        <v>0</v>
      </c>
      <c r="AI3" s="72">
        <f>IF($D3="PLANOS",$G3,0)</f>
        <v>0</v>
      </c>
      <c r="AJ3" s="72">
        <f>IF($D3="SAÚDE",$G3,0)</f>
        <v>0</v>
      </c>
      <c r="AK3" s="72">
        <f>IF($D3="TRANSPORTE",$G3,0)</f>
        <v>0</v>
      </c>
      <c r="AL3" s="72">
        <f>IF($D3=AL$2,$G3,0)</f>
        <v>0</v>
      </c>
      <c r="AM3" s="72">
        <f t="shared" ref="AM3:AN18" si="2">IF($D3=AM$2,$G3,0)</f>
        <v>0</v>
      </c>
      <c r="AN3" s="72">
        <f t="shared" si="2"/>
        <v>0</v>
      </c>
      <c r="AQ3" s="71" t="s">
        <v>51</v>
      </c>
      <c r="AR3" s="97">
        <f t="shared" si="0"/>
        <v>240</v>
      </c>
      <c r="AS3" s="58">
        <f>AA63</f>
        <v>120</v>
      </c>
      <c r="AT3" s="58">
        <f>K63</f>
        <v>120</v>
      </c>
      <c r="AY3" s="511" t="s">
        <v>388</v>
      </c>
    </row>
    <row r="4" spans="2:51">
      <c r="B4" s="60">
        <v>44964</v>
      </c>
      <c r="C4" s="62" t="s">
        <v>499</v>
      </c>
      <c r="D4" s="79" t="s">
        <v>55</v>
      </c>
      <c r="E4" s="56">
        <v>18.899999999999999</v>
      </c>
      <c r="F4" s="76" t="s">
        <v>65</v>
      </c>
      <c r="G4" s="77">
        <f t="shared" ref="G4:G17" si="3">IF(F4="MARCIA",E4,IF(F4="AMBOS",E4/2,0))</f>
        <v>0</v>
      </c>
      <c r="H4" s="78">
        <f t="shared" ref="H4:H17" si="4">IF(F4="LUCIANO",E4,IF(F4="AMBOS",E4/2,0))</f>
        <v>18.899999999999999</v>
      </c>
      <c r="I4" s="481" t="s">
        <v>533</v>
      </c>
      <c r="J4" s="72">
        <f>IF($D4="ALIMENTAÇÃO",$H4,0)</f>
        <v>0</v>
      </c>
      <c r="K4" s="72">
        <f>IF($D4="ANIMAIS",$H4,0)</f>
        <v>0</v>
      </c>
      <c r="L4" s="72">
        <f>IF($D4="FILHO",$H4,0)</f>
        <v>0</v>
      </c>
      <c r="M4" s="72">
        <f>IF($D4="GASOLINA",$H4,0)</f>
        <v>0</v>
      </c>
      <c r="N4" s="72">
        <f>IF($D4="LAZER",$H4,0)</f>
        <v>0</v>
      </c>
      <c r="O4" s="72">
        <f>IF($D4="MANUT. IMÓVEL",$H4,0)</f>
        <v>0</v>
      </c>
      <c r="P4" s="72">
        <f>IF($D4="MANUT. VEICULAR",$H4,0)</f>
        <v>0</v>
      </c>
      <c r="Q4" s="72">
        <f>IF($D4="MÓVEIS",$H4,0)</f>
        <v>0</v>
      </c>
      <c r="R4" s="72">
        <f>IF($D4="OUTROS",$H4,0)</f>
        <v>0</v>
      </c>
      <c r="S4" s="72">
        <f>IF($D4="PLANOS",$H4,0)</f>
        <v>18.899999999999999</v>
      </c>
      <c r="T4" s="72">
        <f>IF($D4="SAÚDE",$H4,0)</f>
        <v>0</v>
      </c>
      <c r="U4" s="72">
        <f>IF($D4="TRANSPORTE",$H4,0)</f>
        <v>0</v>
      </c>
      <c r="V4" s="72">
        <f t="shared" ref="V4:X35" si="5">IF($D4=V$2,$H4,0)</f>
        <v>0</v>
      </c>
      <c r="W4" s="72">
        <f t="shared" si="1"/>
        <v>0</v>
      </c>
      <c r="X4" s="72">
        <f t="shared" si="1"/>
        <v>0</v>
      </c>
      <c r="Z4" s="72">
        <f t="shared" ref="Z4:Z62" si="6">IF($D4="ALIMENTAÇÃO",$G4,0)</f>
        <v>0</v>
      </c>
      <c r="AA4" s="72">
        <f t="shared" ref="AA4:AA62" si="7">IF($D4="ANIMAIS",$G4,0)</f>
        <v>0</v>
      </c>
      <c r="AB4" s="72">
        <f t="shared" ref="AB4:AB62" si="8">IF($D4="FILHO",$G4,0)</f>
        <v>0</v>
      </c>
      <c r="AC4" s="72">
        <f t="shared" ref="AC4:AC62" si="9">IF($D4="GASOLINA",$G4,0)</f>
        <v>0</v>
      </c>
      <c r="AD4" s="72">
        <f t="shared" ref="AD4:AD62" si="10">IF($D4="LAZER",$G4,0)</f>
        <v>0</v>
      </c>
      <c r="AE4" s="72">
        <f t="shared" ref="AE4:AE62" si="11">IF($D4="MANUT. IMÓVEL",$G4,0)</f>
        <v>0</v>
      </c>
      <c r="AF4" s="72">
        <f t="shared" ref="AF4:AF62" si="12">IF($D4="MANUT. VEICULAR",$G4,0)</f>
        <v>0</v>
      </c>
      <c r="AG4" s="72">
        <f t="shared" ref="AG4:AG62" si="13">IF($D4="MÓVEIS",$G4,0)</f>
        <v>0</v>
      </c>
      <c r="AH4" s="72">
        <f t="shared" ref="AH4:AH62" si="14">IF($D4="OUTROS",$G4,0)</f>
        <v>0</v>
      </c>
      <c r="AI4" s="72">
        <f t="shared" ref="AI4:AI62" si="15">IF($D4="PLANOS",$G4,0)</f>
        <v>0</v>
      </c>
      <c r="AJ4" s="72">
        <f t="shared" ref="AJ4:AJ62" si="16">IF($D4="SAÚDE",$G4,0)</f>
        <v>0</v>
      </c>
      <c r="AK4" s="72">
        <f t="shared" ref="AK4:AK62" si="17">IF($D4="TRANSPORTE",$G4,0)</f>
        <v>0</v>
      </c>
      <c r="AL4" s="72">
        <f t="shared" ref="AL4:AN62" si="18">IF($D4=AL$2,$G4,0)</f>
        <v>0</v>
      </c>
      <c r="AM4" s="72">
        <f t="shared" si="2"/>
        <v>0</v>
      </c>
      <c r="AN4" s="72">
        <f t="shared" si="2"/>
        <v>0</v>
      </c>
      <c r="AQ4" s="71" t="s">
        <v>120</v>
      </c>
      <c r="AR4" s="97">
        <f t="shared" si="0"/>
        <v>77</v>
      </c>
      <c r="AS4" s="58">
        <f>AB63</f>
        <v>0</v>
      </c>
      <c r="AT4" s="58">
        <f>L63</f>
        <v>77</v>
      </c>
      <c r="AY4" s="512">
        <v>58.66</v>
      </c>
    </row>
    <row r="5" spans="2:51">
      <c r="B5" s="60">
        <v>44857</v>
      </c>
      <c r="C5" s="62" t="s">
        <v>109</v>
      </c>
      <c r="D5" s="79" t="s">
        <v>40</v>
      </c>
      <c r="E5" s="56">
        <v>119.9</v>
      </c>
      <c r="F5" s="76" t="s">
        <v>65</v>
      </c>
      <c r="G5" s="77">
        <f t="shared" si="3"/>
        <v>0</v>
      </c>
      <c r="H5" s="78">
        <f t="shared" si="4"/>
        <v>119.9</v>
      </c>
      <c r="I5" s="481" t="s">
        <v>149</v>
      </c>
      <c r="J5" s="72">
        <f t="shared" ref="J5:J62" si="19">IF($D5="ALIMENTAÇÃO",$H5,0)</f>
        <v>0</v>
      </c>
      <c r="K5" s="72">
        <f t="shared" ref="K5:K62" si="20">IF($D5="ANIMAIS",$H5,0)</f>
        <v>0</v>
      </c>
      <c r="L5" s="72">
        <f t="shared" ref="L5:L62" si="21">IF($D5="FILHO",$H5,0)</f>
        <v>0</v>
      </c>
      <c r="M5" s="72">
        <f t="shared" ref="M5:M62" si="22">IF($D5="GASOLINA",$H5,0)</f>
        <v>0</v>
      </c>
      <c r="N5" s="72">
        <f t="shared" ref="N5:N62" si="23">IF($D5="LAZER",$H5,0)</f>
        <v>0</v>
      </c>
      <c r="O5" s="72">
        <f t="shared" ref="O5:O62" si="24">IF($D5="MANUT. IMÓVEL",$H5,0)</f>
        <v>0</v>
      </c>
      <c r="P5" s="72">
        <f t="shared" ref="P5:P62" si="25">IF($D5="MANUT. VEICULAR",$H5,0)</f>
        <v>0</v>
      </c>
      <c r="Q5" s="72">
        <f t="shared" ref="Q5:Q62" si="26">IF($D5="MÓVEIS",$H5,0)</f>
        <v>0</v>
      </c>
      <c r="R5" s="72">
        <f t="shared" ref="R5:R62" si="27">IF($D5="OUTROS",$H5,0)</f>
        <v>119.9</v>
      </c>
      <c r="S5" s="72">
        <f t="shared" ref="S5:S62" si="28">IF($D5="PLANOS",$H5,0)</f>
        <v>0</v>
      </c>
      <c r="T5" s="72">
        <f t="shared" ref="T5:T62" si="29">IF($D5="SAÚDE",$H5,0)</f>
        <v>0</v>
      </c>
      <c r="U5" s="72">
        <f t="shared" ref="U5:U62" si="30">IF($D5="TRANSPORTE",$H5,0)</f>
        <v>0</v>
      </c>
      <c r="V5" s="72">
        <f t="shared" si="5"/>
        <v>0</v>
      </c>
      <c r="W5" s="72">
        <f t="shared" si="1"/>
        <v>0</v>
      </c>
      <c r="X5" s="72">
        <f t="shared" si="1"/>
        <v>0</v>
      </c>
      <c r="Z5" s="72">
        <f t="shared" si="6"/>
        <v>0</v>
      </c>
      <c r="AA5" s="72">
        <f t="shared" si="7"/>
        <v>0</v>
      </c>
      <c r="AB5" s="72">
        <f t="shared" si="8"/>
        <v>0</v>
      </c>
      <c r="AC5" s="72">
        <f t="shared" si="9"/>
        <v>0</v>
      </c>
      <c r="AD5" s="72">
        <f t="shared" si="10"/>
        <v>0</v>
      </c>
      <c r="AE5" s="72">
        <f t="shared" si="11"/>
        <v>0</v>
      </c>
      <c r="AF5" s="72">
        <f t="shared" si="12"/>
        <v>0</v>
      </c>
      <c r="AG5" s="72">
        <f t="shared" si="13"/>
        <v>0</v>
      </c>
      <c r="AH5" s="72">
        <f t="shared" si="14"/>
        <v>0</v>
      </c>
      <c r="AI5" s="72">
        <f t="shared" si="15"/>
        <v>0</v>
      </c>
      <c r="AJ5" s="72">
        <f t="shared" si="16"/>
        <v>0</v>
      </c>
      <c r="AK5" s="72">
        <f t="shared" si="17"/>
        <v>0</v>
      </c>
      <c r="AL5" s="72">
        <f t="shared" si="18"/>
        <v>0</v>
      </c>
      <c r="AM5" s="72">
        <f t="shared" si="2"/>
        <v>0</v>
      </c>
      <c r="AN5" s="72">
        <f t="shared" si="2"/>
        <v>0</v>
      </c>
      <c r="AQ5" s="71" t="s">
        <v>36</v>
      </c>
      <c r="AR5" s="97">
        <f t="shared" si="0"/>
        <v>0</v>
      </c>
      <c r="AS5" s="58">
        <f>AC63</f>
        <v>0</v>
      </c>
      <c r="AT5" s="58">
        <f>M63</f>
        <v>0</v>
      </c>
      <c r="AY5" s="511" t="s">
        <v>387</v>
      </c>
    </row>
    <row r="6" spans="2:51" ht="17.25" thickBot="1">
      <c r="B6" s="172">
        <v>44929</v>
      </c>
      <c r="C6" s="173" t="s">
        <v>145</v>
      </c>
      <c r="D6" s="79" t="s">
        <v>56</v>
      </c>
      <c r="E6" s="56">
        <v>175.97</v>
      </c>
      <c r="F6" s="76" t="s">
        <v>66</v>
      </c>
      <c r="G6" s="77">
        <v>117.31</v>
      </c>
      <c r="H6" s="78">
        <v>58.66</v>
      </c>
      <c r="I6" s="481" t="s">
        <v>61</v>
      </c>
      <c r="J6" s="72">
        <f t="shared" si="19"/>
        <v>0</v>
      </c>
      <c r="K6" s="72">
        <f t="shared" si="20"/>
        <v>0</v>
      </c>
      <c r="L6" s="72">
        <f t="shared" si="21"/>
        <v>0</v>
      </c>
      <c r="M6" s="72">
        <f t="shared" si="22"/>
        <v>0</v>
      </c>
      <c r="N6" s="72">
        <f t="shared" si="23"/>
        <v>58.66</v>
      </c>
      <c r="O6" s="72">
        <f t="shared" si="24"/>
        <v>0</v>
      </c>
      <c r="P6" s="72">
        <f t="shared" si="25"/>
        <v>0</v>
      </c>
      <c r="Q6" s="72">
        <f t="shared" si="26"/>
        <v>0</v>
      </c>
      <c r="R6" s="72">
        <f t="shared" si="27"/>
        <v>0</v>
      </c>
      <c r="S6" s="72">
        <f t="shared" si="28"/>
        <v>0</v>
      </c>
      <c r="T6" s="72">
        <f t="shared" si="29"/>
        <v>0</v>
      </c>
      <c r="U6" s="72">
        <f t="shared" si="30"/>
        <v>0</v>
      </c>
      <c r="V6" s="72">
        <f t="shared" si="5"/>
        <v>0</v>
      </c>
      <c r="W6" s="72">
        <f t="shared" si="1"/>
        <v>0</v>
      </c>
      <c r="X6" s="72">
        <f t="shared" si="1"/>
        <v>0</v>
      </c>
      <c r="Z6" s="72">
        <f t="shared" si="6"/>
        <v>0</v>
      </c>
      <c r="AA6" s="72">
        <f t="shared" si="7"/>
        <v>0</v>
      </c>
      <c r="AB6" s="72">
        <f t="shared" si="8"/>
        <v>0</v>
      </c>
      <c r="AC6" s="72">
        <f t="shared" si="9"/>
        <v>0</v>
      </c>
      <c r="AD6" s="72">
        <f t="shared" si="10"/>
        <v>117.31</v>
      </c>
      <c r="AE6" s="72">
        <f t="shared" si="11"/>
        <v>0</v>
      </c>
      <c r="AF6" s="72">
        <f t="shared" si="12"/>
        <v>0</v>
      </c>
      <c r="AG6" s="72">
        <f t="shared" si="13"/>
        <v>0</v>
      </c>
      <c r="AH6" s="72">
        <f t="shared" si="14"/>
        <v>0</v>
      </c>
      <c r="AI6" s="72">
        <f t="shared" si="15"/>
        <v>0</v>
      </c>
      <c r="AJ6" s="72">
        <f t="shared" si="16"/>
        <v>0</v>
      </c>
      <c r="AK6" s="72">
        <f t="shared" si="17"/>
        <v>0</v>
      </c>
      <c r="AL6" s="72">
        <f t="shared" si="18"/>
        <v>0</v>
      </c>
      <c r="AM6" s="72">
        <f t="shared" si="2"/>
        <v>0</v>
      </c>
      <c r="AN6" s="72">
        <f t="shared" si="2"/>
        <v>0</v>
      </c>
      <c r="AQ6" s="71" t="s">
        <v>56</v>
      </c>
      <c r="AR6" s="97">
        <f t="shared" si="0"/>
        <v>175.97</v>
      </c>
      <c r="AS6" s="58">
        <f>AD63</f>
        <v>117.31</v>
      </c>
      <c r="AT6" s="58">
        <f>N63</f>
        <v>58.66</v>
      </c>
      <c r="AY6" s="596">
        <v>117.31</v>
      </c>
    </row>
    <row r="7" spans="2:51" ht="17.25" thickBot="1">
      <c r="B7" s="60">
        <v>44952</v>
      </c>
      <c r="C7" s="62" t="s">
        <v>159</v>
      </c>
      <c r="D7" s="79" t="s">
        <v>120</v>
      </c>
      <c r="E7" s="56">
        <v>77</v>
      </c>
      <c r="F7" s="76" t="s">
        <v>65</v>
      </c>
      <c r="G7" s="77">
        <f t="shared" ref="G7:G14" si="31">IF(F7="MARCIA",E7,IF(F7="AMBOS",E7/2,0))</f>
        <v>0</v>
      </c>
      <c r="H7" s="78">
        <f t="shared" ref="H7:H14" si="32">IF(F7="LUCIANO",E7,IF(F7="AMBOS",E7/2,0))</f>
        <v>77</v>
      </c>
      <c r="I7" s="481" t="s">
        <v>61</v>
      </c>
      <c r="J7" s="72">
        <f t="shared" si="19"/>
        <v>0</v>
      </c>
      <c r="K7" s="72">
        <f t="shared" si="20"/>
        <v>0</v>
      </c>
      <c r="L7" s="72">
        <f t="shared" si="21"/>
        <v>77</v>
      </c>
      <c r="M7" s="72">
        <f t="shared" si="22"/>
        <v>0</v>
      </c>
      <c r="N7" s="72">
        <f t="shared" si="23"/>
        <v>0</v>
      </c>
      <c r="O7" s="72">
        <f t="shared" si="24"/>
        <v>0</v>
      </c>
      <c r="P7" s="72">
        <f t="shared" si="25"/>
        <v>0</v>
      </c>
      <c r="Q7" s="72">
        <f t="shared" si="26"/>
        <v>0</v>
      </c>
      <c r="R7" s="72">
        <f t="shared" si="27"/>
        <v>0</v>
      </c>
      <c r="S7" s="72">
        <f t="shared" si="28"/>
        <v>0</v>
      </c>
      <c r="T7" s="72">
        <f t="shared" si="29"/>
        <v>0</v>
      </c>
      <c r="U7" s="72">
        <f t="shared" si="30"/>
        <v>0</v>
      </c>
      <c r="V7" s="72">
        <f t="shared" si="5"/>
        <v>0</v>
      </c>
      <c r="W7" s="72">
        <f t="shared" si="1"/>
        <v>0</v>
      </c>
      <c r="X7" s="72">
        <f t="shared" si="1"/>
        <v>0</v>
      </c>
      <c r="Z7" s="72">
        <f t="shared" si="6"/>
        <v>0</v>
      </c>
      <c r="AA7" s="72">
        <f t="shared" si="7"/>
        <v>0</v>
      </c>
      <c r="AB7" s="72">
        <f t="shared" si="8"/>
        <v>0</v>
      </c>
      <c r="AC7" s="72">
        <f t="shared" si="9"/>
        <v>0</v>
      </c>
      <c r="AD7" s="72">
        <f t="shared" si="10"/>
        <v>0</v>
      </c>
      <c r="AE7" s="72">
        <f t="shared" si="11"/>
        <v>0</v>
      </c>
      <c r="AF7" s="72">
        <f t="shared" si="12"/>
        <v>0</v>
      </c>
      <c r="AG7" s="72">
        <f t="shared" si="13"/>
        <v>0</v>
      </c>
      <c r="AH7" s="72">
        <f t="shared" si="14"/>
        <v>0</v>
      </c>
      <c r="AI7" s="72">
        <f t="shared" si="15"/>
        <v>0</v>
      </c>
      <c r="AJ7" s="72">
        <f t="shared" si="16"/>
        <v>0</v>
      </c>
      <c r="AK7" s="72">
        <f t="shared" si="17"/>
        <v>0</v>
      </c>
      <c r="AL7" s="72">
        <f t="shared" si="18"/>
        <v>0</v>
      </c>
      <c r="AM7" s="72">
        <f t="shared" si="2"/>
        <v>0</v>
      </c>
      <c r="AN7" s="72">
        <f t="shared" si="2"/>
        <v>0</v>
      </c>
      <c r="AQ7" s="71" t="s">
        <v>53</v>
      </c>
      <c r="AR7" s="97">
        <f t="shared" si="0"/>
        <v>878.04</v>
      </c>
      <c r="AS7" s="58">
        <f>AE63</f>
        <v>0</v>
      </c>
      <c r="AT7" s="58">
        <f>O63</f>
        <v>878.04</v>
      </c>
      <c r="AY7" s="597">
        <v>175.97</v>
      </c>
    </row>
    <row r="8" spans="2:51">
      <c r="B8" s="60">
        <v>44861</v>
      </c>
      <c r="C8" s="62" t="s">
        <v>108</v>
      </c>
      <c r="D8" s="79" t="s">
        <v>40</v>
      </c>
      <c r="E8" s="56">
        <v>15.73</v>
      </c>
      <c r="F8" s="76" t="s">
        <v>66</v>
      </c>
      <c r="G8" s="77">
        <f t="shared" si="31"/>
        <v>7.8650000000000002</v>
      </c>
      <c r="H8" s="78">
        <f t="shared" si="32"/>
        <v>7.8650000000000002</v>
      </c>
      <c r="I8" s="481" t="s">
        <v>529</v>
      </c>
      <c r="J8" s="72">
        <f t="shared" si="19"/>
        <v>0</v>
      </c>
      <c r="K8" s="72">
        <f t="shared" si="20"/>
        <v>0</v>
      </c>
      <c r="L8" s="72">
        <f t="shared" si="21"/>
        <v>0</v>
      </c>
      <c r="M8" s="72">
        <f t="shared" si="22"/>
        <v>0</v>
      </c>
      <c r="N8" s="72">
        <f t="shared" si="23"/>
        <v>0</v>
      </c>
      <c r="O8" s="72">
        <f t="shared" si="24"/>
        <v>0</v>
      </c>
      <c r="P8" s="72">
        <f t="shared" si="25"/>
        <v>0</v>
      </c>
      <c r="Q8" s="72">
        <f t="shared" si="26"/>
        <v>0</v>
      </c>
      <c r="R8" s="72">
        <f t="shared" si="27"/>
        <v>7.8650000000000002</v>
      </c>
      <c r="S8" s="72">
        <f t="shared" si="28"/>
        <v>0</v>
      </c>
      <c r="T8" s="72">
        <f t="shared" si="29"/>
        <v>0</v>
      </c>
      <c r="U8" s="72">
        <f t="shared" si="30"/>
        <v>0</v>
      </c>
      <c r="V8" s="72">
        <f t="shared" si="5"/>
        <v>0</v>
      </c>
      <c r="W8" s="72">
        <f t="shared" si="1"/>
        <v>0</v>
      </c>
      <c r="X8" s="72">
        <f t="shared" si="1"/>
        <v>0</v>
      </c>
      <c r="Z8" s="72">
        <f t="shared" si="6"/>
        <v>0</v>
      </c>
      <c r="AA8" s="72">
        <f t="shared" si="7"/>
        <v>0</v>
      </c>
      <c r="AB8" s="72">
        <f t="shared" si="8"/>
        <v>0</v>
      </c>
      <c r="AC8" s="72">
        <f t="shared" si="9"/>
        <v>0</v>
      </c>
      <c r="AD8" s="72">
        <f t="shared" si="10"/>
        <v>0</v>
      </c>
      <c r="AE8" s="72">
        <f t="shared" si="11"/>
        <v>0</v>
      </c>
      <c r="AF8" s="72">
        <f t="shared" si="12"/>
        <v>0</v>
      </c>
      <c r="AG8" s="72">
        <f t="shared" si="13"/>
        <v>0</v>
      </c>
      <c r="AH8" s="72">
        <f t="shared" si="14"/>
        <v>7.8650000000000002</v>
      </c>
      <c r="AI8" s="72">
        <f t="shared" si="15"/>
        <v>0</v>
      </c>
      <c r="AJ8" s="72">
        <f t="shared" si="16"/>
        <v>0</v>
      </c>
      <c r="AK8" s="72">
        <f t="shared" si="17"/>
        <v>0</v>
      </c>
      <c r="AL8" s="72">
        <f t="shared" si="18"/>
        <v>0</v>
      </c>
      <c r="AM8" s="72">
        <f t="shared" si="2"/>
        <v>0</v>
      </c>
      <c r="AN8" s="72">
        <f t="shared" si="2"/>
        <v>0</v>
      </c>
      <c r="AQ8" s="71" t="s">
        <v>54</v>
      </c>
      <c r="AR8" s="97">
        <f t="shared" si="0"/>
        <v>168.9</v>
      </c>
      <c r="AS8" s="58">
        <f>AF63</f>
        <v>0</v>
      </c>
      <c r="AT8" s="58">
        <f>P63</f>
        <v>168.9</v>
      </c>
    </row>
    <row r="9" spans="2:51">
      <c r="B9" s="60">
        <v>45066</v>
      </c>
      <c r="C9" s="62" t="s">
        <v>479</v>
      </c>
      <c r="D9" s="79" t="s">
        <v>58</v>
      </c>
      <c r="E9" s="56">
        <v>60.67</v>
      </c>
      <c r="F9" s="76" t="s">
        <v>65</v>
      </c>
      <c r="G9" s="77">
        <f t="shared" si="31"/>
        <v>0</v>
      </c>
      <c r="H9" s="78">
        <f t="shared" si="32"/>
        <v>60.67</v>
      </c>
      <c r="I9" s="481" t="s">
        <v>346</v>
      </c>
      <c r="J9" s="72">
        <f t="shared" si="19"/>
        <v>0</v>
      </c>
      <c r="K9" s="72">
        <f t="shared" si="20"/>
        <v>0</v>
      </c>
      <c r="L9" s="72">
        <f t="shared" si="21"/>
        <v>0</v>
      </c>
      <c r="M9" s="72">
        <f t="shared" si="22"/>
        <v>0</v>
      </c>
      <c r="N9" s="72">
        <f t="shared" si="23"/>
        <v>0</v>
      </c>
      <c r="O9" s="72">
        <f t="shared" si="24"/>
        <v>0</v>
      </c>
      <c r="P9" s="72">
        <f t="shared" si="25"/>
        <v>0</v>
      </c>
      <c r="Q9" s="72">
        <f t="shared" si="26"/>
        <v>0</v>
      </c>
      <c r="R9" s="72">
        <f t="shared" si="27"/>
        <v>0</v>
      </c>
      <c r="S9" s="72">
        <f t="shared" si="28"/>
        <v>0</v>
      </c>
      <c r="T9" s="72">
        <f t="shared" si="29"/>
        <v>60.67</v>
      </c>
      <c r="U9" s="72">
        <f t="shared" si="30"/>
        <v>0</v>
      </c>
      <c r="V9" s="72">
        <f t="shared" si="5"/>
        <v>0</v>
      </c>
      <c r="W9" s="72">
        <f t="shared" si="1"/>
        <v>0</v>
      </c>
      <c r="X9" s="72">
        <f t="shared" si="1"/>
        <v>0</v>
      </c>
      <c r="Z9" s="72">
        <f t="shared" si="6"/>
        <v>0</v>
      </c>
      <c r="AA9" s="72">
        <f t="shared" si="7"/>
        <v>0</v>
      </c>
      <c r="AB9" s="72">
        <f t="shared" si="8"/>
        <v>0</v>
      </c>
      <c r="AC9" s="72">
        <f t="shared" si="9"/>
        <v>0</v>
      </c>
      <c r="AD9" s="72">
        <f t="shared" si="10"/>
        <v>0</v>
      </c>
      <c r="AE9" s="72">
        <f t="shared" si="11"/>
        <v>0</v>
      </c>
      <c r="AF9" s="72">
        <f t="shared" si="12"/>
        <v>0</v>
      </c>
      <c r="AG9" s="72">
        <f t="shared" si="13"/>
        <v>0</v>
      </c>
      <c r="AH9" s="72">
        <f t="shared" si="14"/>
        <v>0</v>
      </c>
      <c r="AI9" s="72">
        <f t="shared" si="15"/>
        <v>0</v>
      </c>
      <c r="AJ9" s="72">
        <f t="shared" si="16"/>
        <v>0</v>
      </c>
      <c r="AK9" s="72">
        <f t="shared" si="17"/>
        <v>0</v>
      </c>
      <c r="AL9" s="72">
        <f t="shared" si="18"/>
        <v>0</v>
      </c>
      <c r="AM9" s="72">
        <f t="shared" si="2"/>
        <v>0</v>
      </c>
      <c r="AN9" s="72">
        <f t="shared" si="2"/>
        <v>0</v>
      </c>
      <c r="AQ9" s="71" t="s">
        <v>59</v>
      </c>
      <c r="AR9" s="97">
        <f t="shared" si="0"/>
        <v>0</v>
      </c>
      <c r="AS9" s="58">
        <f>AG63</f>
        <v>0</v>
      </c>
      <c r="AT9" s="58">
        <f>Q63</f>
        <v>0</v>
      </c>
    </row>
    <row r="10" spans="2:51">
      <c r="B10" s="60">
        <v>45007</v>
      </c>
      <c r="C10" s="62" t="s">
        <v>309</v>
      </c>
      <c r="D10" s="79" t="s">
        <v>40</v>
      </c>
      <c r="E10" s="56">
        <v>32.39</v>
      </c>
      <c r="F10" s="76" t="s">
        <v>65</v>
      </c>
      <c r="G10" s="77">
        <f t="shared" si="31"/>
        <v>0</v>
      </c>
      <c r="H10" s="78">
        <f t="shared" si="32"/>
        <v>32.39</v>
      </c>
      <c r="I10" s="481" t="s">
        <v>425</v>
      </c>
      <c r="J10" s="72">
        <f t="shared" si="19"/>
        <v>0</v>
      </c>
      <c r="K10" s="72">
        <f t="shared" si="20"/>
        <v>0</v>
      </c>
      <c r="L10" s="72">
        <f t="shared" si="21"/>
        <v>0</v>
      </c>
      <c r="M10" s="72">
        <f t="shared" si="22"/>
        <v>0</v>
      </c>
      <c r="N10" s="72">
        <f t="shared" si="23"/>
        <v>0</v>
      </c>
      <c r="O10" s="72">
        <f t="shared" si="24"/>
        <v>0</v>
      </c>
      <c r="P10" s="72">
        <f t="shared" si="25"/>
        <v>0</v>
      </c>
      <c r="Q10" s="72">
        <f t="shared" si="26"/>
        <v>0</v>
      </c>
      <c r="R10" s="72">
        <f t="shared" si="27"/>
        <v>32.39</v>
      </c>
      <c r="S10" s="72">
        <f t="shared" si="28"/>
        <v>0</v>
      </c>
      <c r="T10" s="72">
        <f t="shared" si="29"/>
        <v>0</v>
      </c>
      <c r="U10" s="72">
        <f t="shared" si="30"/>
        <v>0</v>
      </c>
      <c r="V10" s="72">
        <f t="shared" si="5"/>
        <v>0</v>
      </c>
      <c r="W10" s="72">
        <f t="shared" si="1"/>
        <v>0</v>
      </c>
      <c r="X10" s="72">
        <f t="shared" si="1"/>
        <v>0</v>
      </c>
      <c r="Z10" s="72">
        <f t="shared" si="6"/>
        <v>0</v>
      </c>
      <c r="AA10" s="72">
        <f t="shared" si="7"/>
        <v>0</v>
      </c>
      <c r="AB10" s="72">
        <f t="shared" si="8"/>
        <v>0</v>
      </c>
      <c r="AC10" s="72">
        <f t="shared" si="9"/>
        <v>0</v>
      </c>
      <c r="AD10" s="72">
        <f t="shared" si="10"/>
        <v>0</v>
      </c>
      <c r="AE10" s="72">
        <f t="shared" si="11"/>
        <v>0</v>
      </c>
      <c r="AF10" s="72">
        <f t="shared" si="12"/>
        <v>0</v>
      </c>
      <c r="AG10" s="72">
        <f t="shared" si="13"/>
        <v>0</v>
      </c>
      <c r="AH10" s="72">
        <f t="shared" si="14"/>
        <v>0</v>
      </c>
      <c r="AI10" s="72">
        <f t="shared" si="15"/>
        <v>0</v>
      </c>
      <c r="AJ10" s="72">
        <f t="shared" si="16"/>
        <v>0</v>
      </c>
      <c r="AK10" s="72">
        <f t="shared" si="17"/>
        <v>0</v>
      </c>
      <c r="AL10" s="72">
        <f t="shared" si="18"/>
        <v>0</v>
      </c>
      <c r="AM10" s="72">
        <f t="shared" si="2"/>
        <v>0</v>
      </c>
      <c r="AN10" s="72">
        <f t="shared" si="2"/>
        <v>0</v>
      </c>
      <c r="AQ10" s="71" t="s">
        <v>40</v>
      </c>
      <c r="AR10" s="97">
        <f t="shared" si="0"/>
        <v>207.97000000000003</v>
      </c>
      <c r="AS10" s="58">
        <f>AH63</f>
        <v>7.8650000000000002</v>
      </c>
      <c r="AT10" s="58">
        <f>R63</f>
        <v>200.10500000000002</v>
      </c>
      <c r="AY10" s="59"/>
    </row>
    <row r="11" spans="2:51">
      <c r="B11" s="60">
        <v>45030</v>
      </c>
      <c r="C11" s="62" t="s">
        <v>408</v>
      </c>
      <c r="D11" s="79" t="s">
        <v>40</v>
      </c>
      <c r="E11" s="56">
        <v>39.950000000000003</v>
      </c>
      <c r="F11" s="76" t="s">
        <v>65</v>
      </c>
      <c r="G11" s="77">
        <f t="shared" si="31"/>
        <v>0</v>
      </c>
      <c r="H11" s="78">
        <f t="shared" si="32"/>
        <v>39.950000000000003</v>
      </c>
      <c r="I11" s="481" t="s">
        <v>530</v>
      </c>
      <c r="J11" s="72">
        <f t="shared" si="19"/>
        <v>0</v>
      </c>
      <c r="K11" s="72">
        <f t="shared" si="20"/>
        <v>0</v>
      </c>
      <c r="L11" s="72">
        <f t="shared" si="21"/>
        <v>0</v>
      </c>
      <c r="M11" s="72">
        <f t="shared" si="22"/>
        <v>0</v>
      </c>
      <c r="N11" s="72">
        <f t="shared" si="23"/>
        <v>0</v>
      </c>
      <c r="O11" s="72">
        <f t="shared" si="24"/>
        <v>0</v>
      </c>
      <c r="P11" s="72">
        <f t="shared" si="25"/>
        <v>0</v>
      </c>
      <c r="Q11" s="72">
        <f t="shared" si="26"/>
        <v>0</v>
      </c>
      <c r="R11" s="72">
        <f t="shared" si="27"/>
        <v>39.950000000000003</v>
      </c>
      <c r="S11" s="72">
        <f t="shared" si="28"/>
        <v>0</v>
      </c>
      <c r="T11" s="72">
        <f t="shared" si="29"/>
        <v>0</v>
      </c>
      <c r="U11" s="72">
        <f t="shared" si="30"/>
        <v>0</v>
      </c>
      <c r="V11" s="72">
        <f t="shared" si="5"/>
        <v>0</v>
      </c>
      <c r="W11" s="72">
        <f t="shared" si="1"/>
        <v>0</v>
      </c>
      <c r="X11" s="72">
        <f t="shared" si="1"/>
        <v>0</v>
      </c>
      <c r="Z11" s="72">
        <f t="shared" si="6"/>
        <v>0</v>
      </c>
      <c r="AA11" s="72">
        <f t="shared" si="7"/>
        <v>0</v>
      </c>
      <c r="AB11" s="72">
        <f t="shared" si="8"/>
        <v>0</v>
      </c>
      <c r="AC11" s="72">
        <f t="shared" si="9"/>
        <v>0</v>
      </c>
      <c r="AD11" s="72">
        <f t="shared" si="10"/>
        <v>0</v>
      </c>
      <c r="AE11" s="72">
        <f t="shared" si="11"/>
        <v>0</v>
      </c>
      <c r="AF11" s="72">
        <f t="shared" si="12"/>
        <v>0</v>
      </c>
      <c r="AG11" s="72">
        <f t="shared" si="13"/>
        <v>0</v>
      </c>
      <c r="AH11" s="72">
        <f t="shared" si="14"/>
        <v>0</v>
      </c>
      <c r="AI11" s="72">
        <f t="shared" si="15"/>
        <v>0</v>
      </c>
      <c r="AJ11" s="72">
        <f t="shared" si="16"/>
        <v>0</v>
      </c>
      <c r="AK11" s="72">
        <f t="shared" si="17"/>
        <v>0</v>
      </c>
      <c r="AL11" s="72">
        <f t="shared" si="18"/>
        <v>0</v>
      </c>
      <c r="AM11" s="72">
        <f t="shared" si="2"/>
        <v>0</v>
      </c>
      <c r="AN11" s="72">
        <f t="shared" si="2"/>
        <v>0</v>
      </c>
      <c r="AQ11" s="71" t="s">
        <v>55</v>
      </c>
      <c r="AR11" s="97">
        <f t="shared" si="0"/>
        <v>48.599999999999994</v>
      </c>
      <c r="AS11" s="58">
        <f>AI63</f>
        <v>0</v>
      </c>
      <c r="AT11" s="58">
        <f>S63</f>
        <v>48.599999999999994</v>
      </c>
      <c r="AY11" s="59"/>
    </row>
    <row r="12" spans="2:51">
      <c r="B12" s="60">
        <v>45065</v>
      </c>
      <c r="C12" s="62" t="s">
        <v>475</v>
      </c>
      <c r="D12" s="79" t="s">
        <v>268</v>
      </c>
      <c r="E12" s="56">
        <v>299.88</v>
      </c>
      <c r="F12" s="76" t="s">
        <v>65</v>
      </c>
      <c r="G12" s="77">
        <f t="shared" si="31"/>
        <v>0</v>
      </c>
      <c r="H12" s="78">
        <f t="shared" si="32"/>
        <v>299.88</v>
      </c>
      <c r="I12" s="481" t="s">
        <v>346</v>
      </c>
      <c r="J12" s="72">
        <f t="shared" si="19"/>
        <v>0</v>
      </c>
      <c r="K12" s="72">
        <f t="shared" si="20"/>
        <v>0</v>
      </c>
      <c r="L12" s="72">
        <f t="shared" si="21"/>
        <v>0</v>
      </c>
      <c r="M12" s="72">
        <f t="shared" si="22"/>
        <v>0</v>
      </c>
      <c r="N12" s="72">
        <f t="shared" si="23"/>
        <v>0</v>
      </c>
      <c r="O12" s="72">
        <f t="shared" si="24"/>
        <v>0</v>
      </c>
      <c r="P12" s="72">
        <f t="shared" si="25"/>
        <v>0</v>
      </c>
      <c r="Q12" s="72">
        <f t="shared" si="26"/>
        <v>0</v>
      </c>
      <c r="R12" s="72">
        <f t="shared" si="27"/>
        <v>0</v>
      </c>
      <c r="S12" s="72">
        <f t="shared" si="28"/>
        <v>0</v>
      </c>
      <c r="T12" s="72">
        <f t="shared" si="29"/>
        <v>0</v>
      </c>
      <c r="U12" s="72">
        <f t="shared" si="30"/>
        <v>0</v>
      </c>
      <c r="V12" s="72">
        <f t="shared" si="5"/>
        <v>0</v>
      </c>
      <c r="W12" s="72">
        <f t="shared" si="1"/>
        <v>299.88</v>
      </c>
      <c r="X12" s="72">
        <f t="shared" si="1"/>
        <v>0</v>
      </c>
      <c r="Z12" s="72">
        <f t="shared" si="6"/>
        <v>0</v>
      </c>
      <c r="AA12" s="72">
        <f t="shared" si="7"/>
        <v>0</v>
      </c>
      <c r="AB12" s="72">
        <f t="shared" si="8"/>
        <v>0</v>
      </c>
      <c r="AC12" s="72">
        <f t="shared" si="9"/>
        <v>0</v>
      </c>
      <c r="AD12" s="72">
        <f t="shared" si="10"/>
        <v>0</v>
      </c>
      <c r="AE12" s="72">
        <f t="shared" si="11"/>
        <v>0</v>
      </c>
      <c r="AF12" s="72">
        <f t="shared" si="12"/>
        <v>0</v>
      </c>
      <c r="AG12" s="72">
        <f t="shared" si="13"/>
        <v>0</v>
      </c>
      <c r="AH12" s="72">
        <f t="shared" si="14"/>
        <v>0</v>
      </c>
      <c r="AI12" s="72">
        <f t="shared" si="15"/>
        <v>0</v>
      </c>
      <c r="AJ12" s="72">
        <f t="shared" si="16"/>
        <v>0</v>
      </c>
      <c r="AK12" s="72">
        <f t="shared" si="17"/>
        <v>0</v>
      </c>
      <c r="AL12" s="72">
        <f t="shared" si="18"/>
        <v>0</v>
      </c>
      <c r="AM12" s="72">
        <f t="shared" si="2"/>
        <v>0</v>
      </c>
      <c r="AN12" s="72">
        <f t="shared" si="2"/>
        <v>0</v>
      </c>
      <c r="AQ12" s="71" t="s">
        <v>58</v>
      </c>
      <c r="AR12" s="97">
        <f t="shared" si="0"/>
        <v>60.67</v>
      </c>
      <c r="AS12" s="58">
        <f>AJ63</f>
        <v>0</v>
      </c>
      <c r="AT12" s="58">
        <f>T63</f>
        <v>60.67</v>
      </c>
      <c r="AY12" s="59"/>
    </row>
    <row r="13" spans="2:51">
      <c r="B13" s="60">
        <v>45123</v>
      </c>
      <c r="C13" s="62" t="s">
        <v>531</v>
      </c>
      <c r="D13" s="79" t="s">
        <v>51</v>
      </c>
      <c r="E13" s="56">
        <v>240</v>
      </c>
      <c r="F13" s="76" t="s">
        <v>66</v>
      </c>
      <c r="G13" s="77">
        <f t="shared" si="31"/>
        <v>120</v>
      </c>
      <c r="H13" s="78">
        <f t="shared" si="32"/>
        <v>120</v>
      </c>
      <c r="I13" s="481"/>
      <c r="J13" s="72">
        <f t="shared" si="19"/>
        <v>0</v>
      </c>
      <c r="K13" s="72">
        <f t="shared" si="20"/>
        <v>120</v>
      </c>
      <c r="L13" s="72">
        <f t="shared" si="21"/>
        <v>0</v>
      </c>
      <c r="M13" s="72">
        <f t="shared" si="22"/>
        <v>0</v>
      </c>
      <c r="N13" s="72">
        <f t="shared" si="23"/>
        <v>0</v>
      </c>
      <c r="O13" s="72">
        <f t="shared" si="24"/>
        <v>0</v>
      </c>
      <c r="P13" s="72">
        <f t="shared" si="25"/>
        <v>0</v>
      </c>
      <c r="Q13" s="72">
        <f t="shared" si="26"/>
        <v>0</v>
      </c>
      <c r="R13" s="72">
        <f t="shared" si="27"/>
        <v>0</v>
      </c>
      <c r="S13" s="72">
        <f t="shared" si="28"/>
        <v>0</v>
      </c>
      <c r="T13" s="72">
        <f t="shared" si="29"/>
        <v>0</v>
      </c>
      <c r="U13" s="72">
        <f t="shared" si="30"/>
        <v>0</v>
      </c>
      <c r="V13" s="72">
        <f t="shared" si="5"/>
        <v>0</v>
      </c>
      <c r="W13" s="72">
        <f t="shared" si="1"/>
        <v>0</v>
      </c>
      <c r="X13" s="72">
        <f t="shared" si="1"/>
        <v>0</v>
      </c>
      <c r="Z13" s="72">
        <f t="shared" si="6"/>
        <v>0</v>
      </c>
      <c r="AA13" s="72">
        <f t="shared" si="7"/>
        <v>120</v>
      </c>
      <c r="AB13" s="72">
        <f t="shared" si="8"/>
        <v>0</v>
      </c>
      <c r="AC13" s="72">
        <f t="shared" si="9"/>
        <v>0</v>
      </c>
      <c r="AD13" s="72">
        <f t="shared" si="10"/>
        <v>0</v>
      </c>
      <c r="AE13" s="72">
        <f t="shared" si="11"/>
        <v>0</v>
      </c>
      <c r="AF13" s="72">
        <f t="shared" si="12"/>
        <v>0</v>
      </c>
      <c r="AG13" s="72">
        <f t="shared" si="13"/>
        <v>0</v>
      </c>
      <c r="AH13" s="72">
        <f t="shared" si="14"/>
        <v>0</v>
      </c>
      <c r="AI13" s="72">
        <f t="shared" si="15"/>
        <v>0</v>
      </c>
      <c r="AJ13" s="72">
        <f t="shared" si="16"/>
        <v>0</v>
      </c>
      <c r="AK13" s="72">
        <f t="shared" si="17"/>
        <v>0</v>
      </c>
      <c r="AL13" s="72">
        <f t="shared" si="18"/>
        <v>0</v>
      </c>
      <c r="AM13" s="72">
        <f t="shared" si="2"/>
        <v>0</v>
      </c>
      <c r="AN13" s="72">
        <f t="shared" si="2"/>
        <v>0</v>
      </c>
      <c r="AQ13" s="71" t="s">
        <v>52</v>
      </c>
      <c r="AR13" s="97">
        <f t="shared" si="0"/>
        <v>0</v>
      </c>
      <c r="AS13" s="58">
        <f>AK63</f>
        <v>0</v>
      </c>
      <c r="AT13" s="58">
        <f>U63</f>
        <v>0</v>
      </c>
      <c r="AY13" s="59"/>
    </row>
    <row r="14" spans="2:51">
      <c r="B14" s="60">
        <v>45126</v>
      </c>
      <c r="C14" s="62" t="s">
        <v>573</v>
      </c>
      <c r="D14" s="79" t="s">
        <v>53</v>
      </c>
      <c r="E14" s="56">
        <v>467.68</v>
      </c>
      <c r="F14" s="76" t="s">
        <v>65</v>
      </c>
      <c r="G14" s="77">
        <f t="shared" si="31"/>
        <v>0</v>
      </c>
      <c r="H14" s="78">
        <f t="shared" si="32"/>
        <v>467.68</v>
      </c>
      <c r="I14" s="481"/>
      <c r="J14" s="72">
        <f t="shared" si="19"/>
        <v>0</v>
      </c>
      <c r="K14" s="72">
        <f t="shared" si="20"/>
        <v>0</v>
      </c>
      <c r="L14" s="72">
        <f t="shared" si="21"/>
        <v>0</v>
      </c>
      <c r="M14" s="72">
        <f t="shared" si="22"/>
        <v>0</v>
      </c>
      <c r="N14" s="72">
        <f t="shared" si="23"/>
        <v>0</v>
      </c>
      <c r="O14" s="72">
        <f t="shared" si="24"/>
        <v>467.68</v>
      </c>
      <c r="P14" s="72">
        <f t="shared" si="25"/>
        <v>0</v>
      </c>
      <c r="Q14" s="72">
        <f t="shared" si="26"/>
        <v>0</v>
      </c>
      <c r="R14" s="72">
        <f t="shared" si="27"/>
        <v>0</v>
      </c>
      <c r="S14" s="72">
        <f t="shared" si="28"/>
        <v>0</v>
      </c>
      <c r="T14" s="72">
        <f t="shared" si="29"/>
        <v>0</v>
      </c>
      <c r="U14" s="72">
        <f t="shared" si="30"/>
        <v>0</v>
      </c>
      <c r="V14" s="72">
        <f t="shared" si="5"/>
        <v>0</v>
      </c>
      <c r="W14" s="72">
        <f t="shared" si="1"/>
        <v>0</v>
      </c>
      <c r="X14" s="72">
        <f t="shared" si="1"/>
        <v>0</v>
      </c>
      <c r="Z14" s="72">
        <f t="shared" si="6"/>
        <v>0</v>
      </c>
      <c r="AA14" s="72">
        <f t="shared" si="7"/>
        <v>0</v>
      </c>
      <c r="AB14" s="72">
        <f t="shared" si="8"/>
        <v>0</v>
      </c>
      <c r="AC14" s="72">
        <f t="shared" si="9"/>
        <v>0</v>
      </c>
      <c r="AD14" s="72">
        <f t="shared" si="10"/>
        <v>0</v>
      </c>
      <c r="AE14" s="72">
        <f t="shared" si="11"/>
        <v>0</v>
      </c>
      <c r="AF14" s="72">
        <f t="shared" si="12"/>
        <v>0</v>
      </c>
      <c r="AG14" s="72">
        <f t="shared" si="13"/>
        <v>0</v>
      </c>
      <c r="AH14" s="72">
        <f t="shared" si="14"/>
        <v>0</v>
      </c>
      <c r="AI14" s="72">
        <f t="shared" si="15"/>
        <v>0</v>
      </c>
      <c r="AJ14" s="72">
        <f t="shared" si="16"/>
        <v>0</v>
      </c>
      <c r="AK14" s="72">
        <f t="shared" si="17"/>
        <v>0</v>
      </c>
      <c r="AL14" s="72">
        <f t="shared" si="18"/>
        <v>0</v>
      </c>
      <c r="AM14" s="72">
        <f t="shared" si="2"/>
        <v>0</v>
      </c>
      <c r="AN14" s="72">
        <f t="shared" si="2"/>
        <v>0</v>
      </c>
      <c r="AQ14" s="71" t="s">
        <v>143</v>
      </c>
      <c r="AR14" s="97">
        <f t="shared" si="0"/>
        <v>0</v>
      </c>
      <c r="AS14" s="58">
        <f>AL63</f>
        <v>0</v>
      </c>
      <c r="AT14" s="58">
        <f>V63</f>
        <v>0</v>
      </c>
      <c r="AY14" s="59"/>
    </row>
    <row r="15" spans="2:51">
      <c r="B15" s="60">
        <v>45126</v>
      </c>
      <c r="C15" s="62" t="s">
        <v>573</v>
      </c>
      <c r="D15" s="79" t="s">
        <v>53</v>
      </c>
      <c r="E15" s="56">
        <v>248.44</v>
      </c>
      <c r="F15" s="76" t="s">
        <v>65</v>
      </c>
      <c r="G15" s="77">
        <f t="shared" si="3"/>
        <v>0</v>
      </c>
      <c r="H15" s="78">
        <f t="shared" si="4"/>
        <v>248.44</v>
      </c>
      <c r="I15" s="481" t="s">
        <v>127</v>
      </c>
      <c r="J15" s="72">
        <f t="shared" si="19"/>
        <v>0</v>
      </c>
      <c r="K15" s="72">
        <f t="shared" si="20"/>
        <v>0</v>
      </c>
      <c r="L15" s="72">
        <f t="shared" si="21"/>
        <v>0</v>
      </c>
      <c r="M15" s="72">
        <f t="shared" si="22"/>
        <v>0</v>
      </c>
      <c r="N15" s="72">
        <f t="shared" si="23"/>
        <v>0</v>
      </c>
      <c r="O15" s="72">
        <f t="shared" si="24"/>
        <v>248.44</v>
      </c>
      <c r="P15" s="72">
        <f t="shared" si="25"/>
        <v>0</v>
      </c>
      <c r="Q15" s="72">
        <f t="shared" si="26"/>
        <v>0</v>
      </c>
      <c r="R15" s="72">
        <f t="shared" si="27"/>
        <v>0</v>
      </c>
      <c r="S15" s="72">
        <f t="shared" si="28"/>
        <v>0</v>
      </c>
      <c r="T15" s="72">
        <f t="shared" si="29"/>
        <v>0</v>
      </c>
      <c r="U15" s="72">
        <f t="shared" si="30"/>
        <v>0</v>
      </c>
      <c r="V15" s="72">
        <f t="shared" si="5"/>
        <v>0</v>
      </c>
      <c r="W15" s="72">
        <f t="shared" si="1"/>
        <v>0</v>
      </c>
      <c r="X15" s="72">
        <f t="shared" si="1"/>
        <v>0</v>
      </c>
      <c r="Z15" s="72">
        <f t="shared" si="6"/>
        <v>0</v>
      </c>
      <c r="AA15" s="72">
        <f t="shared" si="7"/>
        <v>0</v>
      </c>
      <c r="AB15" s="72">
        <f t="shared" si="8"/>
        <v>0</v>
      </c>
      <c r="AC15" s="72">
        <f t="shared" si="9"/>
        <v>0</v>
      </c>
      <c r="AD15" s="72">
        <f t="shared" si="10"/>
        <v>0</v>
      </c>
      <c r="AE15" s="72">
        <f t="shared" si="11"/>
        <v>0</v>
      </c>
      <c r="AF15" s="72">
        <f t="shared" si="12"/>
        <v>0</v>
      </c>
      <c r="AG15" s="72">
        <f t="shared" si="13"/>
        <v>0</v>
      </c>
      <c r="AH15" s="72">
        <f t="shared" si="14"/>
        <v>0</v>
      </c>
      <c r="AI15" s="72">
        <f t="shared" si="15"/>
        <v>0</v>
      </c>
      <c r="AJ15" s="72">
        <f t="shared" si="16"/>
        <v>0</v>
      </c>
      <c r="AK15" s="72">
        <f t="shared" si="17"/>
        <v>0</v>
      </c>
      <c r="AL15" s="72">
        <f t="shared" si="18"/>
        <v>0</v>
      </c>
      <c r="AM15" s="72">
        <f t="shared" si="2"/>
        <v>0</v>
      </c>
      <c r="AN15" s="72">
        <f t="shared" si="2"/>
        <v>0</v>
      </c>
      <c r="AQ15" s="71" t="s">
        <v>268</v>
      </c>
      <c r="AR15" s="97">
        <f t="shared" si="0"/>
        <v>299.88</v>
      </c>
      <c r="AS15" s="58">
        <f>AM63</f>
        <v>0</v>
      </c>
      <c r="AT15" s="58">
        <f>W63</f>
        <v>299.88</v>
      </c>
      <c r="AY15" s="59"/>
    </row>
    <row r="16" spans="2:51">
      <c r="B16" s="60">
        <v>45126</v>
      </c>
      <c r="C16" s="62" t="s">
        <v>573</v>
      </c>
      <c r="D16" s="79" t="s">
        <v>53</v>
      </c>
      <c r="E16" s="56">
        <v>161.91999999999999</v>
      </c>
      <c r="F16" s="76" t="s">
        <v>65</v>
      </c>
      <c r="G16" s="77">
        <f t="shared" si="3"/>
        <v>0</v>
      </c>
      <c r="H16" s="78">
        <f t="shared" si="4"/>
        <v>161.91999999999999</v>
      </c>
      <c r="I16" s="481"/>
      <c r="J16" s="72">
        <f t="shared" si="19"/>
        <v>0</v>
      </c>
      <c r="K16" s="72">
        <f t="shared" si="20"/>
        <v>0</v>
      </c>
      <c r="L16" s="72">
        <f t="shared" si="21"/>
        <v>0</v>
      </c>
      <c r="M16" s="72">
        <f t="shared" si="22"/>
        <v>0</v>
      </c>
      <c r="N16" s="72">
        <f t="shared" si="23"/>
        <v>0</v>
      </c>
      <c r="O16" s="72">
        <f t="shared" si="24"/>
        <v>161.91999999999999</v>
      </c>
      <c r="P16" s="72">
        <f t="shared" si="25"/>
        <v>0</v>
      </c>
      <c r="Q16" s="72">
        <f t="shared" si="26"/>
        <v>0</v>
      </c>
      <c r="R16" s="72">
        <f t="shared" si="27"/>
        <v>0</v>
      </c>
      <c r="S16" s="72">
        <f t="shared" si="28"/>
        <v>0</v>
      </c>
      <c r="T16" s="72">
        <f t="shared" si="29"/>
        <v>0</v>
      </c>
      <c r="U16" s="72">
        <f t="shared" si="30"/>
        <v>0</v>
      </c>
      <c r="V16" s="72">
        <f t="shared" si="5"/>
        <v>0</v>
      </c>
      <c r="W16" s="72">
        <f t="shared" si="1"/>
        <v>0</v>
      </c>
      <c r="X16" s="72">
        <f t="shared" si="1"/>
        <v>0</v>
      </c>
      <c r="Z16" s="72">
        <f t="shared" si="6"/>
        <v>0</v>
      </c>
      <c r="AA16" s="72">
        <f t="shared" si="7"/>
        <v>0</v>
      </c>
      <c r="AB16" s="72">
        <f t="shared" si="8"/>
        <v>0</v>
      </c>
      <c r="AC16" s="72">
        <f t="shared" si="9"/>
        <v>0</v>
      </c>
      <c r="AD16" s="72">
        <f t="shared" si="10"/>
        <v>0</v>
      </c>
      <c r="AE16" s="72">
        <f t="shared" si="11"/>
        <v>0</v>
      </c>
      <c r="AF16" s="72">
        <f t="shared" si="12"/>
        <v>0</v>
      </c>
      <c r="AG16" s="72">
        <f t="shared" si="13"/>
        <v>0</v>
      </c>
      <c r="AH16" s="72">
        <f t="shared" si="14"/>
        <v>0</v>
      </c>
      <c r="AI16" s="72">
        <f t="shared" si="15"/>
        <v>0</v>
      </c>
      <c r="AJ16" s="72">
        <f t="shared" si="16"/>
        <v>0</v>
      </c>
      <c r="AK16" s="72">
        <f t="shared" si="17"/>
        <v>0</v>
      </c>
      <c r="AL16" s="72">
        <f t="shared" si="18"/>
        <v>0</v>
      </c>
      <c r="AM16" s="72">
        <f t="shared" si="2"/>
        <v>0</v>
      </c>
      <c r="AN16" s="72">
        <f t="shared" si="2"/>
        <v>0</v>
      </c>
      <c r="AQ16" s="71"/>
      <c r="AR16" s="97">
        <f t="shared" si="0"/>
        <v>0</v>
      </c>
      <c r="AS16" s="95">
        <f>AN63</f>
        <v>0</v>
      </c>
      <c r="AT16" s="95">
        <f>X63</f>
        <v>0</v>
      </c>
      <c r="AU16" s="59"/>
      <c r="AY16" s="59"/>
    </row>
    <row r="17" spans="2:52">
      <c r="B17" s="60">
        <v>45134</v>
      </c>
      <c r="C17" s="62" t="s">
        <v>632</v>
      </c>
      <c r="D17" s="79" t="s">
        <v>54</v>
      </c>
      <c r="E17" s="56">
        <v>168.9</v>
      </c>
      <c r="F17" s="76" t="s">
        <v>65</v>
      </c>
      <c r="G17" s="77">
        <f t="shared" si="3"/>
        <v>0</v>
      </c>
      <c r="H17" s="78">
        <f t="shared" si="4"/>
        <v>168.9</v>
      </c>
      <c r="I17" s="481"/>
      <c r="J17" s="72">
        <f t="shared" si="19"/>
        <v>0</v>
      </c>
      <c r="K17" s="72">
        <f t="shared" si="20"/>
        <v>0</v>
      </c>
      <c r="L17" s="72">
        <f t="shared" si="21"/>
        <v>0</v>
      </c>
      <c r="M17" s="72">
        <f t="shared" si="22"/>
        <v>0</v>
      </c>
      <c r="N17" s="72">
        <f t="shared" si="23"/>
        <v>0</v>
      </c>
      <c r="O17" s="72">
        <f t="shared" si="24"/>
        <v>0</v>
      </c>
      <c r="P17" s="72">
        <f t="shared" si="25"/>
        <v>168.9</v>
      </c>
      <c r="Q17" s="72">
        <f t="shared" si="26"/>
        <v>0</v>
      </c>
      <c r="R17" s="72">
        <f t="shared" si="27"/>
        <v>0</v>
      </c>
      <c r="S17" s="72">
        <f t="shared" si="28"/>
        <v>0</v>
      </c>
      <c r="T17" s="72">
        <f t="shared" si="29"/>
        <v>0</v>
      </c>
      <c r="U17" s="72">
        <f t="shared" si="30"/>
        <v>0</v>
      </c>
      <c r="V17" s="72">
        <f t="shared" si="5"/>
        <v>0</v>
      </c>
      <c r="W17" s="72">
        <f t="shared" si="1"/>
        <v>0</v>
      </c>
      <c r="X17" s="72">
        <f t="shared" si="1"/>
        <v>0</v>
      </c>
      <c r="Z17" s="72">
        <f t="shared" si="6"/>
        <v>0</v>
      </c>
      <c r="AA17" s="72">
        <f t="shared" si="7"/>
        <v>0</v>
      </c>
      <c r="AB17" s="72">
        <f t="shared" si="8"/>
        <v>0</v>
      </c>
      <c r="AC17" s="72">
        <f t="shared" si="9"/>
        <v>0</v>
      </c>
      <c r="AD17" s="72">
        <f t="shared" si="10"/>
        <v>0</v>
      </c>
      <c r="AE17" s="72">
        <f t="shared" si="11"/>
        <v>0</v>
      </c>
      <c r="AF17" s="72">
        <f t="shared" si="12"/>
        <v>0</v>
      </c>
      <c r="AG17" s="72">
        <f t="shared" si="13"/>
        <v>0</v>
      </c>
      <c r="AH17" s="72">
        <f t="shared" si="14"/>
        <v>0</v>
      </c>
      <c r="AI17" s="72">
        <f t="shared" si="15"/>
        <v>0</v>
      </c>
      <c r="AJ17" s="72">
        <f t="shared" si="16"/>
        <v>0</v>
      </c>
      <c r="AK17" s="72">
        <f t="shared" si="17"/>
        <v>0</v>
      </c>
      <c r="AL17" s="72">
        <f t="shared" si="18"/>
        <v>0</v>
      </c>
      <c r="AM17" s="72">
        <f t="shared" si="2"/>
        <v>0</v>
      </c>
      <c r="AN17" s="72">
        <f t="shared" si="2"/>
        <v>0</v>
      </c>
      <c r="AQ17" s="87" t="s">
        <v>67</v>
      </c>
      <c r="AR17" s="96">
        <f>SUM(AR2:AR16)</f>
        <v>2157.0300000000002</v>
      </c>
      <c r="AS17" s="88">
        <f>SUM(AS2:AS16)</f>
        <v>245.17500000000001</v>
      </c>
      <c r="AT17" s="88">
        <f>SUM(AT2:AT16)</f>
        <v>1911.855</v>
      </c>
      <c r="AU17" s="59"/>
    </row>
    <row r="18" spans="2:52" ht="16.5" customHeight="1">
      <c r="B18" s="881" t="s">
        <v>267</v>
      </c>
      <c r="C18" s="872"/>
      <c r="D18" s="872"/>
      <c r="E18" s="872"/>
      <c r="F18" s="872"/>
      <c r="G18" s="872"/>
      <c r="H18" s="873"/>
      <c r="I18" s="481"/>
      <c r="J18" s="72">
        <f t="shared" si="19"/>
        <v>0</v>
      </c>
      <c r="K18" s="72">
        <f t="shared" si="20"/>
        <v>0</v>
      </c>
      <c r="L18" s="72">
        <f t="shared" si="21"/>
        <v>0</v>
      </c>
      <c r="M18" s="72">
        <f t="shared" si="22"/>
        <v>0</v>
      </c>
      <c r="N18" s="72">
        <f t="shared" si="23"/>
        <v>0</v>
      </c>
      <c r="O18" s="72">
        <f t="shared" si="24"/>
        <v>0</v>
      </c>
      <c r="P18" s="72">
        <f t="shared" si="25"/>
        <v>0</v>
      </c>
      <c r="Q18" s="72">
        <f t="shared" si="26"/>
        <v>0</v>
      </c>
      <c r="R18" s="72">
        <f t="shared" si="27"/>
        <v>0</v>
      </c>
      <c r="S18" s="72">
        <f t="shared" si="28"/>
        <v>0</v>
      </c>
      <c r="T18" s="72">
        <f t="shared" si="29"/>
        <v>0</v>
      </c>
      <c r="U18" s="72">
        <f t="shared" si="30"/>
        <v>0</v>
      </c>
      <c r="V18" s="72">
        <f t="shared" si="5"/>
        <v>0</v>
      </c>
      <c r="W18" s="72">
        <f t="shared" si="1"/>
        <v>0</v>
      </c>
      <c r="X18" s="72">
        <f t="shared" si="1"/>
        <v>0</v>
      </c>
      <c r="Z18" s="72">
        <f t="shared" si="6"/>
        <v>0</v>
      </c>
      <c r="AA18" s="72">
        <f t="shared" si="7"/>
        <v>0</v>
      </c>
      <c r="AB18" s="72">
        <f t="shared" si="8"/>
        <v>0</v>
      </c>
      <c r="AC18" s="72">
        <f t="shared" si="9"/>
        <v>0</v>
      </c>
      <c r="AD18" s="72">
        <f t="shared" si="10"/>
        <v>0</v>
      </c>
      <c r="AE18" s="72">
        <f t="shared" si="11"/>
        <v>0</v>
      </c>
      <c r="AF18" s="72">
        <f t="shared" si="12"/>
        <v>0</v>
      </c>
      <c r="AG18" s="72">
        <f t="shared" si="13"/>
        <v>0</v>
      </c>
      <c r="AH18" s="72">
        <f t="shared" si="14"/>
        <v>0</v>
      </c>
      <c r="AI18" s="72">
        <f t="shared" si="15"/>
        <v>0</v>
      </c>
      <c r="AJ18" s="72">
        <f t="shared" si="16"/>
        <v>0</v>
      </c>
      <c r="AK18" s="72">
        <f t="shared" si="17"/>
        <v>0</v>
      </c>
      <c r="AL18" s="72">
        <f t="shared" si="18"/>
        <v>0</v>
      </c>
      <c r="AM18" s="72">
        <f t="shared" si="2"/>
        <v>0</v>
      </c>
      <c r="AN18" s="72">
        <f t="shared" si="2"/>
        <v>0</v>
      </c>
      <c r="AQ18" s="80" t="s">
        <v>65</v>
      </c>
      <c r="AR18" s="850" t="s">
        <v>45</v>
      </c>
      <c r="AS18" s="851"/>
      <c r="AT18" s="852"/>
      <c r="AU18" s="99"/>
      <c r="AV18" s="98"/>
      <c r="AY18" s="59"/>
    </row>
    <row r="19" spans="2:52" ht="16.5" customHeight="1">
      <c r="B19" s="882"/>
      <c r="C19" s="875"/>
      <c r="D19" s="875"/>
      <c r="E19" s="875"/>
      <c r="F19" s="875"/>
      <c r="G19" s="875"/>
      <c r="H19" s="876"/>
      <c r="I19" s="481"/>
      <c r="J19" s="72">
        <f t="shared" si="19"/>
        <v>0</v>
      </c>
      <c r="K19" s="72">
        <f t="shared" si="20"/>
        <v>0</v>
      </c>
      <c r="L19" s="72">
        <f t="shared" si="21"/>
        <v>0</v>
      </c>
      <c r="M19" s="72">
        <f t="shared" si="22"/>
        <v>0</v>
      </c>
      <c r="N19" s="72">
        <f t="shared" si="23"/>
        <v>0</v>
      </c>
      <c r="O19" s="72">
        <f t="shared" si="24"/>
        <v>0</v>
      </c>
      <c r="P19" s="72">
        <f t="shared" si="25"/>
        <v>0</v>
      </c>
      <c r="Q19" s="72">
        <f t="shared" si="26"/>
        <v>0</v>
      </c>
      <c r="R19" s="72">
        <f t="shared" si="27"/>
        <v>0</v>
      </c>
      <c r="S19" s="72">
        <f t="shared" si="28"/>
        <v>0</v>
      </c>
      <c r="T19" s="72">
        <f t="shared" si="29"/>
        <v>0</v>
      </c>
      <c r="U19" s="72">
        <f t="shared" si="30"/>
        <v>0</v>
      </c>
      <c r="V19" s="72">
        <f t="shared" si="5"/>
        <v>0</v>
      </c>
      <c r="W19" s="72">
        <f t="shared" si="5"/>
        <v>0</v>
      </c>
      <c r="X19" s="72">
        <f t="shared" si="5"/>
        <v>0</v>
      </c>
      <c r="Z19" s="72">
        <f t="shared" si="6"/>
        <v>0</v>
      </c>
      <c r="AA19" s="72">
        <f t="shared" si="7"/>
        <v>0</v>
      </c>
      <c r="AB19" s="72">
        <f t="shared" si="8"/>
        <v>0</v>
      </c>
      <c r="AC19" s="72">
        <f t="shared" si="9"/>
        <v>0</v>
      </c>
      <c r="AD19" s="72">
        <f t="shared" si="10"/>
        <v>0</v>
      </c>
      <c r="AE19" s="72">
        <f t="shared" si="11"/>
        <v>0</v>
      </c>
      <c r="AF19" s="72">
        <f t="shared" si="12"/>
        <v>0</v>
      </c>
      <c r="AG19" s="72">
        <f t="shared" si="13"/>
        <v>0</v>
      </c>
      <c r="AH19" s="72">
        <f t="shared" si="14"/>
        <v>0</v>
      </c>
      <c r="AI19" s="72">
        <f t="shared" si="15"/>
        <v>0</v>
      </c>
      <c r="AJ19" s="72">
        <f t="shared" si="16"/>
        <v>0</v>
      </c>
      <c r="AK19" s="72">
        <f t="shared" si="17"/>
        <v>0</v>
      </c>
      <c r="AL19" s="72">
        <f t="shared" si="18"/>
        <v>0</v>
      </c>
      <c r="AM19" s="72">
        <f t="shared" si="18"/>
        <v>0</v>
      </c>
      <c r="AN19" s="72">
        <f t="shared" si="18"/>
        <v>0</v>
      </c>
      <c r="AQ19" s="80" t="s">
        <v>66</v>
      </c>
      <c r="AU19" s="98"/>
    </row>
    <row r="20" spans="2:52" ht="16.5" customHeight="1">
      <c r="B20" s="882"/>
      <c r="C20" s="875"/>
      <c r="D20" s="875"/>
      <c r="E20" s="875"/>
      <c r="F20" s="875"/>
      <c r="G20" s="875"/>
      <c r="H20" s="876"/>
      <c r="I20" s="481"/>
      <c r="J20" s="72">
        <f t="shared" si="19"/>
        <v>0</v>
      </c>
      <c r="K20" s="72">
        <f t="shared" si="20"/>
        <v>0</v>
      </c>
      <c r="L20" s="72">
        <f t="shared" si="21"/>
        <v>0</v>
      </c>
      <c r="M20" s="72">
        <f t="shared" si="22"/>
        <v>0</v>
      </c>
      <c r="N20" s="72">
        <f t="shared" si="23"/>
        <v>0</v>
      </c>
      <c r="O20" s="72">
        <f t="shared" si="24"/>
        <v>0</v>
      </c>
      <c r="P20" s="72">
        <f t="shared" si="25"/>
        <v>0</v>
      </c>
      <c r="Q20" s="72">
        <f t="shared" si="26"/>
        <v>0</v>
      </c>
      <c r="R20" s="72">
        <f t="shared" si="27"/>
        <v>0</v>
      </c>
      <c r="S20" s="72">
        <f t="shared" si="28"/>
        <v>0</v>
      </c>
      <c r="T20" s="72">
        <f t="shared" si="29"/>
        <v>0</v>
      </c>
      <c r="U20" s="72">
        <f t="shared" si="30"/>
        <v>0</v>
      </c>
      <c r="V20" s="72">
        <f t="shared" si="5"/>
        <v>0</v>
      </c>
      <c r="W20" s="72">
        <f t="shared" si="5"/>
        <v>0</v>
      </c>
      <c r="X20" s="72">
        <f t="shared" si="5"/>
        <v>0</v>
      </c>
      <c r="Z20" s="72">
        <f t="shared" si="6"/>
        <v>0</v>
      </c>
      <c r="AA20" s="72">
        <f t="shared" si="7"/>
        <v>0</v>
      </c>
      <c r="AB20" s="72">
        <f t="shared" si="8"/>
        <v>0</v>
      </c>
      <c r="AC20" s="72">
        <f t="shared" si="9"/>
        <v>0</v>
      </c>
      <c r="AD20" s="72">
        <f t="shared" si="10"/>
        <v>0</v>
      </c>
      <c r="AE20" s="72">
        <f t="shared" si="11"/>
        <v>0</v>
      </c>
      <c r="AF20" s="72">
        <f t="shared" si="12"/>
        <v>0</v>
      </c>
      <c r="AG20" s="72">
        <f t="shared" si="13"/>
        <v>0</v>
      </c>
      <c r="AH20" s="72">
        <f t="shared" si="14"/>
        <v>0</v>
      </c>
      <c r="AI20" s="72">
        <f t="shared" si="15"/>
        <v>0</v>
      </c>
      <c r="AJ20" s="72">
        <f t="shared" si="16"/>
        <v>0</v>
      </c>
      <c r="AK20" s="72">
        <f t="shared" si="17"/>
        <v>0</v>
      </c>
      <c r="AL20" s="72">
        <f t="shared" si="18"/>
        <v>0</v>
      </c>
      <c r="AM20" s="72">
        <f t="shared" si="18"/>
        <v>0</v>
      </c>
      <c r="AN20" s="72">
        <f t="shared" si="18"/>
        <v>0</v>
      </c>
    </row>
    <row r="21" spans="2:52" ht="16.5" customHeight="1">
      <c r="B21" s="882"/>
      <c r="C21" s="875"/>
      <c r="D21" s="875"/>
      <c r="E21" s="875"/>
      <c r="F21" s="875"/>
      <c r="G21" s="875"/>
      <c r="H21" s="876"/>
      <c r="I21" s="481"/>
      <c r="J21" s="72">
        <f t="shared" si="19"/>
        <v>0</v>
      </c>
      <c r="K21" s="72">
        <f t="shared" si="20"/>
        <v>0</v>
      </c>
      <c r="L21" s="72">
        <f t="shared" si="21"/>
        <v>0</v>
      </c>
      <c r="M21" s="72">
        <f t="shared" si="22"/>
        <v>0</v>
      </c>
      <c r="N21" s="72">
        <f t="shared" si="23"/>
        <v>0</v>
      </c>
      <c r="O21" s="72">
        <f t="shared" si="24"/>
        <v>0</v>
      </c>
      <c r="P21" s="72">
        <f t="shared" si="25"/>
        <v>0</v>
      </c>
      <c r="Q21" s="72">
        <f t="shared" si="26"/>
        <v>0</v>
      </c>
      <c r="R21" s="72">
        <f t="shared" si="27"/>
        <v>0</v>
      </c>
      <c r="S21" s="72">
        <f t="shared" si="28"/>
        <v>0</v>
      </c>
      <c r="T21" s="72">
        <f t="shared" si="29"/>
        <v>0</v>
      </c>
      <c r="U21" s="72">
        <f t="shared" si="30"/>
        <v>0</v>
      </c>
      <c r="V21" s="72">
        <f t="shared" si="5"/>
        <v>0</v>
      </c>
      <c r="W21" s="72">
        <f t="shared" si="5"/>
        <v>0</v>
      </c>
      <c r="X21" s="72">
        <f t="shared" si="5"/>
        <v>0</v>
      </c>
      <c r="Z21" s="72">
        <f t="shared" si="6"/>
        <v>0</v>
      </c>
      <c r="AA21" s="72">
        <f t="shared" si="7"/>
        <v>0</v>
      </c>
      <c r="AB21" s="72">
        <f t="shared" si="8"/>
        <v>0</v>
      </c>
      <c r="AC21" s="72">
        <f t="shared" si="9"/>
        <v>0</v>
      </c>
      <c r="AD21" s="72">
        <f t="shared" si="10"/>
        <v>0</v>
      </c>
      <c r="AE21" s="72">
        <f t="shared" si="11"/>
        <v>0</v>
      </c>
      <c r="AF21" s="72">
        <f t="shared" si="12"/>
        <v>0</v>
      </c>
      <c r="AG21" s="72">
        <f t="shared" si="13"/>
        <v>0</v>
      </c>
      <c r="AH21" s="72">
        <f t="shared" si="14"/>
        <v>0</v>
      </c>
      <c r="AI21" s="72">
        <f t="shared" si="15"/>
        <v>0</v>
      </c>
      <c r="AJ21" s="72">
        <f t="shared" si="16"/>
        <v>0</v>
      </c>
      <c r="AK21" s="72">
        <f t="shared" si="17"/>
        <v>0</v>
      </c>
      <c r="AL21" s="72">
        <f t="shared" si="18"/>
        <v>0</v>
      </c>
      <c r="AM21" s="72">
        <f t="shared" si="18"/>
        <v>0</v>
      </c>
      <c r="AN21" s="72">
        <f t="shared" si="18"/>
        <v>0</v>
      </c>
    </row>
    <row r="22" spans="2:52" ht="16.5" customHeight="1">
      <c r="B22" s="882"/>
      <c r="C22" s="875"/>
      <c r="D22" s="875"/>
      <c r="E22" s="875"/>
      <c r="F22" s="875"/>
      <c r="G22" s="875"/>
      <c r="H22" s="876"/>
      <c r="I22" s="482"/>
      <c r="J22" s="72">
        <f t="shared" si="19"/>
        <v>0</v>
      </c>
      <c r="K22" s="72">
        <f t="shared" si="20"/>
        <v>0</v>
      </c>
      <c r="L22" s="72">
        <f t="shared" si="21"/>
        <v>0</v>
      </c>
      <c r="M22" s="72">
        <f t="shared" si="22"/>
        <v>0</v>
      </c>
      <c r="N22" s="72">
        <f t="shared" si="23"/>
        <v>0</v>
      </c>
      <c r="O22" s="72">
        <f t="shared" si="24"/>
        <v>0</v>
      </c>
      <c r="P22" s="72">
        <f t="shared" si="25"/>
        <v>0</v>
      </c>
      <c r="Q22" s="72">
        <f t="shared" si="26"/>
        <v>0</v>
      </c>
      <c r="R22" s="72">
        <f t="shared" si="27"/>
        <v>0</v>
      </c>
      <c r="S22" s="72">
        <f t="shared" si="28"/>
        <v>0</v>
      </c>
      <c r="T22" s="72">
        <f t="shared" si="29"/>
        <v>0</v>
      </c>
      <c r="U22" s="72">
        <f t="shared" si="30"/>
        <v>0</v>
      </c>
      <c r="V22" s="72">
        <f t="shared" si="5"/>
        <v>0</v>
      </c>
      <c r="W22" s="72">
        <f t="shared" si="5"/>
        <v>0</v>
      </c>
      <c r="X22" s="72">
        <f t="shared" si="5"/>
        <v>0</v>
      </c>
      <c r="Y22" s="61"/>
      <c r="Z22" s="72">
        <f t="shared" si="6"/>
        <v>0</v>
      </c>
      <c r="AA22" s="72">
        <f t="shared" si="7"/>
        <v>0</v>
      </c>
      <c r="AB22" s="72">
        <f t="shared" si="8"/>
        <v>0</v>
      </c>
      <c r="AC22" s="72">
        <f t="shared" si="9"/>
        <v>0</v>
      </c>
      <c r="AD22" s="72">
        <f t="shared" si="10"/>
        <v>0</v>
      </c>
      <c r="AE22" s="72">
        <f t="shared" si="11"/>
        <v>0</v>
      </c>
      <c r="AF22" s="72">
        <f t="shared" si="12"/>
        <v>0</v>
      </c>
      <c r="AG22" s="72">
        <f t="shared" si="13"/>
        <v>0</v>
      </c>
      <c r="AH22" s="72">
        <f t="shared" si="14"/>
        <v>0</v>
      </c>
      <c r="AI22" s="72">
        <f t="shared" si="15"/>
        <v>0</v>
      </c>
      <c r="AJ22" s="72">
        <f t="shared" si="16"/>
        <v>0</v>
      </c>
      <c r="AK22" s="72">
        <f t="shared" si="17"/>
        <v>0</v>
      </c>
      <c r="AL22" s="72">
        <f t="shared" si="18"/>
        <v>0</v>
      </c>
      <c r="AM22" s="72">
        <f t="shared" si="18"/>
        <v>0</v>
      </c>
      <c r="AN22" s="72">
        <f t="shared" si="18"/>
        <v>0</v>
      </c>
      <c r="AO22" s="61"/>
      <c r="AP22" s="61"/>
    </row>
    <row r="23" spans="2:52" ht="17.25" customHeight="1" thickBot="1">
      <c r="B23" s="882"/>
      <c r="C23" s="875"/>
      <c r="D23" s="875"/>
      <c r="E23" s="875"/>
      <c r="F23" s="875"/>
      <c r="G23" s="875"/>
      <c r="H23" s="876"/>
      <c r="I23" s="481"/>
      <c r="J23" s="72">
        <f t="shared" si="19"/>
        <v>0</v>
      </c>
      <c r="K23" s="72">
        <f t="shared" si="20"/>
        <v>0</v>
      </c>
      <c r="L23" s="72">
        <f t="shared" si="21"/>
        <v>0</v>
      </c>
      <c r="M23" s="72">
        <f t="shared" si="22"/>
        <v>0</v>
      </c>
      <c r="N23" s="72">
        <f t="shared" si="23"/>
        <v>0</v>
      </c>
      <c r="O23" s="72">
        <f t="shared" si="24"/>
        <v>0</v>
      </c>
      <c r="P23" s="72">
        <f t="shared" si="25"/>
        <v>0</v>
      </c>
      <c r="Q23" s="72">
        <f t="shared" si="26"/>
        <v>0</v>
      </c>
      <c r="R23" s="72">
        <f t="shared" si="27"/>
        <v>0</v>
      </c>
      <c r="S23" s="72">
        <f t="shared" si="28"/>
        <v>0</v>
      </c>
      <c r="T23" s="72">
        <f t="shared" si="29"/>
        <v>0</v>
      </c>
      <c r="U23" s="72">
        <f t="shared" si="30"/>
        <v>0</v>
      </c>
      <c r="V23" s="72">
        <f t="shared" si="5"/>
        <v>0</v>
      </c>
      <c r="W23" s="72">
        <f t="shared" si="5"/>
        <v>0</v>
      </c>
      <c r="X23" s="72">
        <f t="shared" si="5"/>
        <v>0</v>
      </c>
      <c r="Z23" s="72">
        <f t="shared" si="6"/>
        <v>0</v>
      </c>
      <c r="AA23" s="72">
        <f t="shared" si="7"/>
        <v>0</v>
      </c>
      <c r="AB23" s="72">
        <f t="shared" si="8"/>
        <v>0</v>
      </c>
      <c r="AC23" s="72">
        <f t="shared" si="9"/>
        <v>0</v>
      </c>
      <c r="AD23" s="72">
        <f t="shared" si="10"/>
        <v>0</v>
      </c>
      <c r="AE23" s="72">
        <f t="shared" si="11"/>
        <v>0</v>
      </c>
      <c r="AF23" s="72">
        <f t="shared" si="12"/>
        <v>0</v>
      </c>
      <c r="AG23" s="72">
        <f t="shared" si="13"/>
        <v>0</v>
      </c>
      <c r="AH23" s="72">
        <f t="shared" si="14"/>
        <v>0</v>
      </c>
      <c r="AI23" s="72">
        <f t="shared" si="15"/>
        <v>0</v>
      </c>
      <c r="AJ23" s="72">
        <f t="shared" si="16"/>
        <v>0</v>
      </c>
      <c r="AK23" s="72">
        <f t="shared" si="17"/>
        <v>0</v>
      </c>
      <c r="AL23" s="72">
        <f t="shared" si="18"/>
        <v>0</v>
      </c>
      <c r="AM23" s="72">
        <f t="shared" si="18"/>
        <v>0</v>
      </c>
      <c r="AN23" s="72">
        <f t="shared" si="18"/>
        <v>0</v>
      </c>
      <c r="AV23" s="864" t="s">
        <v>134</v>
      </c>
      <c r="AW23" s="864"/>
      <c r="AY23" s="866" t="s">
        <v>133</v>
      </c>
      <c r="AZ23" s="866"/>
    </row>
    <row r="24" spans="2:52" ht="16.5" customHeight="1">
      <c r="B24" s="882"/>
      <c r="C24" s="875"/>
      <c r="D24" s="875"/>
      <c r="E24" s="875"/>
      <c r="F24" s="875"/>
      <c r="G24" s="875"/>
      <c r="H24" s="876"/>
      <c r="I24" s="481"/>
      <c r="J24" s="72">
        <f t="shared" si="19"/>
        <v>0</v>
      </c>
      <c r="K24" s="72">
        <f t="shared" si="20"/>
        <v>0</v>
      </c>
      <c r="L24" s="72">
        <f t="shared" si="21"/>
        <v>0</v>
      </c>
      <c r="M24" s="72">
        <f t="shared" si="22"/>
        <v>0</v>
      </c>
      <c r="N24" s="72">
        <f t="shared" si="23"/>
        <v>0</v>
      </c>
      <c r="O24" s="72">
        <f t="shared" si="24"/>
        <v>0</v>
      </c>
      <c r="P24" s="72">
        <f t="shared" si="25"/>
        <v>0</v>
      </c>
      <c r="Q24" s="72">
        <f t="shared" si="26"/>
        <v>0</v>
      </c>
      <c r="R24" s="72">
        <f t="shared" si="27"/>
        <v>0</v>
      </c>
      <c r="S24" s="72">
        <f t="shared" si="28"/>
        <v>0</v>
      </c>
      <c r="T24" s="72">
        <f t="shared" si="29"/>
        <v>0</v>
      </c>
      <c r="U24" s="72">
        <f t="shared" si="30"/>
        <v>0</v>
      </c>
      <c r="V24" s="72">
        <f t="shared" si="5"/>
        <v>0</v>
      </c>
      <c r="W24" s="72">
        <f t="shared" si="5"/>
        <v>0</v>
      </c>
      <c r="X24" s="72">
        <f t="shared" si="5"/>
        <v>0</v>
      </c>
      <c r="Z24" s="72">
        <f t="shared" si="6"/>
        <v>0</v>
      </c>
      <c r="AA24" s="72">
        <f t="shared" si="7"/>
        <v>0</v>
      </c>
      <c r="AB24" s="72">
        <f t="shared" si="8"/>
        <v>0</v>
      </c>
      <c r="AC24" s="72">
        <f t="shared" si="9"/>
        <v>0</v>
      </c>
      <c r="AD24" s="72">
        <f t="shared" si="10"/>
        <v>0</v>
      </c>
      <c r="AE24" s="72">
        <f t="shared" si="11"/>
        <v>0</v>
      </c>
      <c r="AF24" s="72">
        <f t="shared" si="12"/>
        <v>0</v>
      </c>
      <c r="AG24" s="72">
        <f t="shared" si="13"/>
        <v>0</v>
      </c>
      <c r="AH24" s="72">
        <f t="shared" si="14"/>
        <v>0</v>
      </c>
      <c r="AI24" s="72">
        <f t="shared" si="15"/>
        <v>0</v>
      </c>
      <c r="AJ24" s="72">
        <f t="shared" si="16"/>
        <v>0</v>
      </c>
      <c r="AK24" s="72">
        <f t="shared" si="17"/>
        <v>0</v>
      </c>
      <c r="AL24" s="72">
        <f t="shared" si="18"/>
        <v>0</v>
      </c>
      <c r="AM24" s="72">
        <f t="shared" si="18"/>
        <v>0</v>
      </c>
      <c r="AN24" s="72">
        <f t="shared" si="18"/>
        <v>0</v>
      </c>
      <c r="AP24" s="491"/>
      <c r="AQ24" s="487" t="s">
        <v>350</v>
      </c>
      <c r="AR24" s="494">
        <f>AR17</f>
        <v>2157.0300000000002</v>
      </c>
      <c r="AV24" s="112" t="s">
        <v>75</v>
      </c>
      <c r="AW24" s="1">
        <v>132.33000000000001</v>
      </c>
      <c r="AY24" s="502" t="s">
        <v>130</v>
      </c>
      <c r="AZ24" s="503">
        <f>AS17</f>
        <v>245.17500000000001</v>
      </c>
    </row>
    <row r="25" spans="2:52" ht="16.5" customHeight="1">
      <c r="B25" s="882"/>
      <c r="C25" s="875"/>
      <c r="D25" s="875"/>
      <c r="E25" s="875"/>
      <c r="F25" s="875"/>
      <c r="G25" s="875"/>
      <c r="H25" s="876"/>
      <c r="I25" s="481"/>
      <c r="J25" s="72">
        <f t="shared" si="19"/>
        <v>0</v>
      </c>
      <c r="K25" s="72">
        <f t="shared" si="20"/>
        <v>0</v>
      </c>
      <c r="L25" s="72">
        <f t="shared" si="21"/>
        <v>0</v>
      </c>
      <c r="M25" s="72">
        <f t="shared" si="22"/>
        <v>0</v>
      </c>
      <c r="N25" s="72">
        <f t="shared" si="23"/>
        <v>0</v>
      </c>
      <c r="O25" s="72">
        <f t="shared" si="24"/>
        <v>0</v>
      </c>
      <c r="P25" s="72">
        <f t="shared" si="25"/>
        <v>0</v>
      </c>
      <c r="Q25" s="72">
        <f t="shared" si="26"/>
        <v>0</v>
      </c>
      <c r="R25" s="72">
        <f t="shared" si="27"/>
        <v>0</v>
      </c>
      <c r="S25" s="72">
        <f t="shared" si="28"/>
        <v>0</v>
      </c>
      <c r="T25" s="72">
        <f t="shared" si="29"/>
        <v>0</v>
      </c>
      <c r="U25" s="72">
        <f t="shared" si="30"/>
        <v>0</v>
      </c>
      <c r="V25" s="72">
        <f t="shared" si="5"/>
        <v>0</v>
      </c>
      <c r="W25" s="72">
        <f t="shared" si="5"/>
        <v>0</v>
      </c>
      <c r="X25" s="72">
        <f t="shared" si="5"/>
        <v>0</v>
      </c>
      <c r="Z25" s="72">
        <f t="shared" si="6"/>
        <v>0</v>
      </c>
      <c r="AA25" s="72">
        <f t="shared" si="7"/>
        <v>0</v>
      </c>
      <c r="AB25" s="72">
        <f t="shared" si="8"/>
        <v>0</v>
      </c>
      <c r="AC25" s="72">
        <f t="shared" si="9"/>
        <v>0</v>
      </c>
      <c r="AD25" s="72">
        <f t="shared" si="10"/>
        <v>0</v>
      </c>
      <c r="AE25" s="72">
        <f t="shared" si="11"/>
        <v>0</v>
      </c>
      <c r="AF25" s="72">
        <f t="shared" si="12"/>
        <v>0</v>
      </c>
      <c r="AG25" s="72">
        <f t="shared" si="13"/>
        <v>0</v>
      </c>
      <c r="AH25" s="72">
        <f t="shared" si="14"/>
        <v>0</v>
      </c>
      <c r="AI25" s="72">
        <f t="shared" si="15"/>
        <v>0</v>
      </c>
      <c r="AJ25" s="72">
        <f t="shared" si="16"/>
        <v>0</v>
      </c>
      <c r="AK25" s="72">
        <f t="shared" si="17"/>
        <v>0</v>
      </c>
      <c r="AL25" s="72">
        <f t="shared" si="18"/>
        <v>0</v>
      </c>
      <c r="AM25" s="72">
        <f t="shared" si="18"/>
        <v>0</v>
      </c>
      <c r="AN25" s="72">
        <f t="shared" si="18"/>
        <v>0</v>
      </c>
      <c r="AP25" s="492"/>
      <c r="AQ25" s="488" t="s">
        <v>349</v>
      </c>
      <c r="AR25" s="501">
        <f>AY4+AY6</f>
        <v>175.97</v>
      </c>
      <c r="AS25" s="869" t="s">
        <v>356</v>
      </c>
      <c r="AT25" s="870"/>
      <c r="AV25" s="112" t="s">
        <v>76</v>
      </c>
      <c r="AW25" s="1">
        <v>186.06</v>
      </c>
      <c r="AY25" s="502" t="s">
        <v>131</v>
      </c>
      <c r="AZ25" s="504">
        <f>AR27</f>
        <v>40.96</v>
      </c>
    </row>
    <row r="26" spans="2:52" ht="16.5" customHeight="1">
      <c r="B26" s="882"/>
      <c r="C26" s="875"/>
      <c r="D26" s="875"/>
      <c r="E26" s="875"/>
      <c r="F26" s="875"/>
      <c r="G26" s="875"/>
      <c r="H26" s="876"/>
      <c r="I26" s="481"/>
      <c r="J26" s="72">
        <f t="shared" si="19"/>
        <v>0</v>
      </c>
      <c r="K26" s="72">
        <f t="shared" si="20"/>
        <v>0</v>
      </c>
      <c r="L26" s="72">
        <f t="shared" si="21"/>
        <v>0</v>
      </c>
      <c r="M26" s="72">
        <f t="shared" si="22"/>
        <v>0</v>
      </c>
      <c r="N26" s="72">
        <f t="shared" si="23"/>
        <v>0</v>
      </c>
      <c r="O26" s="72">
        <f t="shared" si="24"/>
        <v>0</v>
      </c>
      <c r="P26" s="72">
        <f t="shared" si="25"/>
        <v>0</v>
      </c>
      <c r="Q26" s="72">
        <f t="shared" si="26"/>
        <v>0</v>
      </c>
      <c r="R26" s="72">
        <f t="shared" si="27"/>
        <v>0</v>
      </c>
      <c r="S26" s="72">
        <f t="shared" si="28"/>
        <v>0</v>
      </c>
      <c r="T26" s="72">
        <f t="shared" si="29"/>
        <v>0</v>
      </c>
      <c r="U26" s="72">
        <f t="shared" si="30"/>
        <v>0</v>
      </c>
      <c r="V26" s="72">
        <f t="shared" si="5"/>
        <v>0</v>
      </c>
      <c r="W26" s="72">
        <f t="shared" si="5"/>
        <v>0</v>
      </c>
      <c r="X26" s="72">
        <f t="shared" si="5"/>
        <v>0</v>
      </c>
      <c r="Z26" s="72">
        <f t="shared" si="6"/>
        <v>0</v>
      </c>
      <c r="AA26" s="72">
        <f t="shared" si="7"/>
        <v>0</v>
      </c>
      <c r="AB26" s="72">
        <f t="shared" si="8"/>
        <v>0</v>
      </c>
      <c r="AC26" s="72">
        <f t="shared" si="9"/>
        <v>0</v>
      </c>
      <c r="AD26" s="72">
        <f t="shared" si="10"/>
        <v>0</v>
      </c>
      <c r="AE26" s="72">
        <f t="shared" si="11"/>
        <v>0</v>
      </c>
      <c r="AF26" s="72">
        <f t="shared" si="12"/>
        <v>0</v>
      </c>
      <c r="AG26" s="72">
        <f t="shared" si="13"/>
        <v>0</v>
      </c>
      <c r="AH26" s="72">
        <f t="shared" si="14"/>
        <v>0</v>
      </c>
      <c r="AI26" s="72">
        <f t="shared" si="15"/>
        <v>0</v>
      </c>
      <c r="AJ26" s="72">
        <f t="shared" si="16"/>
        <v>0</v>
      </c>
      <c r="AK26" s="72">
        <f t="shared" si="17"/>
        <v>0</v>
      </c>
      <c r="AL26" s="72">
        <f t="shared" si="18"/>
        <v>0</v>
      </c>
      <c r="AM26" s="72">
        <f t="shared" si="18"/>
        <v>0</v>
      </c>
      <c r="AN26" s="72">
        <f t="shared" si="18"/>
        <v>0</v>
      </c>
      <c r="AP26" s="492"/>
      <c r="AQ26" s="488" t="s">
        <v>353</v>
      </c>
      <c r="AR26" s="495">
        <f>AR24-AR25</f>
        <v>1981.0600000000002</v>
      </c>
      <c r="AV26" s="112" t="s">
        <v>77</v>
      </c>
      <c r="AW26" s="1">
        <v>700</v>
      </c>
      <c r="AY26" s="502" t="s">
        <v>134</v>
      </c>
      <c r="AZ26" s="505">
        <f>AW31</f>
        <v>652.93000000000006</v>
      </c>
    </row>
    <row r="27" spans="2:52" ht="16.5" customHeight="1">
      <c r="B27" s="882"/>
      <c r="C27" s="875"/>
      <c r="D27" s="875"/>
      <c r="E27" s="875"/>
      <c r="F27" s="875"/>
      <c r="G27" s="875"/>
      <c r="H27" s="876"/>
      <c r="I27" s="481"/>
      <c r="J27" s="72">
        <f t="shared" si="19"/>
        <v>0</v>
      </c>
      <c r="K27" s="72">
        <f t="shared" si="20"/>
        <v>0</v>
      </c>
      <c r="L27" s="72">
        <f t="shared" si="21"/>
        <v>0</v>
      </c>
      <c r="M27" s="72">
        <f t="shared" si="22"/>
        <v>0</v>
      </c>
      <c r="N27" s="72">
        <f t="shared" si="23"/>
        <v>0</v>
      </c>
      <c r="O27" s="72">
        <f t="shared" si="24"/>
        <v>0</v>
      </c>
      <c r="P27" s="72">
        <f t="shared" si="25"/>
        <v>0</v>
      </c>
      <c r="Q27" s="72">
        <f t="shared" si="26"/>
        <v>0</v>
      </c>
      <c r="R27" s="72">
        <f t="shared" si="27"/>
        <v>0</v>
      </c>
      <c r="S27" s="72">
        <f t="shared" si="28"/>
        <v>0</v>
      </c>
      <c r="T27" s="72">
        <f t="shared" si="29"/>
        <v>0</v>
      </c>
      <c r="U27" s="72">
        <f t="shared" si="30"/>
        <v>0</v>
      </c>
      <c r="V27" s="72">
        <f t="shared" si="5"/>
        <v>0</v>
      </c>
      <c r="W27" s="72">
        <f t="shared" si="5"/>
        <v>0</v>
      </c>
      <c r="X27" s="72">
        <f t="shared" si="5"/>
        <v>0</v>
      </c>
      <c r="Z27" s="72">
        <f t="shared" si="6"/>
        <v>0</v>
      </c>
      <c r="AA27" s="72">
        <f t="shared" si="7"/>
        <v>0</v>
      </c>
      <c r="AB27" s="72">
        <f t="shared" si="8"/>
        <v>0</v>
      </c>
      <c r="AC27" s="72">
        <f t="shared" si="9"/>
        <v>0</v>
      </c>
      <c r="AD27" s="72">
        <f t="shared" si="10"/>
        <v>0</v>
      </c>
      <c r="AE27" s="72">
        <f t="shared" si="11"/>
        <v>0</v>
      </c>
      <c r="AF27" s="72">
        <f t="shared" si="12"/>
        <v>0</v>
      </c>
      <c r="AG27" s="72">
        <f t="shared" si="13"/>
        <v>0</v>
      </c>
      <c r="AH27" s="72">
        <f t="shared" si="14"/>
        <v>0</v>
      </c>
      <c r="AI27" s="72">
        <f t="shared" si="15"/>
        <v>0</v>
      </c>
      <c r="AJ27" s="72">
        <f t="shared" si="16"/>
        <v>0</v>
      </c>
      <c r="AK27" s="72">
        <f t="shared" si="17"/>
        <v>0</v>
      </c>
      <c r="AL27" s="72">
        <f t="shared" si="18"/>
        <v>0</v>
      </c>
      <c r="AM27" s="72">
        <f t="shared" si="18"/>
        <v>0</v>
      </c>
      <c r="AN27" s="72">
        <f t="shared" si="18"/>
        <v>0</v>
      </c>
      <c r="AP27" s="492"/>
      <c r="AQ27" s="489" t="s">
        <v>351</v>
      </c>
      <c r="AR27" s="486">
        <v>40.96</v>
      </c>
      <c r="AS27" s="867" t="s">
        <v>357</v>
      </c>
      <c r="AT27" s="868"/>
      <c r="AV27" s="112" t="s">
        <v>78</v>
      </c>
      <c r="AW27" s="54">
        <v>287.47000000000003</v>
      </c>
      <c r="AY27" s="502" t="s">
        <v>355</v>
      </c>
      <c r="AZ27" s="165">
        <v>0</v>
      </c>
    </row>
    <row r="28" spans="2:52" ht="17.25" customHeight="1" thickBot="1">
      <c r="B28" s="882"/>
      <c r="C28" s="875"/>
      <c r="D28" s="875"/>
      <c r="E28" s="875"/>
      <c r="F28" s="875"/>
      <c r="G28" s="875"/>
      <c r="H28" s="876"/>
      <c r="I28" s="481"/>
      <c r="J28" s="72">
        <f t="shared" si="19"/>
        <v>0</v>
      </c>
      <c r="K28" s="72">
        <f t="shared" si="20"/>
        <v>0</v>
      </c>
      <c r="L28" s="72">
        <f t="shared" si="21"/>
        <v>0</v>
      </c>
      <c r="M28" s="72">
        <f t="shared" si="22"/>
        <v>0</v>
      </c>
      <c r="N28" s="72">
        <f t="shared" si="23"/>
        <v>0</v>
      </c>
      <c r="O28" s="72">
        <f t="shared" si="24"/>
        <v>0</v>
      </c>
      <c r="P28" s="72">
        <f t="shared" si="25"/>
        <v>0</v>
      </c>
      <c r="Q28" s="72">
        <f t="shared" si="26"/>
        <v>0</v>
      </c>
      <c r="R28" s="72">
        <f t="shared" si="27"/>
        <v>0</v>
      </c>
      <c r="S28" s="72">
        <f t="shared" si="28"/>
        <v>0</v>
      </c>
      <c r="T28" s="72">
        <f t="shared" si="29"/>
        <v>0</v>
      </c>
      <c r="U28" s="72">
        <f t="shared" si="30"/>
        <v>0</v>
      </c>
      <c r="V28" s="72">
        <f t="shared" si="5"/>
        <v>0</v>
      </c>
      <c r="W28" s="72">
        <f t="shared" si="5"/>
        <v>0</v>
      </c>
      <c r="X28" s="72">
        <f t="shared" si="5"/>
        <v>0</v>
      </c>
      <c r="Z28" s="72">
        <f t="shared" si="6"/>
        <v>0</v>
      </c>
      <c r="AA28" s="72">
        <f t="shared" si="7"/>
        <v>0</v>
      </c>
      <c r="AB28" s="72">
        <f t="shared" si="8"/>
        <v>0</v>
      </c>
      <c r="AC28" s="72">
        <f t="shared" si="9"/>
        <v>0</v>
      </c>
      <c r="AD28" s="72">
        <f t="shared" si="10"/>
        <v>0</v>
      </c>
      <c r="AE28" s="72">
        <f t="shared" si="11"/>
        <v>0</v>
      </c>
      <c r="AF28" s="72">
        <f t="shared" si="12"/>
        <v>0</v>
      </c>
      <c r="AG28" s="72">
        <f t="shared" si="13"/>
        <v>0</v>
      </c>
      <c r="AH28" s="72">
        <f t="shared" si="14"/>
        <v>0</v>
      </c>
      <c r="AI28" s="72">
        <f t="shared" si="15"/>
        <v>0</v>
      </c>
      <c r="AJ28" s="72">
        <f t="shared" si="16"/>
        <v>0</v>
      </c>
      <c r="AK28" s="72">
        <f t="shared" si="17"/>
        <v>0</v>
      </c>
      <c r="AL28" s="72">
        <f t="shared" si="18"/>
        <v>0</v>
      </c>
      <c r="AM28" s="72">
        <f t="shared" si="18"/>
        <v>0</v>
      </c>
      <c r="AN28" s="72">
        <f t="shared" si="18"/>
        <v>0</v>
      </c>
      <c r="AP28" s="493"/>
      <c r="AQ28" s="490" t="s">
        <v>352</v>
      </c>
      <c r="AR28" s="500">
        <f>AR27+AR26</f>
        <v>2022.0200000000002</v>
      </c>
      <c r="AS28" s="867"/>
      <c r="AT28" s="868"/>
      <c r="AV28" s="112" t="s">
        <v>45</v>
      </c>
      <c r="AW28" s="1">
        <f>+SUM(AW24:AW27)</f>
        <v>1305.8600000000001</v>
      </c>
      <c r="AY28" s="502" t="s">
        <v>45</v>
      </c>
      <c r="AZ28" s="166">
        <f>AZ24+AZ25+AZ26-AZ27</f>
        <v>939.06500000000005</v>
      </c>
    </row>
    <row r="29" spans="2:52" ht="16.5" customHeight="1">
      <c r="B29" s="882"/>
      <c r="C29" s="875"/>
      <c r="D29" s="875"/>
      <c r="E29" s="875"/>
      <c r="F29" s="875"/>
      <c r="G29" s="875"/>
      <c r="H29" s="876"/>
      <c r="I29" s="481"/>
      <c r="J29" s="72">
        <f t="shared" si="19"/>
        <v>0</v>
      </c>
      <c r="K29" s="72">
        <f t="shared" si="20"/>
        <v>0</v>
      </c>
      <c r="L29" s="72">
        <f t="shared" si="21"/>
        <v>0</v>
      </c>
      <c r="M29" s="72">
        <f t="shared" si="22"/>
        <v>0</v>
      </c>
      <c r="N29" s="72">
        <f t="shared" si="23"/>
        <v>0</v>
      </c>
      <c r="O29" s="72">
        <f t="shared" si="24"/>
        <v>0</v>
      </c>
      <c r="P29" s="72">
        <f t="shared" si="25"/>
        <v>0</v>
      </c>
      <c r="Q29" s="72">
        <f t="shared" si="26"/>
        <v>0</v>
      </c>
      <c r="R29" s="72">
        <f t="shared" si="27"/>
        <v>0</v>
      </c>
      <c r="S29" s="72">
        <f t="shared" si="28"/>
        <v>0</v>
      </c>
      <c r="T29" s="72">
        <f t="shared" si="29"/>
        <v>0</v>
      </c>
      <c r="U29" s="72">
        <f t="shared" si="30"/>
        <v>0</v>
      </c>
      <c r="V29" s="72">
        <f t="shared" si="5"/>
        <v>0</v>
      </c>
      <c r="W29" s="72">
        <f t="shared" si="5"/>
        <v>0</v>
      </c>
      <c r="X29" s="72">
        <f t="shared" si="5"/>
        <v>0</v>
      </c>
      <c r="Z29" s="72">
        <f t="shared" si="6"/>
        <v>0</v>
      </c>
      <c r="AA29" s="72">
        <f t="shared" si="7"/>
        <v>0</v>
      </c>
      <c r="AB29" s="72">
        <f t="shared" si="8"/>
        <v>0</v>
      </c>
      <c r="AC29" s="72">
        <f t="shared" si="9"/>
        <v>0</v>
      </c>
      <c r="AD29" s="72">
        <f t="shared" si="10"/>
        <v>0</v>
      </c>
      <c r="AE29" s="72">
        <f t="shared" si="11"/>
        <v>0</v>
      </c>
      <c r="AF29" s="72">
        <f t="shared" si="12"/>
        <v>0</v>
      </c>
      <c r="AG29" s="72">
        <f t="shared" si="13"/>
        <v>0</v>
      </c>
      <c r="AH29" s="72">
        <f t="shared" si="14"/>
        <v>0</v>
      </c>
      <c r="AI29" s="72">
        <f t="shared" si="15"/>
        <v>0</v>
      </c>
      <c r="AJ29" s="72">
        <f t="shared" si="16"/>
        <v>0</v>
      </c>
      <c r="AK29" s="72">
        <f t="shared" si="17"/>
        <v>0</v>
      </c>
      <c r="AL29" s="72">
        <f t="shared" si="18"/>
        <v>0</v>
      </c>
      <c r="AM29" s="72">
        <f t="shared" si="18"/>
        <v>0</v>
      </c>
      <c r="AN29" s="72">
        <f t="shared" si="18"/>
        <v>0</v>
      </c>
      <c r="AR29" s="59"/>
      <c r="AV29" s="112"/>
      <c r="AW29" s="1"/>
    </row>
    <row r="30" spans="2:52" ht="17.25" customHeight="1" thickBot="1">
      <c r="B30" s="882"/>
      <c r="C30" s="875"/>
      <c r="D30" s="875"/>
      <c r="E30" s="875"/>
      <c r="F30" s="875"/>
      <c r="G30" s="875"/>
      <c r="H30" s="876"/>
      <c r="I30" s="481"/>
      <c r="J30" s="72">
        <f t="shared" si="19"/>
        <v>0</v>
      </c>
      <c r="K30" s="72">
        <f t="shared" si="20"/>
        <v>0</v>
      </c>
      <c r="L30" s="72">
        <f t="shared" si="21"/>
        <v>0</v>
      </c>
      <c r="M30" s="72">
        <f t="shared" si="22"/>
        <v>0</v>
      </c>
      <c r="N30" s="72">
        <f t="shared" si="23"/>
        <v>0</v>
      </c>
      <c r="O30" s="72">
        <f t="shared" si="24"/>
        <v>0</v>
      </c>
      <c r="P30" s="72">
        <f t="shared" si="25"/>
        <v>0</v>
      </c>
      <c r="Q30" s="72">
        <f t="shared" si="26"/>
        <v>0</v>
      </c>
      <c r="R30" s="72">
        <f t="shared" si="27"/>
        <v>0</v>
      </c>
      <c r="S30" s="72">
        <f t="shared" si="28"/>
        <v>0</v>
      </c>
      <c r="T30" s="72">
        <f t="shared" si="29"/>
        <v>0</v>
      </c>
      <c r="U30" s="72">
        <f t="shared" si="30"/>
        <v>0</v>
      </c>
      <c r="V30" s="72">
        <f t="shared" si="5"/>
        <v>0</v>
      </c>
      <c r="W30" s="72">
        <f t="shared" si="5"/>
        <v>0</v>
      </c>
      <c r="X30" s="72">
        <f t="shared" si="5"/>
        <v>0</v>
      </c>
      <c r="Z30" s="72">
        <f t="shared" si="6"/>
        <v>0</v>
      </c>
      <c r="AA30" s="72">
        <f t="shared" si="7"/>
        <v>0</v>
      </c>
      <c r="AB30" s="72">
        <f t="shared" si="8"/>
        <v>0</v>
      </c>
      <c r="AC30" s="72">
        <f t="shared" si="9"/>
        <v>0</v>
      </c>
      <c r="AD30" s="72">
        <f t="shared" si="10"/>
        <v>0</v>
      </c>
      <c r="AE30" s="72">
        <f t="shared" si="11"/>
        <v>0</v>
      </c>
      <c r="AF30" s="72">
        <f t="shared" si="12"/>
        <v>0</v>
      </c>
      <c r="AG30" s="72">
        <f t="shared" si="13"/>
        <v>0</v>
      </c>
      <c r="AH30" s="72">
        <f t="shared" si="14"/>
        <v>0</v>
      </c>
      <c r="AI30" s="72">
        <f t="shared" si="15"/>
        <v>0</v>
      </c>
      <c r="AJ30" s="72">
        <f t="shared" si="16"/>
        <v>0</v>
      </c>
      <c r="AK30" s="72">
        <f t="shared" si="17"/>
        <v>0</v>
      </c>
      <c r="AL30" s="72">
        <f t="shared" si="18"/>
        <v>0</v>
      </c>
      <c r="AM30" s="72">
        <f t="shared" si="18"/>
        <v>0</v>
      </c>
      <c r="AN30" s="72">
        <f t="shared" si="18"/>
        <v>0</v>
      </c>
      <c r="AV30" s="1"/>
      <c r="AW30" s="1"/>
      <c r="AY30" s="485" t="s">
        <v>386</v>
      </c>
      <c r="AZ30" s="509">
        <f>AZ25+AZ24-AY6</f>
        <v>168.82499999999999</v>
      </c>
    </row>
    <row r="31" spans="2:52" ht="17.25" customHeight="1" thickBot="1">
      <c r="B31" s="882"/>
      <c r="C31" s="875"/>
      <c r="D31" s="875"/>
      <c r="E31" s="875"/>
      <c r="F31" s="875"/>
      <c r="G31" s="875"/>
      <c r="H31" s="876"/>
      <c r="I31" s="481"/>
      <c r="J31" s="72">
        <f t="shared" si="19"/>
        <v>0</v>
      </c>
      <c r="K31" s="72">
        <f t="shared" si="20"/>
        <v>0</v>
      </c>
      <c r="L31" s="72">
        <f t="shared" si="21"/>
        <v>0</v>
      </c>
      <c r="M31" s="72">
        <f t="shared" si="22"/>
        <v>0</v>
      </c>
      <c r="N31" s="72">
        <f t="shared" si="23"/>
        <v>0</v>
      </c>
      <c r="O31" s="72">
        <f t="shared" si="24"/>
        <v>0</v>
      </c>
      <c r="P31" s="72">
        <f t="shared" si="25"/>
        <v>0</v>
      </c>
      <c r="Q31" s="72">
        <f t="shared" si="26"/>
        <v>0</v>
      </c>
      <c r="R31" s="72">
        <f t="shared" si="27"/>
        <v>0</v>
      </c>
      <c r="S31" s="72">
        <f t="shared" si="28"/>
        <v>0</v>
      </c>
      <c r="T31" s="72">
        <f t="shared" si="29"/>
        <v>0</v>
      </c>
      <c r="U31" s="72">
        <f t="shared" si="30"/>
        <v>0</v>
      </c>
      <c r="V31" s="72">
        <f t="shared" si="5"/>
        <v>0</v>
      </c>
      <c r="W31" s="72">
        <f t="shared" si="5"/>
        <v>0</v>
      </c>
      <c r="X31" s="72">
        <f t="shared" si="5"/>
        <v>0</v>
      </c>
      <c r="Z31" s="72">
        <f t="shared" si="6"/>
        <v>0</v>
      </c>
      <c r="AA31" s="72">
        <f t="shared" si="7"/>
        <v>0</v>
      </c>
      <c r="AB31" s="72">
        <f t="shared" si="8"/>
        <v>0</v>
      </c>
      <c r="AC31" s="72">
        <f t="shared" si="9"/>
        <v>0</v>
      </c>
      <c r="AD31" s="72">
        <f t="shared" si="10"/>
        <v>0</v>
      </c>
      <c r="AE31" s="72">
        <f t="shared" si="11"/>
        <v>0</v>
      </c>
      <c r="AF31" s="72">
        <f t="shared" si="12"/>
        <v>0</v>
      </c>
      <c r="AG31" s="72">
        <f t="shared" si="13"/>
        <v>0</v>
      </c>
      <c r="AH31" s="72">
        <f t="shared" si="14"/>
        <v>0</v>
      </c>
      <c r="AI31" s="72">
        <f t="shared" si="15"/>
        <v>0</v>
      </c>
      <c r="AJ31" s="72">
        <f t="shared" si="16"/>
        <v>0</v>
      </c>
      <c r="AK31" s="72">
        <f t="shared" si="17"/>
        <v>0</v>
      </c>
      <c r="AL31" s="72">
        <f t="shared" si="18"/>
        <v>0</v>
      </c>
      <c r="AM31" s="72">
        <f t="shared" si="18"/>
        <v>0</v>
      </c>
      <c r="AN31" s="72">
        <f t="shared" si="18"/>
        <v>0</v>
      </c>
      <c r="AQ31" s="485" t="s">
        <v>67</v>
      </c>
      <c r="AR31" s="496">
        <f>AR27+AS17</f>
        <v>286.13499999999999</v>
      </c>
      <c r="AV31" s="112" t="s">
        <v>80</v>
      </c>
      <c r="AW31" s="113">
        <f>AW28/2</f>
        <v>652.93000000000006</v>
      </c>
    </row>
    <row r="32" spans="2:52" ht="16.5" customHeight="1">
      <c r="B32" s="882"/>
      <c r="C32" s="875"/>
      <c r="D32" s="875"/>
      <c r="E32" s="875"/>
      <c r="F32" s="875"/>
      <c r="G32" s="875"/>
      <c r="H32" s="876"/>
      <c r="I32" s="481"/>
      <c r="J32" s="72">
        <f t="shared" si="19"/>
        <v>0</v>
      </c>
      <c r="K32" s="72">
        <f t="shared" si="20"/>
        <v>0</v>
      </c>
      <c r="L32" s="72">
        <f t="shared" si="21"/>
        <v>0</v>
      </c>
      <c r="M32" s="72">
        <f t="shared" si="22"/>
        <v>0</v>
      </c>
      <c r="N32" s="72">
        <f t="shared" si="23"/>
        <v>0</v>
      </c>
      <c r="O32" s="72">
        <f t="shared" si="24"/>
        <v>0</v>
      </c>
      <c r="P32" s="72">
        <f t="shared" si="25"/>
        <v>0</v>
      </c>
      <c r="Q32" s="72">
        <f t="shared" si="26"/>
        <v>0</v>
      </c>
      <c r="R32" s="72">
        <f t="shared" si="27"/>
        <v>0</v>
      </c>
      <c r="S32" s="72">
        <f t="shared" si="28"/>
        <v>0</v>
      </c>
      <c r="T32" s="72">
        <f t="shared" si="29"/>
        <v>0</v>
      </c>
      <c r="U32" s="72">
        <f t="shared" si="30"/>
        <v>0</v>
      </c>
      <c r="V32" s="72">
        <f t="shared" si="5"/>
        <v>0</v>
      </c>
      <c r="W32" s="72">
        <f t="shared" si="5"/>
        <v>0</v>
      </c>
      <c r="X32" s="72">
        <f t="shared" si="5"/>
        <v>0</v>
      </c>
      <c r="Z32" s="72">
        <f t="shared" si="6"/>
        <v>0</v>
      </c>
      <c r="AA32" s="72">
        <f t="shared" si="7"/>
        <v>0</v>
      </c>
      <c r="AB32" s="72">
        <f t="shared" si="8"/>
        <v>0</v>
      </c>
      <c r="AC32" s="72">
        <f t="shared" si="9"/>
        <v>0</v>
      </c>
      <c r="AD32" s="72">
        <f t="shared" si="10"/>
        <v>0</v>
      </c>
      <c r="AE32" s="72">
        <f t="shared" si="11"/>
        <v>0</v>
      </c>
      <c r="AF32" s="72">
        <f t="shared" si="12"/>
        <v>0</v>
      </c>
      <c r="AG32" s="72">
        <f t="shared" si="13"/>
        <v>0</v>
      </c>
      <c r="AH32" s="72">
        <f t="shared" si="14"/>
        <v>0</v>
      </c>
      <c r="AI32" s="72">
        <f t="shared" si="15"/>
        <v>0</v>
      </c>
      <c r="AJ32" s="72">
        <f t="shared" si="16"/>
        <v>0</v>
      </c>
      <c r="AK32" s="72">
        <f t="shared" si="17"/>
        <v>0</v>
      </c>
      <c r="AL32" s="72">
        <f t="shared" si="18"/>
        <v>0</v>
      </c>
      <c r="AM32" s="72">
        <f t="shared" si="18"/>
        <v>0</v>
      </c>
      <c r="AN32" s="72">
        <f t="shared" si="18"/>
        <v>0</v>
      </c>
      <c r="AQ32" s="485" t="s">
        <v>65</v>
      </c>
      <c r="AR32" s="496">
        <f>AT17</f>
        <v>1911.855</v>
      </c>
      <c r="AY32" s="485" t="s">
        <v>389</v>
      </c>
      <c r="AZ32" s="509">
        <f>AT17-AY4</f>
        <v>1853.1949999999999</v>
      </c>
    </row>
    <row r="33" spans="2:52" ht="17.25" customHeight="1" thickBot="1">
      <c r="B33" s="882"/>
      <c r="C33" s="875"/>
      <c r="D33" s="875"/>
      <c r="E33" s="875"/>
      <c r="F33" s="875"/>
      <c r="G33" s="875"/>
      <c r="H33" s="876"/>
      <c r="I33" s="481"/>
      <c r="J33" s="72">
        <f t="shared" si="19"/>
        <v>0</v>
      </c>
      <c r="K33" s="72">
        <f t="shared" si="20"/>
        <v>0</v>
      </c>
      <c r="L33" s="72">
        <f t="shared" si="21"/>
        <v>0</v>
      </c>
      <c r="M33" s="72">
        <f t="shared" si="22"/>
        <v>0</v>
      </c>
      <c r="N33" s="72">
        <f t="shared" si="23"/>
        <v>0</v>
      </c>
      <c r="O33" s="72">
        <f t="shared" si="24"/>
        <v>0</v>
      </c>
      <c r="P33" s="72">
        <f t="shared" si="25"/>
        <v>0</v>
      </c>
      <c r="Q33" s="72">
        <f t="shared" si="26"/>
        <v>0</v>
      </c>
      <c r="R33" s="72">
        <f t="shared" si="27"/>
        <v>0</v>
      </c>
      <c r="S33" s="72">
        <f t="shared" si="28"/>
        <v>0</v>
      </c>
      <c r="T33" s="72">
        <f t="shared" si="29"/>
        <v>0</v>
      </c>
      <c r="U33" s="72">
        <f t="shared" si="30"/>
        <v>0</v>
      </c>
      <c r="V33" s="72">
        <f t="shared" si="5"/>
        <v>0</v>
      </c>
      <c r="W33" s="72">
        <f t="shared" si="5"/>
        <v>0</v>
      </c>
      <c r="X33" s="72">
        <f t="shared" si="5"/>
        <v>0</v>
      </c>
      <c r="Z33" s="72">
        <f t="shared" si="6"/>
        <v>0</v>
      </c>
      <c r="AA33" s="72">
        <f t="shared" si="7"/>
        <v>0</v>
      </c>
      <c r="AB33" s="72">
        <f t="shared" si="8"/>
        <v>0</v>
      </c>
      <c r="AC33" s="72">
        <f t="shared" si="9"/>
        <v>0</v>
      </c>
      <c r="AD33" s="72">
        <f t="shared" si="10"/>
        <v>0</v>
      </c>
      <c r="AE33" s="72">
        <f t="shared" si="11"/>
        <v>0</v>
      </c>
      <c r="AF33" s="72">
        <f t="shared" si="12"/>
        <v>0</v>
      </c>
      <c r="AG33" s="72">
        <f t="shared" si="13"/>
        <v>0</v>
      </c>
      <c r="AH33" s="72">
        <f t="shared" si="14"/>
        <v>0</v>
      </c>
      <c r="AI33" s="72">
        <f t="shared" si="15"/>
        <v>0</v>
      </c>
      <c r="AJ33" s="72">
        <f t="shared" si="16"/>
        <v>0</v>
      </c>
      <c r="AK33" s="72">
        <f t="shared" si="17"/>
        <v>0</v>
      </c>
      <c r="AL33" s="72">
        <f t="shared" si="18"/>
        <v>0</v>
      </c>
      <c r="AM33" s="72">
        <f t="shared" si="18"/>
        <v>0</v>
      </c>
      <c r="AN33" s="72">
        <f t="shared" si="18"/>
        <v>0</v>
      </c>
      <c r="AR33" s="59"/>
    </row>
    <row r="34" spans="2:52" ht="17.25" customHeight="1" thickBot="1">
      <c r="B34" s="883"/>
      <c r="C34" s="878"/>
      <c r="D34" s="878"/>
      <c r="E34" s="878"/>
      <c r="F34" s="878"/>
      <c r="G34" s="878"/>
      <c r="H34" s="879"/>
      <c r="I34" s="481"/>
      <c r="J34" s="72">
        <f t="shared" si="19"/>
        <v>0</v>
      </c>
      <c r="K34" s="72">
        <f t="shared" si="20"/>
        <v>0</v>
      </c>
      <c r="L34" s="72">
        <f t="shared" si="21"/>
        <v>0</v>
      </c>
      <c r="M34" s="72">
        <f t="shared" si="22"/>
        <v>0</v>
      </c>
      <c r="N34" s="72">
        <f t="shared" si="23"/>
        <v>0</v>
      </c>
      <c r="O34" s="72">
        <f t="shared" si="24"/>
        <v>0</v>
      </c>
      <c r="P34" s="72">
        <f t="shared" si="25"/>
        <v>0</v>
      </c>
      <c r="Q34" s="72">
        <f t="shared" si="26"/>
        <v>0</v>
      </c>
      <c r="R34" s="72">
        <f t="shared" si="27"/>
        <v>0</v>
      </c>
      <c r="S34" s="72">
        <f t="shared" si="28"/>
        <v>0</v>
      </c>
      <c r="T34" s="72">
        <f t="shared" si="29"/>
        <v>0</v>
      </c>
      <c r="U34" s="72">
        <f t="shared" si="30"/>
        <v>0</v>
      </c>
      <c r="V34" s="72">
        <f t="shared" si="5"/>
        <v>0</v>
      </c>
      <c r="W34" s="72">
        <f t="shared" si="5"/>
        <v>0</v>
      </c>
      <c r="X34" s="72">
        <f t="shared" si="5"/>
        <v>0</v>
      </c>
      <c r="Z34" s="72">
        <f t="shared" si="6"/>
        <v>0</v>
      </c>
      <c r="AA34" s="72">
        <f t="shared" si="7"/>
        <v>0</v>
      </c>
      <c r="AB34" s="72">
        <f t="shared" si="8"/>
        <v>0</v>
      </c>
      <c r="AC34" s="72">
        <f t="shared" si="9"/>
        <v>0</v>
      </c>
      <c r="AD34" s="72">
        <f t="shared" si="10"/>
        <v>0</v>
      </c>
      <c r="AE34" s="72">
        <f t="shared" si="11"/>
        <v>0</v>
      </c>
      <c r="AF34" s="72">
        <f t="shared" si="12"/>
        <v>0</v>
      </c>
      <c r="AG34" s="72">
        <f t="shared" si="13"/>
        <v>0</v>
      </c>
      <c r="AH34" s="72">
        <f t="shared" si="14"/>
        <v>0</v>
      </c>
      <c r="AI34" s="72">
        <f t="shared" si="15"/>
        <v>0</v>
      </c>
      <c r="AJ34" s="72">
        <f t="shared" si="16"/>
        <v>0</v>
      </c>
      <c r="AK34" s="72">
        <f t="shared" si="17"/>
        <v>0</v>
      </c>
      <c r="AL34" s="72">
        <f t="shared" si="18"/>
        <v>0</v>
      </c>
      <c r="AM34" s="72">
        <f t="shared" si="18"/>
        <v>0</v>
      </c>
      <c r="AN34" s="72">
        <f t="shared" si="18"/>
        <v>0</v>
      </c>
      <c r="AR34" s="497">
        <f>AR32+AR31</f>
        <v>2197.9899999999998</v>
      </c>
      <c r="AS34" s="498" t="s">
        <v>354</v>
      </c>
      <c r="AT34" s="499">
        <f>AR24+AR27</f>
        <v>2197.9900000000002</v>
      </c>
      <c r="AZ34" s="513">
        <f>AZ32+AZ30</f>
        <v>2022.02</v>
      </c>
    </row>
    <row r="35" spans="2:52" ht="1.5" customHeight="1">
      <c r="B35" s="60"/>
      <c r="C35" s="62"/>
      <c r="D35" s="79"/>
      <c r="E35" s="56"/>
      <c r="F35" s="76"/>
      <c r="G35" s="77">
        <f t="shared" ref="G35:G62" si="33">IF(F35="MARCIA",E35,IF(F35="AMBOS",E35/2,0))</f>
        <v>0</v>
      </c>
      <c r="H35" s="78">
        <f t="shared" ref="H35:H62" si="34">IF(F35="LUCIANO",E35,IF(F35="AMBOS",E35/2,0))</f>
        <v>0</v>
      </c>
      <c r="I35" s="481"/>
      <c r="J35" s="72">
        <f t="shared" si="19"/>
        <v>0</v>
      </c>
      <c r="K35" s="72">
        <f t="shared" si="20"/>
        <v>0</v>
      </c>
      <c r="L35" s="72">
        <f t="shared" si="21"/>
        <v>0</v>
      </c>
      <c r="M35" s="72">
        <f t="shared" si="22"/>
        <v>0</v>
      </c>
      <c r="N35" s="72">
        <f t="shared" si="23"/>
        <v>0</v>
      </c>
      <c r="O35" s="72">
        <f t="shared" si="24"/>
        <v>0</v>
      </c>
      <c r="P35" s="72">
        <f t="shared" si="25"/>
        <v>0</v>
      </c>
      <c r="Q35" s="72">
        <f t="shared" si="26"/>
        <v>0</v>
      </c>
      <c r="R35" s="72">
        <f t="shared" si="27"/>
        <v>0</v>
      </c>
      <c r="S35" s="72">
        <f t="shared" si="28"/>
        <v>0</v>
      </c>
      <c r="T35" s="72">
        <f t="shared" si="29"/>
        <v>0</v>
      </c>
      <c r="U35" s="72">
        <f t="shared" si="30"/>
        <v>0</v>
      </c>
      <c r="V35" s="72">
        <f t="shared" si="5"/>
        <v>0</v>
      </c>
      <c r="W35" s="72">
        <f t="shared" si="5"/>
        <v>0</v>
      </c>
      <c r="X35" s="72">
        <f t="shared" si="5"/>
        <v>0</v>
      </c>
      <c r="Z35" s="72">
        <f t="shared" si="6"/>
        <v>0</v>
      </c>
      <c r="AA35" s="72">
        <f t="shared" si="7"/>
        <v>0</v>
      </c>
      <c r="AB35" s="72">
        <f t="shared" si="8"/>
        <v>0</v>
      </c>
      <c r="AC35" s="72">
        <f t="shared" si="9"/>
        <v>0</v>
      </c>
      <c r="AD35" s="72">
        <f t="shared" si="10"/>
        <v>0</v>
      </c>
      <c r="AE35" s="72">
        <f t="shared" si="11"/>
        <v>0</v>
      </c>
      <c r="AF35" s="72">
        <f t="shared" si="12"/>
        <v>0</v>
      </c>
      <c r="AG35" s="72">
        <f t="shared" si="13"/>
        <v>0</v>
      </c>
      <c r="AH35" s="72">
        <f t="shared" si="14"/>
        <v>0</v>
      </c>
      <c r="AI35" s="72">
        <f t="shared" si="15"/>
        <v>0</v>
      </c>
      <c r="AJ35" s="72">
        <f t="shared" si="16"/>
        <v>0</v>
      </c>
      <c r="AK35" s="72">
        <f t="shared" si="17"/>
        <v>0</v>
      </c>
      <c r="AL35" s="72">
        <f t="shared" si="18"/>
        <v>0</v>
      </c>
      <c r="AM35" s="72">
        <f t="shared" si="18"/>
        <v>0</v>
      </c>
      <c r="AN35" s="72">
        <f t="shared" si="18"/>
        <v>0</v>
      </c>
    </row>
    <row r="36" spans="2:52" ht="16.5" hidden="1" customHeight="1">
      <c r="B36" s="60"/>
      <c r="C36" s="62"/>
      <c r="D36" s="79"/>
      <c r="E36" s="56"/>
      <c r="F36" s="76"/>
      <c r="G36" s="77">
        <f t="shared" si="33"/>
        <v>0</v>
      </c>
      <c r="H36" s="78">
        <f t="shared" si="34"/>
        <v>0</v>
      </c>
      <c r="I36" s="481"/>
      <c r="J36" s="72">
        <f t="shared" si="19"/>
        <v>0</v>
      </c>
      <c r="K36" s="72">
        <f t="shared" si="20"/>
        <v>0</v>
      </c>
      <c r="L36" s="72">
        <f t="shared" si="21"/>
        <v>0</v>
      </c>
      <c r="M36" s="72">
        <f t="shared" si="22"/>
        <v>0</v>
      </c>
      <c r="N36" s="72">
        <f t="shared" si="23"/>
        <v>0</v>
      </c>
      <c r="O36" s="72">
        <f t="shared" si="24"/>
        <v>0</v>
      </c>
      <c r="P36" s="72">
        <f t="shared" si="25"/>
        <v>0</v>
      </c>
      <c r="Q36" s="72">
        <f t="shared" si="26"/>
        <v>0</v>
      </c>
      <c r="R36" s="72">
        <f t="shared" si="27"/>
        <v>0</v>
      </c>
      <c r="S36" s="72">
        <f t="shared" si="28"/>
        <v>0</v>
      </c>
      <c r="T36" s="72">
        <f t="shared" si="29"/>
        <v>0</v>
      </c>
      <c r="U36" s="72">
        <f t="shared" si="30"/>
        <v>0</v>
      </c>
      <c r="V36" s="72">
        <f t="shared" ref="V36:X62" si="35">IF($D36=V$2,$H36,0)</f>
        <v>0</v>
      </c>
      <c r="W36" s="72">
        <f t="shared" si="35"/>
        <v>0</v>
      </c>
      <c r="X36" s="72">
        <f t="shared" si="35"/>
        <v>0</v>
      </c>
      <c r="Z36" s="72">
        <f t="shared" si="6"/>
        <v>0</v>
      </c>
      <c r="AA36" s="72">
        <f t="shared" si="7"/>
        <v>0</v>
      </c>
      <c r="AB36" s="72">
        <f t="shared" si="8"/>
        <v>0</v>
      </c>
      <c r="AC36" s="72">
        <f t="shared" si="9"/>
        <v>0</v>
      </c>
      <c r="AD36" s="72">
        <f t="shared" si="10"/>
        <v>0</v>
      </c>
      <c r="AE36" s="72">
        <f t="shared" si="11"/>
        <v>0</v>
      </c>
      <c r="AF36" s="72">
        <f t="shared" si="12"/>
        <v>0</v>
      </c>
      <c r="AG36" s="72">
        <f t="shared" si="13"/>
        <v>0</v>
      </c>
      <c r="AH36" s="72">
        <f t="shared" si="14"/>
        <v>0</v>
      </c>
      <c r="AI36" s="72">
        <f t="shared" si="15"/>
        <v>0</v>
      </c>
      <c r="AJ36" s="72">
        <f t="shared" si="16"/>
        <v>0</v>
      </c>
      <c r="AK36" s="72">
        <f t="shared" si="17"/>
        <v>0</v>
      </c>
      <c r="AL36" s="72">
        <f t="shared" si="18"/>
        <v>0</v>
      </c>
      <c r="AM36" s="72">
        <f t="shared" si="18"/>
        <v>0</v>
      </c>
      <c r="AN36" s="72">
        <f t="shared" si="18"/>
        <v>0</v>
      </c>
    </row>
    <row r="37" spans="2:52" ht="16.5" hidden="1" customHeight="1">
      <c r="B37" s="60"/>
      <c r="C37" s="62"/>
      <c r="D37" s="79"/>
      <c r="E37" s="56"/>
      <c r="F37" s="76"/>
      <c r="G37" s="77">
        <f t="shared" si="33"/>
        <v>0</v>
      </c>
      <c r="H37" s="78">
        <f t="shared" si="34"/>
        <v>0</v>
      </c>
      <c r="I37" s="481"/>
      <c r="J37" s="72">
        <f t="shared" si="19"/>
        <v>0</v>
      </c>
      <c r="K37" s="72">
        <f t="shared" si="20"/>
        <v>0</v>
      </c>
      <c r="L37" s="72">
        <f t="shared" si="21"/>
        <v>0</v>
      </c>
      <c r="M37" s="72">
        <f t="shared" si="22"/>
        <v>0</v>
      </c>
      <c r="N37" s="72">
        <f t="shared" si="23"/>
        <v>0</v>
      </c>
      <c r="O37" s="72">
        <f t="shared" si="24"/>
        <v>0</v>
      </c>
      <c r="P37" s="72">
        <f t="shared" si="25"/>
        <v>0</v>
      </c>
      <c r="Q37" s="72">
        <f t="shared" si="26"/>
        <v>0</v>
      </c>
      <c r="R37" s="72">
        <f t="shared" si="27"/>
        <v>0</v>
      </c>
      <c r="S37" s="72">
        <f t="shared" si="28"/>
        <v>0</v>
      </c>
      <c r="T37" s="72">
        <f t="shared" si="29"/>
        <v>0</v>
      </c>
      <c r="U37" s="72">
        <f t="shared" si="30"/>
        <v>0</v>
      </c>
      <c r="V37" s="72">
        <f t="shared" si="35"/>
        <v>0</v>
      </c>
      <c r="W37" s="72">
        <f t="shared" si="35"/>
        <v>0</v>
      </c>
      <c r="X37" s="72">
        <f t="shared" si="35"/>
        <v>0</v>
      </c>
      <c r="Z37" s="72">
        <f t="shared" si="6"/>
        <v>0</v>
      </c>
      <c r="AA37" s="72">
        <f t="shared" si="7"/>
        <v>0</v>
      </c>
      <c r="AB37" s="72">
        <f t="shared" si="8"/>
        <v>0</v>
      </c>
      <c r="AC37" s="72">
        <f t="shared" si="9"/>
        <v>0</v>
      </c>
      <c r="AD37" s="72">
        <f t="shared" si="10"/>
        <v>0</v>
      </c>
      <c r="AE37" s="72">
        <f t="shared" si="11"/>
        <v>0</v>
      </c>
      <c r="AF37" s="72">
        <f t="shared" si="12"/>
        <v>0</v>
      </c>
      <c r="AG37" s="72">
        <f t="shared" si="13"/>
        <v>0</v>
      </c>
      <c r="AH37" s="72">
        <f t="shared" si="14"/>
        <v>0</v>
      </c>
      <c r="AI37" s="72">
        <f t="shared" si="15"/>
        <v>0</v>
      </c>
      <c r="AJ37" s="72">
        <f t="shared" si="16"/>
        <v>0</v>
      </c>
      <c r="AK37" s="72">
        <f t="shared" si="17"/>
        <v>0</v>
      </c>
      <c r="AL37" s="72">
        <f t="shared" si="18"/>
        <v>0</v>
      </c>
      <c r="AM37" s="72">
        <f t="shared" si="18"/>
        <v>0</v>
      </c>
      <c r="AN37" s="72">
        <f t="shared" si="18"/>
        <v>0</v>
      </c>
    </row>
    <row r="38" spans="2:52" ht="16.5" hidden="1" customHeight="1">
      <c r="B38" s="60"/>
      <c r="C38" s="62"/>
      <c r="D38" s="79"/>
      <c r="E38" s="56"/>
      <c r="F38" s="76"/>
      <c r="G38" s="77">
        <f t="shared" si="33"/>
        <v>0</v>
      </c>
      <c r="H38" s="78">
        <f t="shared" si="34"/>
        <v>0</v>
      </c>
      <c r="I38" s="481"/>
      <c r="J38" s="72">
        <f t="shared" si="19"/>
        <v>0</v>
      </c>
      <c r="K38" s="72">
        <f t="shared" si="20"/>
        <v>0</v>
      </c>
      <c r="L38" s="72">
        <f t="shared" si="21"/>
        <v>0</v>
      </c>
      <c r="M38" s="72">
        <f t="shared" si="22"/>
        <v>0</v>
      </c>
      <c r="N38" s="72">
        <f t="shared" si="23"/>
        <v>0</v>
      </c>
      <c r="O38" s="72">
        <f t="shared" si="24"/>
        <v>0</v>
      </c>
      <c r="P38" s="72">
        <f t="shared" si="25"/>
        <v>0</v>
      </c>
      <c r="Q38" s="72">
        <f t="shared" si="26"/>
        <v>0</v>
      </c>
      <c r="R38" s="72">
        <f t="shared" si="27"/>
        <v>0</v>
      </c>
      <c r="S38" s="72">
        <f t="shared" si="28"/>
        <v>0</v>
      </c>
      <c r="T38" s="72">
        <f t="shared" si="29"/>
        <v>0</v>
      </c>
      <c r="U38" s="72">
        <f t="shared" si="30"/>
        <v>0</v>
      </c>
      <c r="V38" s="72">
        <f t="shared" si="35"/>
        <v>0</v>
      </c>
      <c r="W38" s="72">
        <f t="shared" si="35"/>
        <v>0</v>
      </c>
      <c r="X38" s="72">
        <f t="shared" si="35"/>
        <v>0</v>
      </c>
      <c r="Z38" s="72">
        <f t="shared" si="6"/>
        <v>0</v>
      </c>
      <c r="AA38" s="72">
        <f t="shared" si="7"/>
        <v>0</v>
      </c>
      <c r="AB38" s="72">
        <f t="shared" si="8"/>
        <v>0</v>
      </c>
      <c r="AC38" s="72">
        <f t="shared" si="9"/>
        <v>0</v>
      </c>
      <c r="AD38" s="72">
        <f t="shared" si="10"/>
        <v>0</v>
      </c>
      <c r="AE38" s="72">
        <f t="shared" si="11"/>
        <v>0</v>
      </c>
      <c r="AF38" s="72">
        <f t="shared" si="12"/>
        <v>0</v>
      </c>
      <c r="AG38" s="72">
        <f t="shared" si="13"/>
        <v>0</v>
      </c>
      <c r="AH38" s="72">
        <f t="shared" si="14"/>
        <v>0</v>
      </c>
      <c r="AI38" s="72">
        <f t="shared" si="15"/>
        <v>0</v>
      </c>
      <c r="AJ38" s="72">
        <f t="shared" si="16"/>
        <v>0</v>
      </c>
      <c r="AK38" s="72">
        <f t="shared" si="17"/>
        <v>0</v>
      </c>
      <c r="AL38" s="72">
        <f t="shared" si="18"/>
        <v>0</v>
      </c>
      <c r="AM38" s="72">
        <f t="shared" si="18"/>
        <v>0</v>
      </c>
      <c r="AN38" s="72">
        <f t="shared" si="18"/>
        <v>0</v>
      </c>
    </row>
    <row r="39" spans="2:52" ht="16.5" hidden="1" customHeight="1">
      <c r="B39" s="60"/>
      <c r="C39" s="62"/>
      <c r="D39" s="79"/>
      <c r="E39" s="56"/>
      <c r="F39" s="76"/>
      <c r="G39" s="77">
        <f t="shared" si="33"/>
        <v>0</v>
      </c>
      <c r="H39" s="78">
        <f t="shared" si="34"/>
        <v>0</v>
      </c>
      <c r="I39" s="481"/>
      <c r="J39" s="72">
        <f t="shared" si="19"/>
        <v>0</v>
      </c>
      <c r="K39" s="72">
        <f t="shared" si="20"/>
        <v>0</v>
      </c>
      <c r="L39" s="72">
        <f t="shared" si="21"/>
        <v>0</v>
      </c>
      <c r="M39" s="72">
        <f t="shared" si="22"/>
        <v>0</v>
      </c>
      <c r="N39" s="72">
        <f t="shared" si="23"/>
        <v>0</v>
      </c>
      <c r="O39" s="72">
        <f t="shared" si="24"/>
        <v>0</v>
      </c>
      <c r="P39" s="72">
        <f t="shared" si="25"/>
        <v>0</v>
      </c>
      <c r="Q39" s="72">
        <f t="shared" si="26"/>
        <v>0</v>
      </c>
      <c r="R39" s="72">
        <f t="shared" si="27"/>
        <v>0</v>
      </c>
      <c r="S39" s="72">
        <f t="shared" si="28"/>
        <v>0</v>
      </c>
      <c r="T39" s="72">
        <f t="shared" si="29"/>
        <v>0</v>
      </c>
      <c r="U39" s="72">
        <f t="shared" si="30"/>
        <v>0</v>
      </c>
      <c r="V39" s="72">
        <f t="shared" si="35"/>
        <v>0</v>
      </c>
      <c r="W39" s="72">
        <f t="shared" si="35"/>
        <v>0</v>
      </c>
      <c r="X39" s="72">
        <f t="shared" si="35"/>
        <v>0</v>
      </c>
      <c r="Z39" s="72">
        <f t="shared" si="6"/>
        <v>0</v>
      </c>
      <c r="AA39" s="72">
        <f t="shared" si="7"/>
        <v>0</v>
      </c>
      <c r="AB39" s="72">
        <f t="shared" si="8"/>
        <v>0</v>
      </c>
      <c r="AC39" s="72">
        <f t="shared" si="9"/>
        <v>0</v>
      </c>
      <c r="AD39" s="72">
        <f t="shared" si="10"/>
        <v>0</v>
      </c>
      <c r="AE39" s="72">
        <f t="shared" si="11"/>
        <v>0</v>
      </c>
      <c r="AF39" s="72">
        <f t="shared" si="12"/>
        <v>0</v>
      </c>
      <c r="AG39" s="72">
        <f t="shared" si="13"/>
        <v>0</v>
      </c>
      <c r="AH39" s="72">
        <f t="shared" si="14"/>
        <v>0</v>
      </c>
      <c r="AI39" s="72">
        <f t="shared" si="15"/>
        <v>0</v>
      </c>
      <c r="AJ39" s="72">
        <f t="shared" si="16"/>
        <v>0</v>
      </c>
      <c r="AK39" s="72">
        <f t="shared" si="17"/>
        <v>0</v>
      </c>
      <c r="AL39" s="72">
        <f t="shared" si="18"/>
        <v>0</v>
      </c>
      <c r="AM39" s="72">
        <f t="shared" si="18"/>
        <v>0</v>
      </c>
      <c r="AN39" s="72">
        <f t="shared" si="18"/>
        <v>0</v>
      </c>
    </row>
    <row r="40" spans="2:52" hidden="1">
      <c r="B40" s="60"/>
      <c r="C40" s="62"/>
      <c r="D40" s="79"/>
      <c r="E40" s="56"/>
      <c r="F40" s="76"/>
      <c r="G40" s="77">
        <f t="shared" si="33"/>
        <v>0</v>
      </c>
      <c r="H40" s="78">
        <f t="shared" si="34"/>
        <v>0</v>
      </c>
      <c r="I40" s="481"/>
      <c r="J40" s="72">
        <f>IF($D40="ALIMENTAÇÃO",$H40,0)</f>
        <v>0</v>
      </c>
      <c r="K40" s="72">
        <f>IF($D40="ANIMAIS",$H40,0)</f>
        <v>0</v>
      </c>
      <c r="L40" s="72">
        <f>IF($D40="FILHO",$H40,0)</f>
        <v>0</v>
      </c>
      <c r="M40" s="72">
        <f>IF($D40="GASOLINA",$H40,0)</f>
        <v>0</v>
      </c>
      <c r="N40" s="72">
        <f>IF($D40="LAZER",$H40,0)</f>
        <v>0</v>
      </c>
      <c r="O40" s="72">
        <f>IF($D40="MANUT. IMÓVEL",$H40,0)</f>
        <v>0</v>
      </c>
      <c r="P40" s="72">
        <f>IF($D40="MANUT. VEICULAR",$H40,0)</f>
        <v>0</v>
      </c>
      <c r="Q40" s="72">
        <f>IF($D40="MÓVEIS",$H40,0)</f>
        <v>0</v>
      </c>
      <c r="R40" s="72">
        <f>IF($D40="OUTROS",$H40,0)</f>
        <v>0</v>
      </c>
      <c r="S40" s="72">
        <f>IF($D40="PLANOS",$H40,0)</f>
        <v>0</v>
      </c>
      <c r="T40" s="72">
        <f>IF($D40="SAÚDE",$H40,0)</f>
        <v>0</v>
      </c>
      <c r="U40" s="72">
        <f>IF($D40="TRANSPORTE",$H40,0)</f>
        <v>0</v>
      </c>
      <c r="V40" s="72">
        <f>IF($D40=V$2,$H40,0)</f>
        <v>0</v>
      </c>
      <c r="W40" s="72">
        <f>IF($D40=W$2,$H40,0)</f>
        <v>0</v>
      </c>
      <c r="X40" s="72">
        <f>IF($D40=X$2,$H40,0)</f>
        <v>0</v>
      </c>
      <c r="Z40" s="72">
        <f>IF($D40="ALIMENTAÇÃO",$G40,0)</f>
        <v>0</v>
      </c>
      <c r="AA40" s="72">
        <f>IF($D40="ANIMAIS",$G40,0)</f>
        <v>0</v>
      </c>
      <c r="AB40" s="72">
        <f>IF($D40="FILHO",$G40,0)</f>
        <v>0</v>
      </c>
      <c r="AC40" s="72">
        <f>IF($D40="GASOLINA",$G40,0)</f>
        <v>0</v>
      </c>
      <c r="AD40" s="72">
        <f>IF($D40="LAZER",$G40,0)</f>
        <v>0</v>
      </c>
      <c r="AE40" s="72">
        <f>IF($D40="MANUT. IMÓVEL",$G40,0)</f>
        <v>0</v>
      </c>
      <c r="AF40" s="72">
        <f>IF($D40="MANUT. VEICULAR",$G40,0)</f>
        <v>0</v>
      </c>
      <c r="AG40" s="72">
        <f>IF($D40="MÓVEIS",$G40,0)</f>
        <v>0</v>
      </c>
      <c r="AH40" s="72">
        <f>IF($D40="OUTROS",$G40,0)</f>
        <v>0</v>
      </c>
      <c r="AI40" s="72">
        <f>IF($D40="PLANOS",$G40,0)</f>
        <v>0</v>
      </c>
      <c r="AJ40" s="72">
        <f>IF($D40="SAÚDE",$G40,0)</f>
        <v>0</v>
      </c>
      <c r="AK40" s="72">
        <f>IF($D40="TRANSPORTE",$G40,0)</f>
        <v>0</v>
      </c>
      <c r="AL40" s="72">
        <f>IF($D40=AL$2,$G40,0)</f>
        <v>0</v>
      </c>
      <c r="AM40" s="72">
        <f>IF($D40=AM$2,$G40,0)</f>
        <v>0</v>
      </c>
      <c r="AN40" s="72">
        <f>IF($D40=AN$2,$G40,0)</f>
        <v>0</v>
      </c>
    </row>
    <row r="41" spans="2:52" hidden="1">
      <c r="B41" s="60"/>
      <c r="C41" s="62"/>
      <c r="D41" s="79"/>
      <c r="E41" s="56"/>
      <c r="F41" s="76"/>
      <c r="G41" s="77">
        <f t="shared" si="33"/>
        <v>0</v>
      </c>
      <c r="H41" s="78">
        <f t="shared" si="34"/>
        <v>0</v>
      </c>
      <c r="I41" s="481"/>
      <c r="J41" s="72">
        <f t="shared" si="19"/>
        <v>0</v>
      </c>
      <c r="K41" s="72">
        <f t="shared" si="20"/>
        <v>0</v>
      </c>
      <c r="L41" s="72">
        <f t="shared" si="21"/>
        <v>0</v>
      </c>
      <c r="M41" s="72">
        <f t="shared" si="22"/>
        <v>0</v>
      </c>
      <c r="N41" s="72">
        <f t="shared" si="23"/>
        <v>0</v>
      </c>
      <c r="O41" s="72">
        <f t="shared" si="24"/>
        <v>0</v>
      </c>
      <c r="P41" s="72">
        <f t="shared" si="25"/>
        <v>0</v>
      </c>
      <c r="Q41" s="72">
        <f t="shared" si="26"/>
        <v>0</v>
      </c>
      <c r="R41" s="72">
        <f t="shared" si="27"/>
        <v>0</v>
      </c>
      <c r="S41" s="72">
        <f t="shared" si="28"/>
        <v>0</v>
      </c>
      <c r="T41" s="72">
        <f t="shared" si="29"/>
        <v>0</v>
      </c>
      <c r="U41" s="72">
        <f t="shared" si="30"/>
        <v>0</v>
      </c>
      <c r="V41" s="72">
        <f t="shared" si="35"/>
        <v>0</v>
      </c>
      <c r="W41" s="72">
        <f t="shared" si="35"/>
        <v>0</v>
      </c>
      <c r="X41" s="72">
        <f t="shared" si="35"/>
        <v>0</v>
      </c>
      <c r="Z41" s="72">
        <f t="shared" si="6"/>
        <v>0</v>
      </c>
      <c r="AA41" s="72">
        <f t="shared" si="7"/>
        <v>0</v>
      </c>
      <c r="AB41" s="72">
        <f t="shared" si="8"/>
        <v>0</v>
      </c>
      <c r="AC41" s="72">
        <f t="shared" si="9"/>
        <v>0</v>
      </c>
      <c r="AD41" s="72">
        <f t="shared" si="10"/>
        <v>0</v>
      </c>
      <c r="AE41" s="72">
        <f t="shared" si="11"/>
        <v>0</v>
      </c>
      <c r="AF41" s="72">
        <f t="shared" si="12"/>
        <v>0</v>
      </c>
      <c r="AG41" s="72">
        <f t="shared" si="13"/>
        <v>0</v>
      </c>
      <c r="AH41" s="72">
        <f t="shared" si="14"/>
        <v>0</v>
      </c>
      <c r="AI41" s="72">
        <f t="shared" si="15"/>
        <v>0</v>
      </c>
      <c r="AJ41" s="72">
        <f t="shared" si="16"/>
        <v>0</v>
      </c>
      <c r="AK41" s="72">
        <f t="shared" si="17"/>
        <v>0</v>
      </c>
      <c r="AL41" s="72">
        <f t="shared" si="18"/>
        <v>0</v>
      </c>
      <c r="AM41" s="72">
        <f t="shared" si="18"/>
        <v>0</v>
      </c>
      <c r="AN41" s="72">
        <f t="shared" si="18"/>
        <v>0</v>
      </c>
    </row>
    <row r="42" spans="2:52" hidden="1">
      <c r="B42" s="60"/>
      <c r="C42" s="62"/>
      <c r="D42" s="79"/>
      <c r="E42" s="56"/>
      <c r="F42" s="76"/>
      <c r="G42" s="77">
        <f t="shared" si="33"/>
        <v>0</v>
      </c>
      <c r="H42" s="78">
        <f t="shared" si="34"/>
        <v>0</v>
      </c>
      <c r="I42" s="481"/>
      <c r="J42" s="72">
        <f t="shared" si="19"/>
        <v>0</v>
      </c>
      <c r="K42" s="72">
        <f t="shared" si="20"/>
        <v>0</v>
      </c>
      <c r="L42" s="72">
        <f t="shared" si="21"/>
        <v>0</v>
      </c>
      <c r="M42" s="72">
        <f t="shared" si="22"/>
        <v>0</v>
      </c>
      <c r="N42" s="72">
        <f t="shared" si="23"/>
        <v>0</v>
      </c>
      <c r="O42" s="72">
        <f t="shared" si="24"/>
        <v>0</v>
      </c>
      <c r="P42" s="72">
        <f t="shared" si="25"/>
        <v>0</v>
      </c>
      <c r="Q42" s="72">
        <f t="shared" si="26"/>
        <v>0</v>
      </c>
      <c r="R42" s="72">
        <f t="shared" si="27"/>
        <v>0</v>
      </c>
      <c r="S42" s="72">
        <f t="shared" si="28"/>
        <v>0</v>
      </c>
      <c r="T42" s="72">
        <f t="shared" si="29"/>
        <v>0</v>
      </c>
      <c r="U42" s="72">
        <f t="shared" si="30"/>
        <v>0</v>
      </c>
      <c r="V42" s="72">
        <f t="shared" si="35"/>
        <v>0</v>
      </c>
      <c r="W42" s="72">
        <f t="shared" si="35"/>
        <v>0</v>
      </c>
      <c r="X42" s="72">
        <f t="shared" si="35"/>
        <v>0</v>
      </c>
      <c r="Z42" s="72">
        <f t="shared" si="6"/>
        <v>0</v>
      </c>
      <c r="AA42" s="72">
        <f t="shared" si="7"/>
        <v>0</v>
      </c>
      <c r="AB42" s="72">
        <f t="shared" si="8"/>
        <v>0</v>
      </c>
      <c r="AC42" s="72">
        <f t="shared" si="9"/>
        <v>0</v>
      </c>
      <c r="AD42" s="72">
        <f t="shared" si="10"/>
        <v>0</v>
      </c>
      <c r="AE42" s="72">
        <f t="shared" si="11"/>
        <v>0</v>
      </c>
      <c r="AF42" s="72">
        <f t="shared" si="12"/>
        <v>0</v>
      </c>
      <c r="AG42" s="72">
        <f t="shared" si="13"/>
        <v>0</v>
      </c>
      <c r="AH42" s="72">
        <f t="shared" si="14"/>
        <v>0</v>
      </c>
      <c r="AI42" s="72">
        <f t="shared" si="15"/>
        <v>0</v>
      </c>
      <c r="AJ42" s="72">
        <f t="shared" si="16"/>
        <v>0</v>
      </c>
      <c r="AK42" s="72">
        <f t="shared" si="17"/>
        <v>0</v>
      </c>
      <c r="AL42" s="72">
        <f t="shared" si="18"/>
        <v>0</v>
      </c>
      <c r="AM42" s="72">
        <f t="shared" si="18"/>
        <v>0</v>
      </c>
      <c r="AN42" s="72">
        <f t="shared" si="18"/>
        <v>0</v>
      </c>
    </row>
    <row r="43" spans="2:52" hidden="1">
      <c r="B43" s="60"/>
      <c r="C43" s="62"/>
      <c r="D43" s="79"/>
      <c r="E43" s="56"/>
      <c r="F43" s="76"/>
      <c r="G43" s="77">
        <f t="shared" si="33"/>
        <v>0</v>
      </c>
      <c r="H43" s="78">
        <f t="shared" si="34"/>
        <v>0</v>
      </c>
      <c r="I43" s="481"/>
      <c r="J43" s="72">
        <f t="shared" si="19"/>
        <v>0</v>
      </c>
      <c r="K43" s="72">
        <f t="shared" si="20"/>
        <v>0</v>
      </c>
      <c r="L43" s="72">
        <f t="shared" si="21"/>
        <v>0</v>
      </c>
      <c r="M43" s="72">
        <f t="shared" si="22"/>
        <v>0</v>
      </c>
      <c r="N43" s="72">
        <f t="shared" si="23"/>
        <v>0</v>
      </c>
      <c r="O43" s="72">
        <f t="shared" si="24"/>
        <v>0</v>
      </c>
      <c r="P43" s="72">
        <f t="shared" si="25"/>
        <v>0</v>
      </c>
      <c r="Q43" s="72">
        <f t="shared" si="26"/>
        <v>0</v>
      </c>
      <c r="R43" s="72">
        <f t="shared" si="27"/>
        <v>0</v>
      </c>
      <c r="S43" s="72">
        <f t="shared" si="28"/>
        <v>0</v>
      </c>
      <c r="T43" s="72">
        <f t="shared" si="29"/>
        <v>0</v>
      </c>
      <c r="U43" s="72">
        <f t="shared" si="30"/>
        <v>0</v>
      </c>
      <c r="V43" s="72">
        <f t="shared" si="35"/>
        <v>0</v>
      </c>
      <c r="W43" s="72">
        <f t="shared" si="35"/>
        <v>0</v>
      </c>
      <c r="X43" s="72">
        <f t="shared" si="35"/>
        <v>0</v>
      </c>
      <c r="Z43" s="72">
        <f t="shared" si="6"/>
        <v>0</v>
      </c>
      <c r="AA43" s="72">
        <f t="shared" si="7"/>
        <v>0</v>
      </c>
      <c r="AB43" s="72">
        <f t="shared" si="8"/>
        <v>0</v>
      </c>
      <c r="AC43" s="72">
        <f t="shared" si="9"/>
        <v>0</v>
      </c>
      <c r="AD43" s="72">
        <f t="shared" si="10"/>
        <v>0</v>
      </c>
      <c r="AE43" s="72">
        <f t="shared" si="11"/>
        <v>0</v>
      </c>
      <c r="AF43" s="72">
        <f t="shared" si="12"/>
        <v>0</v>
      </c>
      <c r="AG43" s="72">
        <f t="shared" si="13"/>
        <v>0</v>
      </c>
      <c r="AH43" s="72">
        <f t="shared" si="14"/>
        <v>0</v>
      </c>
      <c r="AI43" s="72">
        <f t="shared" si="15"/>
        <v>0</v>
      </c>
      <c r="AJ43" s="72">
        <f t="shared" si="16"/>
        <v>0</v>
      </c>
      <c r="AK43" s="72">
        <f t="shared" si="17"/>
        <v>0</v>
      </c>
      <c r="AL43" s="72">
        <f t="shared" si="18"/>
        <v>0</v>
      </c>
      <c r="AM43" s="72">
        <f t="shared" si="18"/>
        <v>0</v>
      </c>
      <c r="AN43" s="72">
        <f t="shared" si="18"/>
        <v>0</v>
      </c>
    </row>
    <row r="44" spans="2:52" hidden="1">
      <c r="B44" s="60"/>
      <c r="C44" s="62"/>
      <c r="D44" s="79"/>
      <c r="E44" s="56"/>
      <c r="F44" s="76"/>
      <c r="G44" s="77">
        <f t="shared" si="33"/>
        <v>0</v>
      </c>
      <c r="H44" s="78">
        <f t="shared" si="34"/>
        <v>0</v>
      </c>
      <c r="I44" s="481"/>
      <c r="J44" s="72">
        <f t="shared" si="19"/>
        <v>0</v>
      </c>
      <c r="K44" s="72">
        <f t="shared" si="20"/>
        <v>0</v>
      </c>
      <c r="L44" s="72">
        <f t="shared" si="21"/>
        <v>0</v>
      </c>
      <c r="M44" s="72">
        <f t="shared" si="22"/>
        <v>0</v>
      </c>
      <c r="N44" s="72">
        <f t="shared" si="23"/>
        <v>0</v>
      </c>
      <c r="O44" s="72">
        <f t="shared" si="24"/>
        <v>0</v>
      </c>
      <c r="P44" s="72">
        <f t="shared" si="25"/>
        <v>0</v>
      </c>
      <c r="Q44" s="72">
        <f t="shared" si="26"/>
        <v>0</v>
      </c>
      <c r="R44" s="72">
        <f t="shared" si="27"/>
        <v>0</v>
      </c>
      <c r="S44" s="72">
        <f t="shared" si="28"/>
        <v>0</v>
      </c>
      <c r="T44" s="72">
        <f t="shared" si="29"/>
        <v>0</v>
      </c>
      <c r="U44" s="72">
        <f t="shared" si="30"/>
        <v>0</v>
      </c>
      <c r="V44" s="72">
        <f t="shared" si="35"/>
        <v>0</v>
      </c>
      <c r="W44" s="72">
        <f t="shared" si="35"/>
        <v>0</v>
      </c>
      <c r="X44" s="72">
        <f t="shared" si="35"/>
        <v>0</v>
      </c>
      <c r="Z44" s="72">
        <f t="shared" si="6"/>
        <v>0</v>
      </c>
      <c r="AA44" s="72">
        <f t="shared" si="7"/>
        <v>0</v>
      </c>
      <c r="AB44" s="72">
        <f t="shared" si="8"/>
        <v>0</v>
      </c>
      <c r="AC44" s="72">
        <f t="shared" si="9"/>
        <v>0</v>
      </c>
      <c r="AD44" s="72">
        <f t="shared" si="10"/>
        <v>0</v>
      </c>
      <c r="AE44" s="72">
        <f t="shared" si="11"/>
        <v>0</v>
      </c>
      <c r="AF44" s="72">
        <f t="shared" si="12"/>
        <v>0</v>
      </c>
      <c r="AG44" s="72">
        <f t="shared" si="13"/>
        <v>0</v>
      </c>
      <c r="AH44" s="72">
        <f t="shared" si="14"/>
        <v>0</v>
      </c>
      <c r="AI44" s="72">
        <f t="shared" si="15"/>
        <v>0</v>
      </c>
      <c r="AJ44" s="72">
        <f t="shared" si="16"/>
        <v>0</v>
      </c>
      <c r="AK44" s="72">
        <f t="shared" si="17"/>
        <v>0</v>
      </c>
      <c r="AL44" s="72">
        <f t="shared" si="18"/>
        <v>0</v>
      </c>
      <c r="AM44" s="72">
        <f t="shared" si="18"/>
        <v>0</v>
      </c>
      <c r="AN44" s="72">
        <f t="shared" si="18"/>
        <v>0</v>
      </c>
    </row>
    <row r="45" spans="2:52" hidden="1">
      <c r="B45" s="60"/>
      <c r="C45" s="62"/>
      <c r="D45" s="79"/>
      <c r="E45" s="56"/>
      <c r="F45" s="76"/>
      <c r="G45" s="77">
        <f t="shared" si="33"/>
        <v>0</v>
      </c>
      <c r="H45" s="78">
        <f t="shared" si="34"/>
        <v>0</v>
      </c>
      <c r="I45" s="481"/>
      <c r="J45" s="72">
        <f t="shared" si="19"/>
        <v>0</v>
      </c>
      <c r="K45" s="72">
        <f t="shared" si="20"/>
        <v>0</v>
      </c>
      <c r="L45" s="72">
        <f t="shared" si="21"/>
        <v>0</v>
      </c>
      <c r="M45" s="72">
        <f t="shared" si="22"/>
        <v>0</v>
      </c>
      <c r="N45" s="72">
        <f t="shared" si="23"/>
        <v>0</v>
      </c>
      <c r="O45" s="72">
        <f t="shared" si="24"/>
        <v>0</v>
      </c>
      <c r="P45" s="72">
        <f t="shared" si="25"/>
        <v>0</v>
      </c>
      <c r="Q45" s="72">
        <f t="shared" si="26"/>
        <v>0</v>
      </c>
      <c r="R45" s="72">
        <f t="shared" si="27"/>
        <v>0</v>
      </c>
      <c r="S45" s="72">
        <f t="shared" si="28"/>
        <v>0</v>
      </c>
      <c r="T45" s="72">
        <f t="shared" si="29"/>
        <v>0</v>
      </c>
      <c r="U45" s="72">
        <f t="shared" si="30"/>
        <v>0</v>
      </c>
      <c r="V45" s="72">
        <f t="shared" si="35"/>
        <v>0</v>
      </c>
      <c r="W45" s="72">
        <f t="shared" si="35"/>
        <v>0</v>
      </c>
      <c r="X45" s="72">
        <f t="shared" si="35"/>
        <v>0</v>
      </c>
      <c r="Z45" s="72">
        <f t="shared" si="6"/>
        <v>0</v>
      </c>
      <c r="AA45" s="72">
        <f t="shared" si="7"/>
        <v>0</v>
      </c>
      <c r="AB45" s="72">
        <f t="shared" si="8"/>
        <v>0</v>
      </c>
      <c r="AC45" s="72">
        <f t="shared" si="9"/>
        <v>0</v>
      </c>
      <c r="AD45" s="72">
        <f t="shared" si="10"/>
        <v>0</v>
      </c>
      <c r="AE45" s="72">
        <f t="shared" si="11"/>
        <v>0</v>
      </c>
      <c r="AF45" s="72">
        <f t="shared" si="12"/>
        <v>0</v>
      </c>
      <c r="AG45" s="72">
        <f t="shared" si="13"/>
        <v>0</v>
      </c>
      <c r="AH45" s="72">
        <f t="shared" si="14"/>
        <v>0</v>
      </c>
      <c r="AI45" s="72">
        <f t="shared" si="15"/>
        <v>0</v>
      </c>
      <c r="AJ45" s="72">
        <f t="shared" si="16"/>
        <v>0</v>
      </c>
      <c r="AK45" s="72">
        <f t="shared" si="17"/>
        <v>0</v>
      </c>
      <c r="AL45" s="72">
        <f t="shared" si="18"/>
        <v>0</v>
      </c>
      <c r="AM45" s="72">
        <f t="shared" si="18"/>
        <v>0</v>
      </c>
      <c r="AN45" s="72">
        <f t="shared" si="18"/>
        <v>0</v>
      </c>
    </row>
    <row r="46" spans="2:52" hidden="1">
      <c r="B46" s="60"/>
      <c r="C46" s="62"/>
      <c r="D46" s="79"/>
      <c r="E46" s="56"/>
      <c r="F46" s="76"/>
      <c r="G46" s="77">
        <f t="shared" si="33"/>
        <v>0</v>
      </c>
      <c r="H46" s="78">
        <f t="shared" si="34"/>
        <v>0</v>
      </c>
      <c r="I46" s="481"/>
      <c r="J46" s="72">
        <f t="shared" si="19"/>
        <v>0</v>
      </c>
      <c r="K46" s="72">
        <f t="shared" si="20"/>
        <v>0</v>
      </c>
      <c r="L46" s="72">
        <f t="shared" si="21"/>
        <v>0</v>
      </c>
      <c r="M46" s="72">
        <f t="shared" si="22"/>
        <v>0</v>
      </c>
      <c r="N46" s="72">
        <f t="shared" si="23"/>
        <v>0</v>
      </c>
      <c r="O46" s="72">
        <f t="shared" si="24"/>
        <v>0</v>
      </c>
      <c r="P46" s="72">
        <f t="shared" si="25"/>
        <v>0</v>
      </c>
      <c r="Q46" s="72">
        <f t="shared" si="26"/>
        <v>0</v>
      </c>
      <c r="R46" s="72">
        <f t="shared" si="27"/>
        <v>0</v>
      </c>
      <c r="S46" s="72">
        <f t="shared" si="28"/>
        <v>0</v>
      </c>
      <c r="T46" s="72">
        <f t="shared" si="29"/>
        <v>0</v>
      </c>
      <c r="U46" s="72">
        <f t="shared" si="30"/>
        <v>0</v>
      </c>
      <c r="V46" s="72">
        <f t="shared" si="35"/>
        <v>0</v>
      </c>
      <c r="W46" s="72">
        <f t="shared" si="35"/>
        <v>0</v>
      </c>
      <c r="X46" s="72">
        <f t="shared" si="35"/>
        <v>0</v>
      </c>
      <c r="Z46" s="72">
        <f t="shared" si="6"/>
        <v>0</v>
      </c>
      <c r="AA46" s="72">
        <f t="shared" si="7"/>
        <v>0</v>
      </c>
      <c r="AB46" s="72">
        <f t="shared" si="8"/>
        <v>0</v>
      </c>
      <c r="AC46" s="72">
        <f t="shared" si="9"/>
        <v>0</v>
      </c>
      <c r="AD46" s="72">
        <f t="shared" si="10"/>
        <v>0</v>
      </c>
      <c r="AE46" s="72">
        <f t="shared" si="11"/>
        <v>0</v>
      </c>
      <c r="AF46" s="72">
        <f t="shared" si="12"/>
        <v>0</v>
      </c>
      <c r="AG46" s="72">
        <f t="shared" si="13"/>
        <v>0</v>
      </c>
      <c r="AH46" s="72">
        <f t="shared" si="14"/>
        <v>0</v>
      </c>
      <c r="AI46" s="72">
        <f t="shared" si="15"/>
        <v>0</v>
      </c>
      <c r="AJ46" s="72">
        <f t="shared" si="16"/>
        <v>0</v>
      </c>
      <c r="AK46" s="72">
        <f t="shared" si="17"/>
        <v>0</v>
      </c>
      <c r="AL46" s="72">
        <f t="shared" si="18"/>
        <v>0</v>
      </c>
      <c r="AM46" s="72">
        <f t="shared" si="18"/>
        <v>0</v>
      </c>
      <c r="AN46" s="72">
        <f t="shared" si="18"/>
        <v>0</v>
      </c>
    </row>
    <row r="47" spans="2:52" hidden="1">
      <c r="B47" s="60"/>
      <c r="C47" s="62"/>
      <c r="D47" s="79"/>
      <c r="E47" s="56"/>
      <c r="F47" s="76"/>
      <c r="G47" s="77">
        <f t="shared" si="33"/>
        <v>0</v>
      </c>
      <c r="H47" s="78">
        <f t="shared" si="34"/>
        <v>0</v>
      </c>
      <c r="I47" s="481"/>
      <c r="J47" s="72">
        <f t="shared" si="19"/>
        <v>0</v>
      </c>
      <c r="K47" s="72">
        <f t="shared" si="20"/>
        <v>0</v>
      </c>
      <c r="L47" s="72">
        <f t="shared" si="21"/>
        <v>0</v>
      </c>
      <c r="M47" s="72">
        <f t="shared" si="22"/>
        <v>0</v>
      </c>
      <c r="N47" s="72">
        <f t="shared" si="23"/>
        <v>0</v>
      </c>
      <c r="O47" s="72">
        <f t="shared" si="24"/>
        <v>0</v>
      </c>
      <c r="P47" s="72">
        <f t="shared" si="25"/>
        <v>0</v>
      </c>
      <c r="Q47" s="72">
        <f t="shared" si="26"/>
        <v>0</v>
      </c>
      <c r="R47" s="72">
        <f t="shared" si="27"/>
        <v>0</v>
      </c>
      <c r="S47" s="72">
        <f t="shared" si="28"/>
        <v>0</v>
      </c>
      <c r="T47" s="72">
        <f t="shared" si="29"/>
        <v>0</v>
      </c>
      <c r="U47" s="72">
        <f t="shared" si="30"/>
        <v>0</v>
      </c>
      <c r="V47" s="72">
        <f t="shared" si="35"/>
        <v>0</v>
      </c>
      <c r="W47" s="72">
        <f t="shared" si="35"/>
        <v>0</v>
      </c>
      <c r="X47" s="72">
        <f t="shared" si="35"/>
        <v>0</v>
      </c>
      <c r="Z47" s="72">
        <f t="shared" si="6"/>
        <v>0</v>
      </c>
      <c r="AA47" s="72">
        <f t="shared" si="7"/>
        <v>0</v>
      </c>
      <c r="AB47" s="72">
        <f t="shared" si="8"/>
        <v>0</v>
      </c>
      <c r="AC47" s="72">
        <f t="shared" si="9"/>
        <v>0</v>
      </c>
      <c r="AD47" s="72">
        <f t="shared" si="10"/>
        <v>0</v>
      </c>
      <c r="AE47" s="72">
        <f t="shared" si="11"/>
        <v>0</v>
      </c>
      <c r="AF47" s="72">
        <f t="shared" si="12"/>
        <v>0</v>
      </c>
      <c r="AG47" s="72">
        <f t="shared" si="13"/>
        <v>0</v>
      </c>
      <c r="AH47" s="72">
        <f t="shared" si="14"/>
        <v>0</v>
      </c>
      <c r="AI47" s="72">
        <f t="shared" si="15"/>
        <v>0</v>
      </c>
      <c r="AJ47" s="72">
        <f t="shared" si="16"/>
        <v>0</v>
      </c>
      <c r="AK47" s="72">
        <f t="shared" si="17"/>
        <v>0</v>
      </c>
      <c r="AL47" s="72">
        <f t="shared" si="18"/>
        <v>0</v>
      </c>
      <c r="AM47" s="72">
        <f t="shared" si="18"/>
        <v>0</v>
      </c>
      <c r="AN47" s="72">
        <f t="shared" si="18"/>
        <v>0</v>
      </c>
    </row>
    <row r="48" spans="2:52" hidden="1">
      <c r="B48" s="60"/>
      <c r="C48" s="62"/>
      <c r="D48" s="79"/>
      <c r="E48" s="56"/>
      <c r="F48" s="76"/>
      <c r="G48" s="77">
        <f t="shared" si="33"/>
        <v>0</v>
      </c>
      <c r="H48" s="78">
        <f t="shared" si="34"/>
        <v>0</v>
      </c>
      <c r="I48" s="481"/>
      <c r="J48" s="72">
        <f t="shared" si="19"/>
        <v>0</v>
      </c>
      <c r="K48" s="72">
        <f t="shared" si="20"/>
        <v>0</v>
      </c>
      <c r="L48" s="72">
        <f t="shared" si="21"/>
        <v>0</v>
      </c>
      <c r="M48" s="72">
        <f t="shared" si="22"/>
        <v>0</v>
      </c>
      <c r="N48" s="72">
        <f t="shared" si="23"/>
        <v>0</v>
      </c>
      <c r="O48" s="72">
        <f t="shared" si="24"/>
        <v>0</v>
      </c>
      <c r="P48" s="72">
        <f t="shared" si="25"/>
        <v>0</v>
      </c>
      <c r="Q48" s="72">
        <f t="shared" si="26"/>
        <v>0</v>
      </c>
      <c r="R48" s="72">
        <f t="shared" si="27"/>
        <v>0</v>
      </c>
      <c r="S48" s="72">
        <f t="shared" si="28"/>
        <v>0</v>
      </c>
      <c r="T48" s="72">
        <f t="shared" si="29"/>
        <v>0</v>
      </c>
      <c r="U48" s="72">
        <f t="shared" si="30"/>
        <v>0</v>
      </c>
      <c r="V48" s="72">
        <f t="shared" si="35"/>
        <v>0</v>
      </c>
      <c r="W48" s="72">
        <f t="shared" si="35"/>
        <v>0</v>
      </c>
      <c r="X48" s="72">
        <f t="shared" si="35"/>
        <v>0</v>
      </c>
      <c r="Z48" s="72">
        <f t="shared" si="6"/>
        <v>0</v>
      </c>
      <c r="AA48" s="72">
        <f t="shared" si="7"/>
        <v>0</v>
      </c>
      <c r="AB48" s="72">
        <f t="shared" si="8"/>
        <v>0</v>
      </c>
      <c r="AC48" s="72">
        <f t="shared" si="9"/>
        <v>0</v>
      </c>
      <c r="AD48" s="72">
        <f t="shared" si="10"/>
        <v>0</v>
      </c>
      <c r="AE48" s="72">
        <f t="shared" si="11"/>
        <v>0</v>
      </c>
      <c r="AF48" s="72">
        <f t="shared" si="12"/>
        <v>0</v>
      </c>
      <c r="AG48" s="72">
        <f t="shared" si="13"/>
        <v>0</v>
      </c>
      <c r="AH48" s="72">
        <f t="shared" si="14"/>
        <v>0</v>
      </c>
      <c r="AI48" s="72">
        <f t="shared" si="15"/>
        <v>0</v>
      </c>
      <c r="AJ48" s="72">
        <f t="shared" si="16"/>
        <v>0</v>
      </c>
      <c r="AK48" s="72">
        <f t="shared" si="17"/>
        <v>0</v>
      </c>
      <c r="AL48" s="72">
        <f t="shared" si="18"/>
        <v>0</v>
      </c>
      <c r="AM48" s="72">
        <f t="shared" si="18"/>
        <v>0</v>
      </c>
      <c r="AN48" s="72">
        <f t="shared" si="18"/>
        <v>0</v>
      </c>
    </row>
    <row r="49" spans="2:42" hidden="1">
      <c r="B49" s="60"/>
      <c r="C49" s="62"/>
      <c r="D49" s="79"/>
      <c r="E49" s="56"/>
      <c r="F49" s="76"/>
      <c r="G49" s="77">
        <f t="shared" si="33"/>
        <v>0</v>
      </c>
      <c r="H49" s="78">
        <f t="shared" si="34"/>
        <v>0</v>
      </c>
      <c r="I49" s="481"/>
      <c r="J49" s="72">
        <f t="shared" si="19"/>
        <v>0</v>
      </c>
      <c r="K49" s="72">
        <f t="shared" si="20"/>
        <v>0</v>
      </c>
      <c r="L49" s="72">
        <f t="shared" si="21"/>
        <v>0</v>
      </c>
      <c r="M49" s="72">
        <f t="shared" si="22"/>
        <v>0</v>
      </c>
      <c r="N49" s="72">
        <f t="shared" si="23"/>
        <v>0</v>
      </c>
      <c r="O49" s="72">
        <f t="shared" si="24"/>
        <v>0</v>
      </c>
      <c r="P49" s="72">
        <f t="shared" si="25"/>
        <v>0</v>
      </c>
      <c r="Q49" s="72">
        <f t="shared" si="26"/>
        <v>0</v>
      </c>
      <c r="R49" s="72">
        <f t="shared" si="27"/>
        <v>0</v>
      </c>
      <c r="S49" s="72">
        <f t="shared" si="28"/>
        <v>0</v>
      </c>
      <c r="T49" s="72">
        <f t="shared" si="29"/>
        <v>0</v>
      </c>
      <c r="U49" s="72">
        <f t="shared" si="30"/>
        <v>0</v>
      </c>
      <c r="V49" s="72">
        <f t="shared" si="35"/>
        <v>0</v>
      </c>
      <c r="W49" s="72">
        <f t="shared" si="35"/>
        <v>0</v>
      </c>
      <c r="X49" s="72">
        <f t="shared" si="35"/>
        <v>0</v>
      </c>
      <c r="Z49" s="72">
        <f t="shared" si="6"/>
        <v>0</v>
      </c>
      <c r="AA49" s="72">
        <f t="shared" si="7"/>
        <v>0</v>
      </c>
      <c r="AB49" s="72">
        <f t="shared" si="8"/>
        <v>0</v>
      </c>
      <c r="AC49" s="72">
        <f t="shared" si="9"/>
        <v>0</v>
      </c>
      <c r="AD49" s="72">
        <f t="shared" si="10"/>
        <v>0</v>
      </c>
      <c r="AE49" s="72">
        <f t="shared" si="11"/>
        <v>0</v>
      </c>
      <c r="AF49" s="72">
        <f t="shared" si="12"/>
        <v>0</v>
      </c>
      <c r="AG49" s="72">
        <f t="shared" si="13"/>
        <v>0</v>
      </c>
      <c r="AH49" s="72">
        <f t="shared" si="14"/>
        <v>0</v>
      </c>
      <c r="AI49" s="72">
        <f t="shared" si="15"/>
        <v>0</v>
      </c>
      <c r="AJ49" s="72">
        <f t="shared" si="16"/>
        <v>0</v>
      </c>
      <c r="AK49" s="72">
        <f t="shared" si="17"/>
        <v>0</v>
      </c>
      <c r="AL49" s="72">
        <f t="shared" si="18"/>
        <v>0</v>
      </c>
      <c r="AM49" s="72">
        <f t="shared" si="18"/>
        <v>0</v>
      </c>
      <c r="AN49" s="72">
        <f t="shared" si="18"/>
        <v>0</v>
      </c>
    </row>
    <row r="50" spans="2:42" hidden="1">
      <c r="B50" s="60"/>
      <c r="C50" s="62"/>
      <c r="D50" s="79"/>
      <c r="E50" s="56"/>
      <c r="F50" s="76"/>
      <c r="G50" s="77">
        <f t="shared" si="33"/>
        <v>0</v>
      </c>
      <c r="H50" s="78">
        <f t="shared" si="34"/>
        <v>0</v>
      </c>
      <c r="I50" s="481"/>
      <c r="J50" s="72">
        <f t="shared" si="19"/>
        <v>0</v>
      </c>
      <c r="K50" s="72">
        <f t="shared" si="20"/>
        <v>0</v>
      </c>
      <c r="L50" s="72">
        <f t="shared" si="21"/>
        <v>0</v>
      </c>
      <c r="M50" s="72">
        <f t="shared" si="22"/>
        <v>0</v>
      </c>
      <c r="N50" s="72">
        <f t="shared" si="23"/>
        <v>0</v>
      </c>
      <c r="O50" s="72">
        <f t="shared" si="24"/>
        <v>0</v>
      </c>
      <c r="P50" s="72">
        <f t="shared" si="25"/>
        <v>0</v>
      </c>
      <c r="Q50" s="72">
        <f t="shared" si="26"/>
        <v>0</v>
      </c>
      <c r="R50" s="72">
        <f t="shared" si="27"/>
        <v>0</v>
      </c>
      <c r="S50" s="72">
        <f t="shared" si="28"/>
        <v>0</v>
      </c>
      <c r="T50" s="72">
        <f t="shared" si="29"/>
        <v>0</v>
      </c>
      <c r="U50" s="72">
        <f t="shared" si="30"/>
        <v>0</v>
      </c>
      <c r="V50" s="72">
        <f t="shared" si="35"/>
        <v>0</v>
      </c>
      <c r="W50" s="72">
        <f t="shared" si="35"/>
        <v>0</v>
      </c>
      <c r="X50" s="72">
        <f t="shared" si="35"/>
        <v>0</v>
      </c>
      <c r="Z50" s="72">
        <f t="shared" si="6"/>
        <v>0</v>
      </c>
      <c r="AA50" s="72">
        <f t="shared" si="7"/>
        <v>0</v>
      </c>
      <c r="AB50" s="72">
        <f t="shared" si="8"/>
        <v>0</v>
      </c>
      <c r="AC50" s="72">
        <f t="shared" si="9"/>
        <v>0</v>
      </c>
      <c r="AD50" s="72">
        <f t="shared" si="10"/>
        <v>0</v>
      </c>
      <c r="AE50" s="72">
        <f t="shared" si="11"/>
        <v>0</v>
      </c>
      <c r="AF50" s="72">
        <f t="shared" si="12"/>
        <v>0</v>
      </c>
      <c r="AG50" s="72">
        <f t="shared" si="13"/>
        <v>0</v>
      </c>
      <c r="AH50" s="72">
        <f t="shared" si="14"/>
        <v>0</v>
      </c>
      <c r="AI50" s="72">
        <f t="shared" si="15"/>
        <v>0</v>
      </c>
      <c r="AJ50" s="72">
        <f t="shared" si="16"/>
        <v>0</v>
      </c>
      <c r="AK50" s="72">
        <f t="shared" si="17"/>
        <v>0</v>
      </c>
      <c r="AL50" s="72">
        <f t="shared" si="18"/>
        <v>0</v>
      </c>
      <c r="AM50" s="72">
        <f t="shared" si="18"/>
        <v>0</v>
      </c>
      <c r="AN50" s="72">
        <f t="shared" si="18"/>
        <v>0</v>
      </c>
    </row>
    <row r="51" spans="2:42" hidden="1">
      <c r="B51" s="60"/>
      <c r="C51" s="62"/>
      <c r="D51" s="79"/>
      <c r="E51" s="56"/>
      <c r="F51" s="76"/>
      <c r="G51" s="77">
        <f t="shared" si="33"/>
        <v>0</v>
      </c>
      <c r="H51" s="78">
        <f t="shared" si="34"/>
        <v>0</v>
      </c>
      <c r="I51" s="481"/>
      <c r="J51" s="72">
        <f t="shared" si="19"/>
        <v>0</v>
      </c>
      <c r="K51" s="72">
        <f t="shared" si="20"/>
        <v>0</v>
      </c>
      <c r="L51" s="72">
        <f t="shared" si="21"/>
        <v>0</v>
      </c>
      <c r="M51" s="72">
        <f t="shared" si="22"/>
        <v>0</v>
      </c>
      <c r="N51" s="72">
        <f t="shared" si="23"/>
        <v>0</v>
      </c>
      <c r="O51" s="72">
        <f t="shared" si="24"/>
        <v>0</v>
      </c>
      <c r="P51" s="72">
        <f t="shared" si="25"/>
        <v>0</v>
      </c>
      <c r="Q51" s="72">
        <f t="shared" si="26"/>
        <v>0</v>
      </c>
      <c r="R51" s="72">
        <f t="shared" si="27"/>
        <v>0</v>
      </c>
      <c r="S51" s="72">
        <f t="shared" si="28"/>
        <v>0</v>
      </c>
      <c r="T51" s="72">
        <f t="shared" si="29"/>
        <v>0</v>
      </c>
      <c r="U51" s="72">
        <f t="shared" si="30"/>
        <v>0</v>
      </c>
      <c r="V51" s="72">
        <f t="shared" si="35"/>
        <v>0</v>
      </c>
      <c r="W51" s="72">
        <f t="shared" si="35"/>
        <v>0</v>
      </c>
      <c r="X51" s="72">
        <f t="shared" si="35"/>
        <v>0</v>
      </c>
      <c r="Z51" s="72">
        <f t="shared" si="6"/>
        <v>0</v>
      </c>
      <c r="AA51" s="72">
        <f t="shared" si="7"/>
        <v>0</v>
      </c>
      <c r="AB51" s="72">
        <f t="shared" si="8"/>
        <v>0</v>
      </c>
      <c r="AC51" s="72">
        <f t="shared" si="9"/>
        <v>0</v>
      </c>
      <c r="AD51" s="72">
        <f t="shared" si="10"/>
        <v>0</v>
      </c>
      <c r="AE51" s="72">
        <f t="shared" si="11"/>
        <v>0</v>
      </c>
      <c r="AF51" s="72">
        <f t="shared" si="12"/>
        <v>0</v>
      </c>
      <c r="AG51" s="72">
        <f t="shared" si="13"/>
        <v>0</v>
      </c>
      <c r="AH51" s="72">
        <f t="shared" si="14"/>
        <v>0</v>
      </c>
      <c r="AI51" s="72">
        <f t="shared" si="15"/>
        <v>0</v>
      </c>
      <c r="AJ51" s="72">
        <f t="shared" si="16"/>
        <v>0</v>
      </c>
      <c r="AK51" s="72">
        <f t="shared" si="17"/>
        <v>0</v>
      </c>
      <c r="AL51" s="72">
        <f t="shared" si="18"/>
        <v>0</v>
      </c>
      <c r="AM51" s="72">
        <f t="shared" si="18"/>
        <v>0</v>
      </c>
      <c r="AN51" s="72">
        <f t="shared" si="18"/>
        <v>0</v>
      </c>
    </row>
    <row r="52" spans="2:42" hidden="1">
      <c r="B52" s="60"/>
      <c r="C52" s="62"/>
      <c r="D52" s="79"/>
      <c r="E52" s="56"/>
      <c r="F52" s="76"/>
      <c r="G52" s="77">
        <f t="shared" si="33"/>
        <v>0</v>
      </c>
      <c r="H52" s="78">
        <f t="shared" si="34"/>
        <v>0</v>
      </c>
      <c r="I52" s="481"/>
      <c r="J52" s="72">
        <f t="shared" si="19"/>
        <v>0</v>
      </c>
      <c r="K52" s="72">
        <f t="shared" si="20"/>
        <v>0</v>
      </c>
      <c r="L52" s="72">
        <f t="shared" si="21"/>
        <v>0</v>
      </c>
      <c r="M52" s="72">
        <f t="shared" si="22"/>
        <v>0</v>
      </c>
      <c r="N52" s="72">
        <f t="shared" si="23"/>
        <v>0</v>
      </c>
      <c r="O52" s="72">
        <f t="shared" si="24"/>
        <v>0</v>
      </c>
      <c r="P52" s="72">
        <f t="shared" si="25"/>
        <v>0</v>
      </c>
      <c r="Q52" s="72">
        <f t="shared" si="26"/>
        <v>0</v>
      </c>
      <c r="R52" s="72">
        <f t="shared" si="27"/>
        <v>0</v>
      </c>
      <c r="S52" s="72">
        <f t="shared" si="28"/>
        <v>0</v>
      </c>
      <c r="T52" s="72">
        <f t="shared" si="29"/>
        <v>0</v>
      </c>
      <c r="U52" s="72">
        <f t="shared" si="30"/>
        <v>0</v>
      </c>
      <c r="V52" s="72">
        <f t="shared" si="35"/>
        <v>0</v>
      </c>
      <c r="W52" s="72">
        <f t="shared" si="35"/>
        <v>0</v>
      </c>
      <c r="X52" s="72">
        <f t="shared" si="35"/>
        <v>0</v>
      </c>
      <c r="Z52" s="72">
        <f t="shared" si="6"/>
        <v>0</v>
      </c>
      <c r="AA52" s="72">
        <f t="shared" si="7"/>
        <v>0</v>
      </c>
      <c r="AB52" s="72">
        <f t="shared" si="8"/>
        <v>0</v>
      </c>
      <c r="AC52" s="72">
        <f t="shared" si="9"/>
        <v>0</v>
      </c>
      <c r="AD52" s="72">
        <f t="shared" si="10"/>
        <v>0</v>
      </c>
      <c r="AE52" s="72">
        <f t="shared" si="11"/>
        <v>0</v>
      </c>
      <c r="AF52" s="72">
        <f t="shared" si="12"/>
        <v>0</v>
      </c>
      <c r="AG52" s="72">
        <f t="shared" si="13"/>
        <v>0</v>
      </c>
      <c r="AH52" s="72">
        <f t="shared" si="14"/>
        <v>0</v>
      </c>
      <c r="AI52" s="72">
        <f t="shared" si="15"/>
        <v>0</v>
      </c>
      <c r="AJ52" s="72">
        <f t="shared" si="16"/>
        <v>0</v>
      </c>
      <c r="AK52" s="72">
        <f t="shared" si="17"/>
        <v>0</v>
      </c>
      <c r="AL52" s="72">
        <f t="shared" si="18"/>
        <v>0</v>
      </c>
      <c r="AM52" s="72">
        <f t="shared" si="18"/>
        <v>0</v>
      </c>
      <c r="AN52" s="72">
        <f t="shared" si="18"/>
        <v>0</v>
      </c>
    </row>
    <row r="53" spans="2:42" hidden="1">
      <c r="B53" s="60"/>
      <c r="C53" s="62"/>
      <c r="D53" s="79"/>
      <c r="E53" s="56"/>
      <c r="F53" s="76"/>
      <c r="G53" s="77">
        <f t="shared" si="33"/>
        <v>0</v>
      </c>
      <c r="H53" s="78">
        <f t="shared" si="34"/>
        <v>0</v>
      </c>
      <c r="I53" s="481"/>
      <c r="J53" s="72">
        <f t="shared" si="19"/>
        <v>0</v>
      </c>
      <c r="K53" s="72">
        <f t="shared" si="20"/>
        <v>0</v>
      </c>
      <c r="L53" s="72">
        <f t="shared" si="21"/>
        <v>0</v>
      </c>
      <c r="M53" s="72">
        <f t="shared" si="22"/>
        <v>0</v>
      </c>
      <c r="N53" s="72">
        <f t="shared" si="23"/>
        <v>0</v>
      </c>
      <c r="O53" s="72">
        <f t="shared" si="24"/>
        <v>0</v>
      </c>
      <c r="P53" s="72">
        <f t="shared" si="25"/>
        <v>0</v>
      </c>
      <c r="Q53" s="72">
        <f t="shared" si="26"/>
        <v>0</v>
      </c>
      <c r="R53" s="72">
        <f t="shared" si="27"/>
        <v>0</v>
      </c>
      <c r="S53" s="72">
        <f t="shared" si="28"/>
        <v>0</v>
      </c>
      <c r="T53" s="72">
        <f t="shared" si="29"/>
        <v>0</v>
      </c>
      <c r="U53" s="72">
        <f t="shared" si="30"/>
        <v>0</v>
      </c>
      <c r="V53" s="72">
        <f t="shared" si="35"/>
        <v>0</v>
      </c>
      <c r="W53" s="72">
        <f t="shared" si="35"/>
        <v>0</v>
      </c>
      <c r="X53" s="72">
        <f t="shared" si="35"/>
        <v>0</v>
      </c>
      <c r="Z53" s="72">
        <f t="shared" si="6"/>
        <v>0</v>
      </c>
      <c r="AA53" s="72">
        <f t="shared" si="7"/>
        <v>0</v>
      </c>
      <c r="AB53" s="72">
        <f t="shared" si="8"/>
        <v>0</v>
      </c>
      <c r="AC53" s="72">
        <f t="shared" si="9"/>
        <v>0</v>
      </c>
      <c r="AD53" s="72">
        <f t="shared" si="10"/>
        <v>0</v>
      </c>
      <c r="AE53" s="72">
        <f t="shared" si="11"/>
        <v>0</v>
      </c>
      <c r="AF53" s="72">
        <f t="shared" si="12"/>
        <v>0</v>
      </c>
      <c r="AG53" s="72">
        <f t="shared" si="13"/>
        <v>0</v>
      </c>
      <c r="AH53" s="72">
        <f t="shared" si="14"/>
        <v>0</v>
      </c>
      <c r="AI53" s="72">
        <f t="shared" si="15"/>
        <v>0</v>
      </c>
      <c r="AJ53" s="72">
        <f t="shared" si="16"/>
        <v>0</v>
      </c>
      <c r="AK53" s="72">
        <f t="shared" si="17"/>
        <v>0</v>
      </c>
      <c r="AL53" s="72">
        <f t="shared" si="18"/>
        <v>0</v>
      </c>
      <c r="AM53" s="72">
        <f t="shared" si="18"/>
        <v>0</v>
      </c>
      <c r="AN53" s="72">
        <f t="shared" si="18"/>
        <v>0</v>
      </c>
    </row>
    <row r="54" spans="2:42" hidden="1">
      <c r="B54" s="60"/>
      <c r="C54" s="62"/>
      <c r="D54" s="79"/>
      <c r="E54" s="56"/>
      <c r="F54" s="76"/>
      <c r="G54" s="77">
        <f t="shared" si="33"/>
        <v>0</v>
      </c>
      <c r="H54" s="78">
        <f t="shared" si="34"/>
        <v>0</v>
      </c>
      <c r="I54" s="481"/>
      <c r="J54" s="72">
        <f t="shared" si="19"/>
        <v>0</v>
      </c>
      <c r="K54" s="72">
        <f t="shared" si="20"/>
        <v>0</v>
      </c>
      <c r="L54" s="72">
        <f t="shared" si="21"/>
        <v>0</v>
      </c>
      <c r="M54" s="72">
        <f t="shared" si="22"/>
        <v>0</v>
      </c>
      <c r="N54" s="72">
        <f t="shared" si="23"/>
        <v>0</v>
      </c>
      <c r="O54" s="72">
        <f t="shared" si="24"/>
        <v>0</v>
      </c>
      <c r="P54" s="72">
        <f t="shared" si="25"/>
        <v>0</v>
      </c>
      <c r="Q54" s="72">
        <f t="shared" si="26"/>
        <v>0</v>
      </c>
      <c r="R54" s="72">
        <f t="shared" si="27"/>
        <v>0</v>
      </c>
      <c r="S54" s="72">
        <f t="shared" si="28"/>
        <v>0</v>
      </c>
      <c r="T54" s="72">
        <f t="shared" si="29"/>
        <v>0</v>
      </c>
      <c r="U54" s="72">
        <f t="shared" si="30"/>
        <v>0</v>
      </c>
      <c r="V54" s="72">
        <f t="shared" si="35"/>
        <v>0</v>
      </c>
      <c r="W54" s="72">
        <f t="shared" si="35"/>
        <v>0</v>
      </c>
      <c r="X54" s="72">
        <f t="shared" si="35"/>
        <v>0</v>
      </c>
      <c r="Z54" s="72">
        <f t="shared" si="6"/>
        <v>0</v>
      </c>
      <c r="AA54" s="72">
        <f t="shared" si="7"/>
        <v>0</v>
      </c>
      <c r="AB54" s="72">
        <f t="shared" si="8"/>
        <v>0</v>
      </c>
      <c r="AC54" s="72">
        <f t="shared" si="9"/>
        <v>0</v>
      </c>
      <c r="AD54" s="72">
        <f t="shared" si="10"/>
        <v>0</v>
      </c>
      <c r="AE54" s="72">
        <f t="shared" si="11"/>
        <v>0</v>
      </c>
      <c r="AF54" s="72">
        <f t="shared" si="12"/>
        <v>0</v>
      </c>
      <c r="AG54" s="72">
        <f t="shared" si="13"/>
        <v>0</v>
      </c>
      <c r="AH54" s="72">
        <f t="shared" si="14"/>
        <v>0</v>
      </c>
      <c r="AI54" s="72">
        <f t="shared" si="15"/>
        <v>0</v>
      </c>
      <c r="AJ54" s="72">
        <f t="shared" si="16"/>
        <v>0</v>
      </c>
      <c r="AK54" s="72">
        <f t="shared" si="17"/>
        <v>0</v>
      </c>
      <c r="AL54" s="72">
        <f t="shared" si="18"/>
        <v>0</v>
      </c>
      <c r="AM54" s="72">
        <f t="shared" si="18"/>
        <v>0</v>
      </c>
      <c r="AN54" s="72">
        <f t="shared" si="18"/>
        <v>0</v>
      </c>
    </row>
    <row r="55" spans="2:42" hidden="1">
      <c r="B55" s="60"/>
      <c r="C55" s="62"/>
      <c r="D55" s="79"/>
      <c r="E55" s="56"/>
      <c r="F55" s="76"/>
      <c r="G55" s="77">
        <f t="shared" si="33"/>
        <v>0</v>
      </c>
      <c r="H55" s="78">
        <f t="shared" si="34"/>
        <v>0</v>
      </c>
      <c r="I55" s="481"/>
      <c r="J55" s="72">
        <f t="shared" si="19"/>
        <v>0</v>
      </c>
      <c r="K55" s="72">
        <f t="shared" si="20"/>
        <v>0</v>
      </c>
      <c r="L55" s="72">
        <f t="shared" si="21"/>
        <v>0</v>
      </c>
      <c r="M55" s="72">
        <f t="shared" si="22"/>
        <v>0</v>
      </c>
      <c r="N55" s="72">
        <f t="shared" si="23"/>
        <v>0</v>
      </c>
      <c r="O55" s="72">
        <f t="shared" si="24"/>
        <v>0</v>
      </c>
      <c r="P55" s="72">
        <f t="shared" si="25"/>
        <v>0</v>
      </c>
      <c r="Q55" s="72">
        <f t="shared" si="26"/>
        <v>0</v>
      </c>
      <c r="R55" s="72">
        <f t="shared" si="27"/>
        <v>0</v>
      </c>
      <c r="S55" s="72">
        <f t="shared" si="28"/>
        <v>0</v>
      </c>
      <c r="T55" s="72">
        <f t="shared" si="29"/>
        <v>0</v>
      </c>
      <c r="U55" s="72">
        <f t="shared" si="30"/>
        <v>0</v>
      </c>
      <c r="V55" s="72">
        <f t="shared" si="35"/>
        <v>0</v>
      </c>
      <c r="W55" s="72">
        <f t="shared" si="35"/>
        <v>0</v>
      </c>
      <c r="X55" s="72">
        <f t="shared" si="35"/>
        <v>0</v>
      </c>
      <c r="Z55" s="72">
        <f t="shared" si="6"/>
        <v>0</v>
      </c>
      <c r="AA55" s="72">
        <f t="shared" si="7"/>
        <v>0</v>
      </c>
      <c r="AB55" s="72">
        <f t="shared" si="8"/>
        <v>0</v>
      </c>
      <c r="AC55" s="72">
        <f t="shared" si="9"/>
        <v>0</v>
      </c>
      <c r="AD55" s="72">
        <f t="shared" si="10"/>
        <v>0</v>
      </c>
      <c r="AE55" s="72">
        <f t="shared" si="11"/>
        <v>0</v>
      </c>
      <c r="AF55" s="72">
        <f t="shared" si="12"/>
        <v>0</v>
      </c>
      <c r="AG55" s="72">
        <f t="shared" si="13"/>
        <v>0</v>
      </c>
      <c r="AH55" s="72">
        <f t="shared" si="14"/>
        <v>0</v>
      </c>
      <c r="AI55" s="72">
        <f t="shared" si="15"/>
        <v>0</v>
      </c>
      <c r="AJ55" s="72">
        <f t="shared" si="16"/>
        <v>0</v>
      </c>
      <c r="AK55" s="72">
        <f t="shared" si="17"/>
        <v>0</v>
      </c>
      <c r="AL55" s="72">
        <f t="shared" si="18"/>
        <v>0</v>
      </c>
      <c r="AM55" s="72">
        <f t="shared" si="18"/>
        <v>0</v>
      </c>
      <c r="AN55" s="72">
        <f t="shared" si="18"/>
        <v>0</v>
      </c>
    </row>
    <row r="56" spans="2:42" hidden="1">
      <c r="B56" s="60"/>
      <c r="C56" s="62"/>
      <c r="D56" s="79"/>
      <c r="E56" s="56"/>
      <c r="F56" s="76"/>
      <c r="G56" s="77">
        <f t="shared" si="33"/>
        <v>0</v>
      </c>
      <c r="H56" s="78">
        <f t="shared" si="34"/>
        <v>0</v>
      </c>
      <c r="I56" s="481"/>
      <c r="J56" s="72">
        <f t="shared" si="19"/>
        <v>0</v>
      </c>
      <c r="K56" s="72">
        <f t="shared" si="20"/>
        <v>0</v>
      </c>
      <c r="L56" s="72">
        <f t="shared" si="21"/>
        <v>0</v>
      </c>
      <c r="M56" s="72">
        <f t="shared" si="22"/>
        <v>0</v>
      </c>
      <c r="N56" s="72">
        <f t="shared" si="23"/>
        <v>0</v>
      </c>
      <c r="O56" s="72">
        <f t="shared" si="24"/>
        <v>0</v>
      </c>
      <c r="P56" s="72">
        <f t="shared" si="25"/>
        <v>0</v>
      </c>
      <c r="Q56" s="72">
        <f t="shared" si="26"/>
        <v>0</v>
      </c>
      <c r="R56" s="72">
        <f t="shared" si="27"/>
        <v>0</v>
      </c>
      <c r="S56" s="72">
        <f t="shared" si="28"/>
        <v>0</v>
      </c>
      <c r="T56" s="72">
        <f t="shared" si="29"/>
        <v>0</v>
      </c>
      <c r="U56" s="72">
        <f t="shared" si="30"/>
        <v>0</v>
      </c>
      <c r="V56" s="72">
        <f t="shared" si="35"/>
        <v>0</v>
      </c>
      <c r="W56" s="72">
        <f t="shared" si="35"/>
        <v>0</v>
      </c>
      <c r="X56" s="72">
        <f t="shared" si="35"/>
        <v>0</v>
      </c>
      <c r="Z56" s="72">
        <f t="shared" si="6"/>
        <v>0</v>
      </c>
      <c r="AA56" s="72">
        <f t="shared" si="7"/>
        <v>0</v>
      </c>
      <c r="AB56" s="72">
        <f t="shared" si="8"/>
        <v>0</v>
      </c>
      <c r="AC56" s="72">
        <f t="shared" si="9"/>
        <v>0</v>
      </c>
      <c r="AD56" s="72">
        <f t="shared" si="10"/>
        <v>0</v>
      </c>
      <c r="AE56" s="72">
        <f t="shared" si="11"/>
        <v>0</v>
      </c>
      <c r="AF56" s="72">
        <f t="shared" si="12"/>
        <v>0</v>
      </c>
      <c r="AG56" s="72">
        <f t="shared" si="13"/>
        <v>0</v>
      </c>
      <c r="AH56" s="72">
        <f t="shared" si="14"/>
        <v>0</v>
      </c>
      <c r="AI56" s="72">
        <f t="shared" si="15"/>
        <v>0</v>
      </c>
      <c r="AJ56" s="72">
        <f t="shared" si="16"/>
        <v>0</v>
      </c>
      <c r="AK56" s="72">
        <f t="shared" si="17"/>
        <v>0</v>
      </c>
      <c r="AL56" s="72">
        <f t="shared" si="18"/>
        <v>0</v>
      </c>
      <c r="AM56" s="72">
        <f t="shared" si="18"/>
        <v>0</v>
      </c>
      <c r="AN56" s="72">
        <f t="shared" si="18"/>
        <v>0</v>
      </c>
    </row>
    <row r="57" spans="2:42" hidden="1">
      <c r="B57" s="60"/>
      <c r="C57" s="62"/>
      <c r="D57" s="79"/>
      <c r="E57" s="56"/>
      <c r="F57" s="76"/>
      <c r="G57" s="77">
        <f t="shared" si="33"/>
        <v>0</v>
      </c>
      <c r="H57" s="78">
        <f t="shared" si="34"/>
        <v>0</v>
      </c>
      <c r="I57" s="481"/>
      <c r="J57" s="72">
        <f t="shared" si="19"/>
        <v>0</v>
      </c>
      <c r="K57" s="72">
        <f t="shared" si="20"/>
        <v>0</v>
      </c>
      <c r="L57" s="72">
        <f t="shared" si="21"/>
        <v>0</v>
      </c>
      <c r="M57" s="72">
        <f t="shared" si="22"/>
        <v>0</v>
      </c>
      <c r="N57" s="72">
        <f t="shared" si="23"/>
        <v>0</v>
      </c>
      <c r="O57" s="72">
        <f t="shared" si="24"/>
        <v>0</v>
      </c>
      <c r="P57" s="72">
        <f t="shared" si="25"/>
        <v>0</v>
      </c>
      <c r="Q57" s="72">
        <f t="shared" si="26"/>
        <v>0</v>
      </c>
      <c r="R57" s="72">
        <f t="shared" si="27"/>
        <v>0</v>
      </c>
      <c r="S57" s="72">
        <f t="shared" si="28"/>
        <v>0</v>
      </c>
      <c r="T57" s="72">
        <f t="shared" si="29"/>
        <v>0</v>
      </c>
      <c r="U57" s="72">
        <f t="shared" si="30"/>
        <v>0</v>
      </c>
      <c r="V57" s="72">
        <f t="shared" si="35"/>
        <v>0</v>
      </c>
      <c r="W57" s="72">
        <f t="shared" si="35"/>
        <v>0</v>
      </c>
      <c r="X57" s="72">
        <f t="shared" si="35"/>
        <v>0</v>
      </c>
      <c r="Z57" s="72">
        <f t="shared" si="6"/>
        <v>0</v>
      </c>
      <c r="AA57" s="72">
        <f t="shared" si="7"/>
        <v>0</v>
      </c>
      <c r="AB57" s="72">
        <f t="shared" si="8"/>
        <v>0</v>
      </c>
      <c r="AC57" s="72">
        <f t="shared" si="9"/>
        <v>0</v>
      </c>
      <c r="AD57" s="72">
        <f t="shared" si="10"/>
        <v>0</v>
      </c>
      <c r="AE57" s="72">
        <f t="shared" si="11"/>
        <v>0</v>
      </c>
      <c r="AF57" s="72">
        <f t="shared" si="12"/>
        <v>0</v>
      </c>
      <c r="AG57" s="72">
        <f t="shared" si="13"/>
        <v>0</v>
      </c>
      <c r="AH57" s="72">
        <f t="shared" si="14"/>
        <v>0</v>
      </c>
      <c r="AI57" s="72">
        <f t="shared" si="15"/>
        <v>0</v>
      </c>
      <c r="AJ57" s="72">
        <f t="shared" si="16"/>
        <v>0</v>
      </c>
      <c r="AK57" s="72">
        <f t="shared" si="17"/>
        <v>0</v>
      </c>
      <c r="AL57" s="72">
        <f t="shared" si="18"/>
        <v>0</v>
      </c>
      <c r="AM57" s="72">
        <f t="shared" si="18"/>
        <v>0</v>
      </c>
      <c r="AN57" s="72">
        <f t="shared" si="18"/>
        <v>0</v>
      </c>
    </row>
    <row r="58" spans="2:42" hidden="1">
      <c r="B58" s="60"/>
      <c r="C58" s="62"/>
      <c r="D58" s="79"/>
      <c r="E58" s="56"/>
      <c r="F58" s="76"/>
      <c r="G58" s="77">
        <f t="shared" si="33"/>
        <v>0</v>
      </c>
      <c r="H58" s="78">
        <f t="shared" si="34"/>
        <v>0</v>
      </c>
      <c r="I58" s="481"/>
      <c r="J58" s="72">
        <f t="shared" si="19"/>
        <v>0</v>
      </c>
      <c r="K58" s="72">
        <f t="shared" si="20"/>
        <v>0</v>
      </c>
      <c r="L58" s="72">
        <f t="shared" si="21"/>
        <v>0</v>
      </c>
      <c r="M58" s="72">
        <f t="shared" si="22"/>
        <v>0</v>
      </c>
      <c r="N58" s="72">
        <f t="shared" si="23"/>
        <v>0</v>
      </c>
      <c r="O58" s="72">
        <f t="shared" si="24"/>
        <v>0</v>
      </c>
      <c r="P58" s="72">
        <f t="shared" si="25"/>
        <v>0</v>
      </c>
      <c r="Q58" s="72">
        <f t="shared" si="26"/>
        <v>0</v>
      </c>
      <c r="R58" s="72">
        <f t="shared" si="27"/>
        <v>0</v>
      </c>
      <c r="S58" s="72">
        <f t="shared" si="28"/>
        <v>0</v>
      </c>
      <c r="T58" s="72">
        <f t="shared" si="29"/>
        <v>0</v>
      </c>
      <c r="U58" s="72">
        <f t="shared" si="30"/>
        <v>0</v>
      </c>
      <c r="V58" s="72">
        <f t="shared" si="35"/>
        <v>0</v>
      </c>
      <c r="W58" s="72">
        <f t="shared" si="35"/>
        <v>0</v>
      </c>
      <c r="X58" s="72">
        <f t="shared" si="35"/>
        <v>0</v>
      </c>
      <c r="Z58" s="72">
        <f t="shared" si="6"/>
        <v>0</v>
      </c>
      <c r="AA58" s="72">
        <f t="shared" si="7"/>
        <v>0</v>
      </c>
      <c r="AB58" s="72">
        <f t="shared" si="8"/>
        <v>0</v>
      </c>
      <c r="AC58" s="72">
        <f t="shared" si="9"/>
        <v>0</v>
      </c>
      <c r="AD58" s="72">
        <f t="shared" si="10"/>
        <v>0</v>
      </c>
      <c r="AE58" s="72">
        <f t="shared" si="11"/>
        <v>0</v>
      </c>
      <c r="AF58" s="72">
        <f t="shared" si="12"/>
        <v>0</v>
      </c>
      <c r="AG58" s="72">
        <f t="shared" si="13"/>
        <v>0</v>
      </c>
      <c r="AH58" s="72">
        <f t="shared" si="14"/>
        <v>0</v>
      </c>
      <c r="AI58" s="72">
        <f t="shared" si="15"/>
        <v>0</v>
      </c>
      <c r="AJ58" s="72">
        <f t="shared" si="16"/>
        <v>0</v>
      </c>
      <c r="AK58" s="72">
        <f t="shared" si="17"/>
        <v>0</v>
      </c>
      <c r="AL58" s="72">
        <f t="shared" si="18"/>
        <v>0</v>
      </c>
      <c r="AM58" s="72">
        <f t="shared" si="18"/>
        <v>0</v>
      </c>
      <c r="AN58" s="72">
        <f t="shared" si="18"/>
        <v>0</v>
      </c>
    </row>
    <row r="59" spans="2:42" hidden="1">
      <c r="B59" s="60"/>
      <c r="C59" s="62"/>
      <c r="D59" s="79"/>
      <c r="E59" s="56"/>
      <c r="F59" s="76"/>
      <c r="G59" s="77">
        <f t="shared" si="33"/>
        <v>0</v>
      </c>
      <c r="H59" s="78">
        <f t="shared" si="34"/>
        <v>0</v>
      </c>
      <c r="I59" s="481"/>
      <c r="J59" s="72">
        <f t="shared" si="19"/>
        <v>0</v>
      </c>
      <c r="K59" s="72">
        <f t="shared" si="20"/>
        <v>0</v>
      </c>
      <c r="L59" s="72">
        <f t="shared" si="21"/>
        <v>0</v>
      </c>
      <c r="M59" s="72">
        <f t="shared" si="22"/>
        <v>0</v>
      </c>
      <c r="N59" s="72">
        <f t="shared" si="23"/>
        <v>0</v>
      </c>
      <c r="O59" s="72">
        <f t="shared" si="24"/>
        <v>0</v>
      </c>
      <c r="P59" s="72">
        <f t="shared" si="25"/>
        <v>0</v>
      </c>
      <c r="Q59" s="72">
        <f t="shared" si="26"/>
        <v>0</v>
      </c>
      <c r="R59" s="72">
        <f t="shared" si="27"/>
        <v>0</v>
      </c>
      <c r="S59" s="72">
        <f t="shared" si="28"/>
        <v>0</v>
      </c>
      <c r="T59" s="72">
        <f t="shared" si="29"/>
        <v>0</v>
      </c>
      <c r="U59" s="72">
        <f t="shared" si="30"/>
        <v>0</v>
      </c>
      <c r="V59" s="72">
        <f t="shared" si="35"/>
        <v>0</v>
      </c>
      <c r="W59" s="72">
        <f t="shared" si="35"/>
        <v>0</v>
      </c>
      <c r="X59" s="72">
        <f t="shared" si="35"/>
        <v>0</v>
      </c>
      <c r="Z59" s="72">
        <f t="shared" si="6"/>
        <v>0</v>
      </c>
      <c r="AA59" s="72">
        <f t="shared" si="7"/>
        <v>0</v>
      </c>
      <c r="AB59" s="72">
        <f t="shared" si="8"/>
        <v>0</v>
      </c>
      <c r="AC59" s="72">
        <f t="shared" si="9"/>
        <v>0</v>
      </c>
      <c r="AD59" s="72">
        <f t="shared" si="10"/>
        <v>0</v>
      </c>
      <c r="AE59" s="72">
        <f t="shared" si="11"/>
        <v>0</v>
      </c>
      <c r="AF59" s="72">
        <f t="shared" si="12"/>
        <v>0</v>
      </c>
      <c r="AG59" s="72">
        <f t="shared" si="13"/>
        <v>0</v>
      </c>
      <c r="AH59" s="72">
        <f t="shared" si="14"/>
        <v>0</v>
      </c>
      <c r="AI59" s="72">
        <f t="shared" si="15"/>
        <v>0</v>
      </c>
      <c r="AJ59" s="72">
        <f t="shared" si="16"/>
        <v>0</v>
      </c>
      <c r="AK59" s="72">
        <f t="shared" si="17"/>
        <v>0</v>
      </c>
      <c r="AL59" s="72">
        <f t="shared" si="18"/>
        <v>0</v>
      </c>
      <c r="AM59" s="72">
        <f t="shared" si="18"/>
        <v>0</v>
      </c>
      <c r="AN59" s="72">
        <f t="shared" si="18"/>
        <v>0</v>
      </c>
    </row>
    <row r="60" spans="2:42" hidden="1">
      <c r="B60" s="60"/>
      <c r="C60" s="62"/>
      <c r="D60" s="79"/>
      <c r="E60" s="56"/>
      <c r="F60" s="76"/>
      <c r="G60" s="77">
        <f t="shared" si="33"/>
        <v>0</v>
      </c>
      <c r="H60" s="78">
        <f t="shared" si="34"/>
        <v>0</v>
      </c>
      <c r="I60" s="481"/>
      <c r="J60" s="72">
        <f t="shared" si="19"/>
        <v>0</v>
      </c>
      <c r="K60" s="72">
        <f t="shared" si="20"/>
        <v>0</v>
      </c>
      <c r="L60" s="72">
        <f t="shared" si="21"/>
        <v>0</v>
      </c>
      <c r="M60" s="72">
        <f t="shared" si="22"/>
        <v>0</v>
      </c>
      <c r="N60" s="72">
        <f t="shared" si="23"/>
        <v>0</v>
      </c>
      <c r="O60" s="72">
        <f t="shared" si="24"/>
        <v>0</v>
      </c>
      <c r="P60" s="72">
        <f t="shared" si="25"/>
        <v>0</v>
      </c>
      <c r="Q60" s="72">
        <f t="shared" si="26"/>
        <v>0</v>
      </c>
      <c r="R60" s="72">
        <f t="shared" si="27"/>
        <v>0</v>
      </c>
      <c r="S60" s="72">
        <f t="shared" si="28"/>
        <v>0</v>
      </c>
      <c r="T60" s="72">
        <f t="shared" si="29"/>
        <v>0</v>
      </c>
      <c r="U60" s="72">
        <f t="shared" si="30"/>
        <v>0</v>
      </c>
      <c r="V60" s="72">
        <f t="shared" si="35"/>
        <v>0</v>
      </c>
      <c r="W60" s="72">
        <f t="shared" si="35"/>
        <v>0</v>
      </c>
      <c r="X60" s="72">
        <f t="shared" si="35"/>
        <v>0</v>
      </c>
      <c r="Z60" s="72">
        <f t="shared" si="6"/>
        <v>0</v>
      </c>
      <c r="AA60" s="72">
        <f t="shared" si="7"/>
        <v>0</v>
      </c>
      <c r="AB60" s="72">
        <f t="shared" si="8"/>
        <v>0</v>
      </c>
      <c r="AC60" s="72">
        <f t="shared" si="9"/>
        <v>0</v>
      </c>
      <c r="AD60" s="72">
        <f t="shared" si="10"/>
        <v>0</v>
      </c>
      <c r="AE60" s="72">
        <f t="shared" si="11"/>
        <v>0</v>
      </c>
      <c r="AF60" s="72">
        <f t="shared" si="12"/>
        <v>0</v>
      </c>
      <c r="AG60" s="72">
        <f t="shared" si="13"/>
        <v>0</v>
      </c>
      <c r="AH60" s="72">
        <f t="shared" si="14"/>
        <v>0</v>
      </c>
      <c r="AI60" s="72">
        <f t="shared" si="15"/>
        <v>0</v>
      </c>
      <c r="AJ60" s="72">
        <f t="shared" si="16"/>
        <v>0</v>
      </c>
      <c r="AK60" s="72">
        <f t="shared" si="17"/>
        <v>0</v>
      </c>
      <c r="AL60" s="72">
        <f t="shared" si="18"/>
        <v>0</v>
      </c>
      <c r="AM60" s="72">
        <f t="shared" si="18"/>
        <v>0</v>
      </c>
      <c r="AN60" s="72">
        <f t="shared" si="18"/>
        <v>0</v>
      </c>
    </row>
    <row r="61" spans="2:42" hidden="1">
      <c r="B61" s="60"/>
      <c r="C61" s="62"/>
      <c r="D61" s="79"/>
      <c r="E61" s="56"/>
      <c r="F61" s="76"/>
      <c r="G61" s="77">
        <f t="shared" si="33"/>
        <v>0</v>
      </c>
      <c r="H61" s="78">
        <f t="shared" si="34"/>
        <v>0</v>
      </c>
      <c r="I61" s="481"/>
      <c r="J61" s="72">
        <f t="shared" si="19"/>
        <v>0</v>
      </c>
      <c r="K61" s="72">
        <f t="shared" si="20"/>
        <v>0</v>
      </c>
      <c r="L61" s="72">
        <f t="shared" si="21"/>
        <v>0</v>
      </c>
      <c r="M61" s="72">
        <f t="shared" si="22"/>
        <v>0</v>
      </c>
      <c r="N61" s="72">
        <f t="shared" si="23"/>
        <v>0</v>
      </c>
      <c r="O61" s="72">
        <f t="shared" si="24"/>
        <v>0</v>
      </c>
      <c r="P61" s="72">
        <f t="shared" si="25"/>
        <v>0</v>
      </c>
      <c r="Q61" s="72">
        <f t="shared" si="26"/>
        <v>0</v>
      </c>
      <c r="R61" s="72">
        <f t="shared" si="27"/>
        <v>0</v>
      </c>
      <c r="S61" s="72">
        <f t="shared" si="28"/>
        <v>0</v>
      </c>
      <c r="T61" s="72">
        <f t="shared" si="29"/>
        <v>0</v>
      </c>
      <c r="U61" s="72">
        <f t="shared" si="30"/>
        <v>0</v>
      </c>
      <c r="V61" s="72">
        <f t="shared" si="35"/>
        <v>0</v>
      </c>
      <c r="W61" s="72">
        <f t="shared" si="35"/>
        <v>0</v>
      </c>
      <c r="X61" s="72">
        <f t="shared" si="35"/>
        <v>0</v>
      </c>
      <c r="Z61" s="72">
        <f t="shared" si="6"/>
        <v>0</v>
      </c>
      <c r="AA61" s="72">
        <f t="shared" si="7"/>
        <v>0</v>
      </c>
      <c r="AB61" s="72">
        <f t="shared" si="8"/>
        <v>0</v>
      </c>
      <c r="AC61" s="72">
        <f t="shared" si="9"/>
        <v>0</v>
      </c>
      <c r="AD61" s="72">
        <f t="shared" si="10"/>
        <v>0</v>
      </c>
      <c r="AE61" s="72">
        <f t="shared" si="11"/>
        <v>0</v>
      </c>
      <c r="AF61" s="72">
        <f t="shared" si="12"/>
        <v>0</v>
      </c>
      <c r="AG61" s="72">
        <f t="shared" si="13"/>
        <v>0</v>
      </c>
      <c r="AH61" s="72">
        <f t="shared" si="14"/>
        <v>0</v>
      </c>
      <c r="AI61" s="72">
        <f t="shared" si="15"/>
        <v>0</v>
      </c>
      <c r="AJ61" s="72">
        <f t="shared" si="16"/>
        <v>0</v>
      </c>
      <c r="AK61" s="72">
        <f t="shared" si="17"/>
        <v>0</v>
      </c>
      <c r="AL61" s="72">
        <f t="shared" si="18"/>
        <v>0</v>
      </c>
      <c r="AM61" s="72">
        <f t="shared" si="18"/>
        <v>0</v>
      </c>
      <c r="AN61" s="72">
        <f t="shared" si="18"/>
        <v>0</v>
      </c>
    </row>
    <row r="62" spans="2:42" ht="17.25" hidden="1" thickBot="1">
      <c r="B62" s="100"/>
      <c r="C62" s="84"/>
      <c r="D62" s="171"/>
      <c r="E62" s="86"/>
      <c r="F62" s="163"/>
      <c r="G62" s="161">
        <f t="shared" si="33"/>
        <v>0</v>
      </c>
      <c r="H62" s="162">
        <f t="shared" si="34"/>
        <v>0</v>
      </c>
      <c r="I62" s="481"/>
      <c r="J62" s="72">
        <f t="shared" si="19"/>
        <v>0</v>
      </c>
      <c r="K62" s="72">
        <f t="shared" si="20"/>
        <v>0</v>
      </c>
      <c r="L62" s="72">
        <f t="shared" si="21"/>
        <v>0</v>
      </c>
      <c r="M62" s="72">
        <f t="shared" si="22"/>
        <v>0</v>
      </c>
      <c r="N62" s="72">
        <f t="shared" si="23"/>
        <v>0</v>
      </c>
      <c r="O62" s="72">
        <f t="shared" si="24"/>
        <v>0</v>
      </c>
      <c r="P62" s="72">
        <f t="shared" si="25"/>
        <v>0</v>
      </c>
      <c r="Q62" s="72">
        <f t="shared" si="26"/>
        <v>0</v>
      </c>
      <c r="R62" s="72">
        <f t="shared" si="27"/>
        <v>0</v>
      </c>
      <c r="S62" s="72">
        <f t="shared" si="28"/>
        <v>0</v>
      </c>
      <c r="T62" s="72">
        <f t="shared" si="29"/>
        <v>0</v>
      </c>
      <c r="U62" s="72">
        <f t="shared" si="30"/>
        <v>0</v>
      </c>
      <c r="V62" s="72">
        <f t="shared" si="35"/>
        <v>0</v>
      </c>
      <c r="W62" s="72">
        <f t="shared" si="35"/>
        <v>0</v>
      </c>
      <c r="X62" s="72">
        <f t="shared" si="35"/>
        <v>0</v>
      </c>
      <c r="Z62" s="72">
        <f t="shared" si="6"/>
        <v>0</v>
      </c>
      <c r="AA62" s="72">
        <f t="shared" si="7"/>
        <v>0</v>
      </c>
      <c r="AB62" s="72">
        <f t="shared" si="8"/>
        <v>0</v>
      </c>
      <c r="AC62" s="72">
        <f t="shared" si="9"/>
        <v>0</v>
      </c>
      <c r="AD62" s="72">
        <f t="shared" si="10"/>
        <v>0</v>
      </c>
      <c r="AE62" s="72">
        <f t="shared" si="11"/>
        <v>0</v>
      </c>
      <c r="AF62" s="72">
        <f t="shared" si="12"/>
        <v>0</v>
      </c>
      <c r="AG62" s="72">
        <f t="shared" si="13"/>
        <v>0</v>
      </c>
      <c r="AH62" s="72">
        <f t="shared" si="14"/>
        <v>0</v>
      </c>
      <c r="AI62" s="72">
        <f t="shared" si="15"/>
        <v>0</v>
      </c>
      <c r="AJ62" s="72">
        <f t="shared" si="16"/>
        <v>0</v>
      </c>
      <c r="AK62" s="72">
        <f t="shared" si="17"/>
        <v>0</v>
      </c>
      <c r="AL62" s="72">
        <f t="shared" si="18"/>
        <v>0</v>
      </c>
      <c r="AM62" s="72">
        <f t="shared" si="18"/>
        <v>0</v>
      </c>
      <c r="AN62" s="72">
        <f t="shared" si="18"/>
        <v>0</v>
      </c>
    </row>
    <row r="63" spans="2:42" ht="17.25" thickBot="1">
      <c r="C63" s="853" t="s">
        <v>45</v>
      </c>
      <c r="D63" s="854"/>
      <c r="E63" s="63">
        <f>SUM(E3:E62)</f>
        <v>2157.0300000000002</v>
      </c>
      <c r="F63" s="69"/>
      <c r="G63" s="64">
        <f>SUM(G3:G62)</f>
        <v>245.17500000000001</v>
      </c>
      <c r="H63" s="65">
        <f>SUM(H3:H62)</f>
        <v>1911.8550000000002</v>
      </c>
      <c r="I63" s="483"/>
      <c r="J63" s="73">
        <f>SUM(J3:J62)</f>
        <v>0</v>
      </c>
      <c r="K63" s="73">
        <f t="shared" ref="K63:X63" si="36">SUM(K3:K62)</f>
        <v>120</v>
      </c>
      <c r="L63" s="73">
        <f t="shared" si="36"/>
        <v>77</v>
      </c>
      <c r="M63" s="73">
        <f t="shared" si="36"/>
        <v>0</v>
      </c>
      <c r="N63" s="73">
        <f t="shared" si="36"/>
        <v>58.66</v>
      </c>
      <c r="O63" s="73">
        <f t="shared" si="36"/>
        <v>878.04</v>
      </c>
      <c r="P63" s="73">
        <f t="shared" si="36"/>
        <v>168.9</v>
      </c>
      <c r="Q63" s="73">
        <f t="shared" si="36"/>
        <v>0</v>
      </c>
      <c r="R63" s="73">
        <f t="shared" si="36"/>
        <v>200.10500000000002</v>
      </c>
      <c r="S63" s="73">
        <f t="shared" si="36"/>
        <v>48.599999999999994</v>
      </c>
      <c r="T63" s="73">
        <f t="shared" si="36"/>
        <v>60.67</v>
      </c>
      <c r="U63" s="73">
        <f t="shared" si="36"/>
        <v>0</v>
      </c>
      <c r="V63" s="73">
        <f t="shared" si="36"/>
        <v>0</v>
      </c>
      <c r="W63" s="73">
        <f t="shared" si="36"/>
        <v>299.88</v>
      </c>
      <c r="X63" s="73">
        <f t="shared" si="36"/>
        <v>0</v>
      </c>
      <c r="Y63" s="73"/>
      <c r="Z63" s="73">
        <f>SUM(Z3:Z62)</f>
        <v>0</v>
      </c>
      <c r="AA63" s="73">
        <f t="shared" ref="AA63:AN63" si="37">SUM(AA3:AA62)</f>
        <v>120</v>
      </c>
      <c r="AB63" s="73">
        <f t="shared" si="37"/>
        <v>0</v>
      </c>
      <c r="AC63" s="73">
        <f t="shared" si="37"/>
        <v>0</v>
      </c>
      <c r="AD63" s="73">
        <f t="shared" si="37"/>
        <v>117.31</v>
      </c>
      <c r="AE63" s="73">
        <f t="shared" si="37"/>
        <v>0</v>
      </c>
      <c r="AF63" s="73">
        <f t="shared" si="37"/>
        <v>0</v>
      </c>
      <c r="AG63" s="73">
        <f t="shared" si="37"/>
        <v>0</v>
      </c>
      <c r="AH63" s="73">
        <f t="shared" si="37"/>
        <v>7.8650000000000002</v>
      </c>
      <c r="AI63" s="73">
        <f t="shared" si="37"/>
        <v>0</v>
      </c>
      <c r="AJ63" s="73">
        <f t="shared" si="37"/>
        <v>0</v>
      </c>
      <c r="AK63" s="73">
        <f t="shared" si="37"/>
        <v>0</v>
      </c>
      <c r="AL63" s="73">
        <f t="shared" si="37"/>
        <v>0</v>
      </c>
      <c r="AM63" s="73">
        <f t="shared" si="37"/>
        <v>0</v>
      </c>
      <c r="AN63" s="73">
        <f t="shared" si="37"/>
        <v>0</v>
      </c>
      <c r="AO63" s="73"/>
      <c r="AP63" s="73"/>
    </row>
    <row r="64" spans="2:42">
      <c r="H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Z64" s="59"/>
      <c r="AA64" s="59"/>
      <c r="AB64" s="59"/>
      <c r="AC64" s="59"/>
      <c r="AD64" s="59"/>
      <c r="AE64" s="59"/>
      <c r="AF64" s="59"/>
      <c r="AG64" s="59"/>
      <c r="AH64" s="59"/>
      <c r="AI64" s="59"/>
    </row>
    <row r="70" spans="5:6" s="55" customFormat="1">
      <c r="E70" s="59"/>
      <c r="F70" s="70"/>
    </row>
  </sheetData>
  <mergeCells count="7">
    <mergeCell ref="AR18:AT18"/>
    <mergeCell ref="C63:D63"/>
    <mergeCell ref="AV23:AW23"/>
    <mergeCell ref="AY23:AZ23"/>
    <mergeCell ref="AS25:AT25"/>
    <mergeCell ref="AS27:AT28"/>
    <mergeCell ref="B18:H34"/>
  </mergeCells>
  <dataValidations count="4">
    <dataValidation type="list" allowBlank="1" showInputMessage="1" showErrorMessage="1" sqref="F3:F17 F35:F62">
      <formula1>$AQ$17:$AQ$19</formula1>
    </dataValidation>
    <dataValidation type="list" allowBlank="1" showInputMessage="1" showErrorMessage="1" sqref="D3:D4 D9:D17 D35:D62">
      <formula1>$AQ$2:$AQ$16</formula1>
    </dataValidation>
    <dataValidation type="list" allowBlank="1" showInputMessage="1" showErrorMessage="1" sqref="D8 D5">
      <formula1>$AH$2:$AH$12</formula1>
    </dataValidation>
    <dataValidation type="list" allowBlank="1" showInputMessage="1" showErrorMessage="1" sqref="D6:D7">
      <formula1>$AQ$2:$AQ$12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AZ70"/>
  <sheetViews>
    <sheetView workbookViewId="0">
      <selection activeCell="B19" sqref="B19:H35"/>
    </sheetView>
  </sheetViews>
  <sheetFormatPr defaultRowHeight="16.5"/>
  <cols>
    <col min="1" max="1" width="1" style="55" customWidth="1"/>
    <col min="2" max="2" width="6.5703125" style="134" bestFit="1" customWidth="1"/>
    <col min="3" max="3" width="16.7109375" style="55" customWidth="1"/>
    <col min="4" max="4" width="17.5703125" style="55" customWidth="1"/>
    <col min="5" max="5" width="13.7109375" style="55" customWidth="1"/>
    <col min="6" max="6" width="13.7109375" style="134" customWidth="1"/>
    <col min="7" max="8" width="13.7109375" style="55" customWidth="1"/>
    <col min="9" max="9" width="8.42578125" style="479" customWidth="1"/>
    <col min="10" max="10" width="13.5703125" style="55" hidden="1" customWidth="1"/>
    <col min="11" max="11" width="7.85546875" style="55" hidden="1" customWidth="1"/>
    <col min="12" max="12" width="7.42578125" style="55" hidden="1" customWidth="1"/>
    <col min="13" max="13" width="9.7109375" style="55" hidden="1" customWidth="1"/>
    <col min="14" max="14" width="7.42578125" style="55" hidden="1" customWidth="1"/>
    <col min="15" max="15" width="14.5703125" style="55" hidden="1" customWidth="1"/>
    <col min="16" max="16" width="16.85546875" style="55" hidden="1" customWidth="1"/>
    <col min="17" max="17" width="7.7109375" style="55" hidden="1" customWidth="1"/>
    <col min="18" max="18" width="8.85546875" style="55" hidden="1" customWidth="1"/>
    <col min="19" max="19" width="8" style="55" hidden="1" customWidth="1"/>
    <col min="20" max="20" width="7.42578125" style="55" hidden="1" customWidth="1"/>
    <col min="21" max="21" width="2" style="55" hidden="1" customWidth="1"/>
    <col min="22" max="22" width="9.7109375" style="55" hidden="1" customWidth="1"/>
    <col min="23" max="24" width="7.42578125" style="55" hidden="1" customWidth="1"/>
    <col min="25" max="25" width="1.7109375" style="55" hidden="1" customWidth="1"/>
    <col min="26" max="26" width="13.5703125" style="55" hidden="1" customWidth="1"/>
    <col min="27" max="27" width="7.85546875" style="55" hidden="1" customWidth="1"/>
    <col min="28" max="28" width="7.42578125" style="55" hidden="1" customWidth="1"/>
    <col min="29" max="29" width="9.7109375" style="55" hidden="1" customWidth="1"/>
    <col min="30" max="30" width="7.42578125" style="55" hidden="1" customWidth="1"/>
    <col min="31" max="31" width="14.5703125" style="55" hidden="1" customWidth="1"/>
    <col min="32" max="32" width="16.85546875" style="55" hidden="1" customWidth="1"/>
    <col min="33" max="33" width="7.7109375" style="55" hidden="1" customWidth="1"/>
    <col min="34" max="34" width="8.85546875" style="55" hidden="1" customWidth="1"/>
    <col min="35" max="35" width="8" style="55" hidden="1" customWidth="1"/>
    <col min="36" max="36" width="7.42578125" style="55" hidden="1" customWidth="1"/>
    <col min="37" max="37" width="13.42578125" style="55" hidden="1" customWidth="1"/>
    <col min="38" max="38" width="10.28515625" style="450" hidden="1" customWidth="1"/>
    <col min="39" max="40" width="7.42578125" style="55" hidden="1" customWidth="1"/>
    <col min="41" max="41" width="4" style="55" hidden="1" customWidth="1"/>
    <col min="42" max="42" width="4.42578125" style="55" customWidth="1"/>
    <col min="43" max="43" width="16.85546875" style="55" bestFit="1" customWidth="1"/>
    <col min="44" max="47" width="12.7109375" style="55" customWidth="1"/>
    <col min="48" max="48" width="8.28515625" style="55" bestFit="1" customWidth="1"/>
    <col min="49" max="49" width="10.5703125" style="55" bestFit="1" customWidth="1"/>
    <col min="50" max="50" width="3.28515625" style="55" customWidth="1"/>
    <col min="51" max="51" width="18.42578125" style="55" bestFit="1" customWidth="1"/>
    <col min="52" max="52" width="11.7109375" style="55" bestFit="1" customWidth="1"/>
    <col min="53" max="16384" width="9.140625" style="55"/>
  </cols>
  <sheetData>
    <row r="1" spans="2:51" ht="17.25" thickBot="1">
      <c r="AR1" s="134" t="s">
        <v>66</v>
      </c>
      <c r="AS1" s="134" t="s">
        <v>67</v>
      </c>
      <c r="AT1" s="81" t="s">
        <v>65</v>
      </c>
      <c r="AV1" s="134"/>
    </row>
    <row r="2" spans="2:51" ht="17.25" thickBot="1">
      <c r="B2" s="68" t="s">
        <v>1</v>
      </c>
      <c r="C2" s="66" t="s">
        <v>0</v>
      </c>
      <c r="D2" s="66" t="s">
        <v>63</v>
      </c>
      <c r="E2" s="66" t="s">
        <v>2</v>
      </c>
      <c r="F2" s="66" t="s">
        <v>64</v>
      </c>
      <c r="G2" s="66" t="s">
        <v>3</v>
      </c>
      <c r="H2" s="67" t="s">
        <v>4</v>
      </c>
      <c r="I2" s="480"/>
      <c r="J2" s="75" t="s">
        <v>57</v>
      </c>
      <c r="K2" s="74" t="s">
        <v>51</v>
      </c>
      <c r="L2" s="74" t="s">
        <v>120</v>
      </c>
      <c r="M2" s="74" t="s">
        <v>36</v>
      </c>
      <c r="N2" s="74" t="s">
        <v>56</v>
      </c>
      <c r="O2" s="74" t="s">
        <v>125</v>
      </c>
      <c r="P2" s="74" t="s">
        <v>54</v>
      </c>
      <c r="Q2" s="74" t="s">
        <v>59</v>
      </c>
      <c r="R2" s="74" t="s">
        <v>40</v>
      </c>
      <c r="S2" s="74" t="s">
        <v>55</v>
      </c>
      <c r="T2" s="74" t="s">
        <v>58</v>
      </c>
      <c r="U2" s="74" t="s">
        <v>52</v>
      </c>
      <c r="V2" s="451" t="str">
        <f>AQ14</f>
        <v>ESTUDOS</v>
      </c>
      <c r="W2" s="74" t="str">
        <f>AQ15</f>
        <v>MALU</v>
      </c>
      <c r="X2" s="74">
        <f>AQ16</f>
        <v>0</v>
      </c>
      <c r="Z2" s="75" t="s">
        <v>57</v>
      </c>
      <c r="AA2" s="74" t="s">
        <v>51</v>
      </c>
      <c r="AB2" s="74" t="s">
        <v>120</v>
      </c>
      <c r="AC2" s="74" t="s">
        <v>36</v>
      </c>
      <c r="AD2" s="74" t="s">
        <v>56</v>
      </c>
      <c r="AE2" s="74" t="s">
        <v>125</v>
      </c>
      <c r="AF2" s="74" t="s">
        <v>54</v>
      </c>
      <c r="AG2" s="74" t="s">
        <v>59</v>
      </c>
      <c r="AH2" s="74" t="s">
        <v>40</v>
      </c>
      <c r="AI2" s="74" t="s">
        <v>55</v>
      </c>
      <c r="AJ2" s="74" t="s">
        <v>58</v>
      </c>
      <c r="AK2" s="74" t="s">
        <v>52</v>
      </c>
      <c r="AL2" s="451" t="str">
        <f>AQ14</f>
        <v>ESTUDOS</v>
      </c>
      <c r="AM2" s="74" t="str">
        <f>AQ15</f>
        <v>MALU</v>
      </c>
      <c r="AN2" s="74">
        <f>AQ16</f>
        <v>0</v>
      </c>
      <c r="AO2" s="74"/>
      <c r="AP2" s="74"/>
      <c r="AQ2" s="71" t="s">
        <v>57</v>
      </c>
      <c r="AR2" s="97">
        <f t="shared" ref="AR2:AR16" si="0">AT2+AS2</f>
        <v>219</v>
      </c>
      <c r="AS2" s="58">
        <f>Z63</f>
        <v>52.5</v>
      </c>
      <c r="AT2" s="58">
        <f>J63</f>
        <v>166.5</v>
      </c>
    </row>
    <row r="3" spans="2:51">
      <c r="B3" s="60">
        <v>20</v>
      </c>
      <c r="C3" s="62" t="s">
        <v>532</v>
      </c>
      <c r="D3" s="79" t="s">
        <v>55</v>
      </c>
      <c r="E3" s="56">
        <v>29.7</v>
      </c>
      <c r="F3" s="76" t="s">
        <v>65</v>
      </c>
      <c r="G3" s="157">
        <f>IF(F3="MARCIA",E3,IF(F3="AMBOS",E3/2,0))</f>
        <v>0</v>
      </c>
      <c r="H3" s="158">
        <f>IF(F3="LUCIANO",E3,IF(F3="AMBOS",E3/2,0))</f>
        <v>29.7</v>
      </c>
      <c r="I3" s="481" t="s">
        <v>533</v>
      </c>
      <c r="J3" s="72">
        <f>IF($D3="ALIMENTAÇÃO",$H3,0)</f>
        <v>0</v>
      </c>
      <c r="K3" s="72">
        <f>IF($D3="ANIMAIS",$H3,0)</f>
        <v>0</v>
      </c>
      <c r="L3" s="72">
        <f>IF($D3="FILHO",$H3,0)</f>
        <v>0</v>
      </c>
      <c r="M3" s="72">
        <f>IF($D3="GASOLINA",$H3,0)</f>
        <v>0</v>
      </c>
      <c r="N3" s="72">
        <f>IF($D3="LAZER",$H3,0)</f>
        <v>0</v>
      </c>
      <c r="O3" s="72">
        <f>IF($D3="MANUT. IMÓVEL",$H3,0)</f>
        <v>0</v>
      </c>
      <c r="P3" s="72">
        <f>IF($D3="MANUT. VEICULAR",$H3,0)</f>
        <v>0</v>
      </c>
      <c r="Q3" s="72">
        <f>IF($D3="MÓVEIS",$H3,0)</f>
        <v>0</v>
      </c>
      <c r="R3" s="72">
        <f>IF($D3="OUTROS",$H3,0)</f>
        <v>0</v>
      </c>
      <c r="S3" s="72">
        <f>IF($D3="PLANOS",$H3,0)</f>
        <v>29.7</v>
      </c>
      <c r="T3" s="72">
        <f>IF($D3="SAÚDE",$H3,0)</f>
        <v>0</v>
      </c>
      <c r="U3" s="72">
        <f>IF($D3="TRANSPORTE",$H3,0)</f>
        <v>0</v>
      </c>
      <c r="V3" s="72">
        <f>IF($D3=V$2,$H3,0)</f>
        <v>0</v>
      </c>
      <c r="W3" s="72">
        <f t="shared" ref="W3:X18" si="1">IF($D3=W$2,$H3,0)</f>
        <v>0</v>
      </c>
      <c r="X3" s="72">
        <f t="shared" si="1"/>
        <v>0</v>
      </c>
      <c r="Z3" s="72">
        <f>IF($D3="ALIMENTAÇÃO",$G3,0)</f>
        <v>0</v>
      </c>
      <c r="AA3" s="72">
        <f>IF($D3="ANIMAIS",$G3,0)</f>
        <v>0</v>
      </c>
      <c r="AB3" s="72">
        <f>IF($D3="FILHO",$G3,0)</f>
        <v>0</v>
      </c>
      <c r="AC3" s="72">
        <f>IF($D3="GASOLINA",$G3,0)</f>
        <v>0</v>
      </c>
      <c r="AD3" s="72">
        <f>IF($D3="LAZER",$G3,0)</f>
        <v>0</v>
      </c>
      <c r="AE3" s="72">
        <f>IF($D3="MANUT. IMÓVEL",$G3,0)</f>
        <v>0</v>
      </c>
      <c r="AF3" s="72">
        <f>IF($D3="MANUT. VEICULAR",$G3,0)</f>
        <v>0</v>
      </c>
      <c r="AG3" s="72">
        <f>IF($D3="MÓVEIS",$G3,0)</f>
        <v>0</v>
      </c>
      <c r="AH3" s="72">
        <f>IF($D3="OUTROS",$G3,0)</f>
        <v>0</v>
      </c>
      <c r="AI3" s="72">
        <f>IF($D3="PLANOS",$G3,0)</f>
        <v>0</v>
      </c>
      <c r="AJ3" s="72">
        <f>IF($D3="SAÚDE",$G3,0)</f>
        <v>0</v>
      </c>
      <c r="AK3" s="72">
        <f>IF($D3="TRANSPORTE",$G3,0)</f>
        <v>0</v>
      </c>
      <c r="AL3" s="72">
        <f>IF($D3=AL$2,$G3,0)</f>
        <v>0</v>
      </c>
      <c r="AM3" s="72">
        <f t="shared" ref="AM3:AN18" si="2">IF($D3=AM$2,$G3,0)</f>
        <v>0</v>
      </c>
      <c r="AN3" s="72">
        <f t="shared" si="2"/>
        <v>0</v>
      </c>
      <c r="AQ3" s="71" t="s">
        <v>51</v>
      </c>
      <c r="AR3" s="97">
        <f t="shared" si="0"/>
        <v>150</v>
      </c>
      <c r="AS3" s="58">
        <f>AA63</f>
        <v>75</v>
      </c>
      <c r="AT3" s="58">
        <f>K63</f>
        <v>75</v>
      </c>
      <c r="AY3" s="511" t="s">
        <v>388</v>
      </c>
    </row>
    <row r="4" spans="2:51">
      <c r="B4" s="60">
        <v>44964</v>
      </c>
      <c r="C4" s="62" t="s">
        <v>499</v>
      </c>
      <c r="D4" s="79" t="s">
        <v>55</v>
      </c>
      <c r="E4" s="56">
        <v>18.899999999999999</v>
      </c>
      <c r="F4" s="76" t="s">
        <v>65</v>
      </c>
      <c r="G4" s="77">
        <f t="shared" ref="G4:G62" si="3">IF(F4="MARCIA",E4,IF(F4="AMBOS",E4/2,0))</f>
        <v>0</v>
      </c>
      <c r="H4" s="78">
        <f t="shared" ref="H4:H62" si="4">IF(F4="LUCIANO",E4,IF(F4="AMBOS",E4/2,0))</f>
        <v>18.899999999999999</v>
      </c>
      <c r="I4" s="481" t="s">
        <v>533</v>
      </c>
      <c r="J4" s="72">
        <f>IF($D4="ALIMENTAÇÃO",$H4,0)</f>
        <v>0</v>
      </c>
      <c r="K4" s="72">
        <f>IF($D4="ANIMAIS",$H4,0)</f>
        <v>0</v>
      </c>
      <c r="L4" s="72">
        <f>IF($D4="FILHO",$H4,0)</f>
        <v>0</v>
      </c>
      <c r="M4" s="72">
        <f>IF($D4="GASOLINA",$H4,0)</f>
        <v>0</v>
      </c>
      <c r="N4" s="72">
        <f>IF($D4="LAZER",$H4,0)</f>
        <v>0</v>
      </c>
      <c r="O4" s="72">
        <f>IF($D4="MANUT. IMÓVEL",$H4,0)</f>
        <v>0</v>
      </c>
      <c r="P4" s="72">
        <f>IF($D4="MANUT. VEICULAR",$H4,0)</f>
        <v>0</v>
      </c>
      <c r="Q4" s="72">
        <f>IF($D4="MÓVEIS",$H4,0)</f>
        <v>0</v>
      </c>
      <c r="R4" s="72">
        <f>IF($D4="OUTROS",$H4,0)</f>
        <v>0</v>
      </c>
      <c r="S4" s="72">
        <f>IF($D4="PLANOS",$H4,0)</f>
        <v>18.899999999999999</v>
      </c>
      <c r="T4" s="72">
        <f>IF($D4="SAÚDE",$H4,0)</f>
        <v>0</v>
      </c>
      <c r="U4" s="72">
        <f>IF($D4="TRANSPORTE",$H4,0)</f>
        <v>0</v>
      </c>
      <c r="V4" s="72">
        <f t="shared" ref="V4:X35" si="5">IF($D4=V$2,$H4,0)</f>
        <v>0</v>
      </c>
      <c r="W4" s="72">
        <f t="shared" si="1"/>
        <v>0</v>
      </c>
      <c r="X4" s="72">
        <f t="shared" si="1"/>
        <v>0</v>
      </c>
      <c r="Z4" s="72">
        <f t="shared" ref="Z4:Z62" si="6">IF($D4="ALIMENTAÇÃO",$G4,0)</f>
        <v>0</v>
      </c>
      <c r="AA4" s="72">
        <f t="shared" ref="AA4:AA62" si="7">IF($D4="ANIMAIS",$G4,0)</f>
        <v>0</v>
      </c>
      <c r="AB4" s="72">
        <f t="shared" ref="AB4:AB62" si="8">IF($D4="FILHO",$G4,0)</f>
        <v>0</v>
      </c>
      <c r="AC4" s="72">
        <f t="shared" ref="AC4:AC62" si="9">IF($D4="GASOLINA",$G4,0)</f>
        <v>0</v>
      </c>
      <c r="AD4" s="72">
        <f t="shared" ref="AD4:AD62" si="10">IF($D4="LAZER",$G4,0)</f>
        <v>0</v>
      </c>
      <c r="AE4" s="72">
        <f t="shared" ref="AE4:AE62" si="11">IF($D4="MANUT. IMÓVEL",$G4,0)</f>
        <v>0</v>
      </c>
      <c r="AF4" s="72">
        <f t="shared" ref="AF4:AF62" si="12">IF($D4="MANUT. VEICULAR",$G4,0)</f>
        <v>0</v>
      </c>
      <c r="AG4" s="72">
        <f t="shared" ref="AG4:AG62" si="13">IF($D4="MÓVEIS",$G4,0)</f>
        <v>0</v>
      </c>
      <c r="AH4" s="72">
        <f t="shared" ref="AH4:AH62" si="14">IF($D4="OUTROS",$G4,0)</f>
        <v>0</v>
      </c>
      <c r="AI4" s="72">
        <f t="shared" ref="AI4:AI62" si="15">IF($D4="PLANOS",$G4,0)</f>
        <v>0</v>
      </c>
      <c r="AJ4" s="72">
        <f t="shared" ref="AJ4:AJ62" si="16">IF($D4="SAÚDE",$G4,0)</f>
        <v>0</v>
      </c>
      <c r="AK4" s="72">
        <f t="shared" ref="AK4:AK62" si="17">IF($D4="TRANSPORTE",$G4,0)</f>
        <v>0</v>
      </c>
      <c r="AL4" s="72">
        <f t="shared" ref="AL4:AN62" si="18">IF($D4=AL$2,$G4,0)</f>
        <v>0</v>
      </c>
      <c r="AM4" s="72">
        <f t="shared" si="2"/>
        <v>0</v>
      </c>
      <c r="AN4" s="72">
        <f t="shared" si="2"/>
        <v>0</v>
      </c>
      <c r="AQ4" s="71" t="s">
        <v>120</v>
      </c>
      <c r="AR4" s="97">
        <f t="shared" si="0"/>
        <v>77</v>
      </c>
      <c r="AS4" s="58">
        <f>AB63</f>
        <v>0</v>
      </c>
      <c r="AT4" s="58">
        <f>L63</f>
        <v>77</v>
      </c>
      <c r="AY4" s="512">
        <v>58.66</v>
      </c>
    </row>
    <row r="5" spans="2:51">
      <c r="B5" s="60">
        <v>45126</v>
      </c>
      <c r="C5" s="62" t="s">
        <v>573</v>
      </c>
      <c r="D5" s="79" t="s">
        <v>53</v>
      </c>
      <c r="E5" s="56">
        <v>248.44</v>
      </c>
      <c r="F5" s="76" t="s">
        <v>65</v>
      </c>
      <c r="G5" s="77">
        <f t="shared" si="3"/>
        <v>0</v>
      </c>
      <c r="H5" s="78">
        <f t="shared" si="4"/>
        <v>248.44</v>
      </c>
      <c r="I5" s="481" t="s">
        <v>141</v>
      </c>
      <c r="J5" s="72">
        <f t="shared" ref="J5:J62" si="19">IF($D5="ALIMENTAÇÃO",$H5,0)</f>
        <v>0</v>
      </c>
      <c r="K5" s="72">
        <f t="shared" ref="K5:K62" si="20">IF($D5="ANIMAIS",$H5,0)</f>
        <v>0</v>
      </c>
      <c r="L5" s="72">
        <f t="shared" ref="L5:L62" si="21">IF($D5="FILHO",$H5,0)</f>
        <v>0</v>
      </c>
      <c r="M5" s="72">
        <f t="shared" ref="M5:M62" si="22">IF($D5="GASOLINA",$H5,0)</f>
        <v>0</v>
      </c>
      <c r="N5" s="72">
        <f t="shared" ref="N5:N62" si="23">IF($D5="LAZER",$H5,0)</f>
        <v>0</v>
      </c>
      <c r="O5" s="72">
        <f t="shared" ref="O5:O62" si="24">IF($D5="MANUT. IMÓVEL",$H5,0)</f>
        <v>248.44</v>
      </c>
      <c r="P5" s="72">
        <f t="shared" ref="P5:P62" si="25">IF($D5="MANUT. VEICULAR",$H5,0)</f>
        <v>0</v>
      </c>
      <c r="Q5" s="72">
        <f t="shared" ref="Q5:Q62" si="26">IF($D5="MÓVEIS",$H5,0)</f>
        <v>0</v>
      </c>
      <c r="R5" s="72">
        <f t="shared" ref="R5:R62" si="27">IF($D5="OUTROS",$H5,0)</f>
        <v>0</v>
      </c>
      <c r="S5" s="72">
        <f t="shared" ref="S5:S62" si="28">IF($D5="PLANOS",$H5,0)</f>
        <v>0</v>
      </c>
      <c r="T5" s="72">
        <f t="shared" ref="T5:T62" si="29">IF($D5="SAÚDE",$H5,0)</f>
        <v>0</v>
      </c>
      <c r="U5" s="72">
        <f t="shared" ref="U5:U62" si="30">IF($D5="TRANSPORTE",$H5,0)</f>
        <v>0</v>
      </c>
      <c r="V5" s="72">
        <f t="shared" si="5"/>
        <v>0</v>
      </c>
      <c r="W5" s="72">
        <f t="shared" si="1"/>
        <v>0</v>
      </c>
      <c r="X5" s="72">
        <f t="shared" si="1"/>
        <v>0</v>
      </c>
      <c r="Z5" s="72">
        <f t="shared" si="6"/>
        <v>0</v>
      </c>
      <c r="AA5" s="72">
        <f t="shared" si="7"/>
        <v>0</v>
      </c>
      <c r="AB5" s="72">
        <f t="shared" si="8"/>
        <v>0</v>
      </c>
      <c r="AC5" s="72">
        <f t="shared" si="9"/>
        <v>0</v>
      </c>
      <c r="AD5" s="72">
        <f t="shared" si="10"/>
        <v>0</v>
      </c>
      <c r="AE5" s="72">
        <f t="shared" si="11"/>
        <v>0</v>
      </c>
      <c r="AF5" s="72">
        <f t="shared" si="12"/>
        <v>0</v>
      </c>
      <c r="AG5" s="72">
        <f t="shared" si="13"/>
        <v>0</v>
      </c>
      <c r="AH5" s="72">
        <f t="shared" si="14"/>
        <v>0</v>
      </c>
      <c r="AI5" s="72">
        <f t="shared" si="15"/>
        <v>0</v>
      </c>
      <c r="AJ5" s="72">
        <f t="shared" si="16"/>
        <v>0</v>
      </c>
      <c r="AK5" s="72">
        <f t="shared" si="17"/>
        <v>0</v>
      </c>
      <c r="AL5" s="72">
        <f t="shared" si="18"/>
        <v>0</v>
      </c>
      <c r="AM5" s="72">
        <f t="shared" si="2"/>
        <v>0</v>
      </c>
      <c r="AN5" s="72">
        <f t="shared" si="2"/>
        <v>0</v>
      </c>
      <c r="AQ5" s="71" t="s">
        <v>36</v>
      </c>
      <c r="AR5" s="97">
        <f t="shared" si="0"/>
        <v>0</v>
      </c>
      <c r="AS5" s="58">
        <f>AC63</f>
        <v>0</v>
      </c>
      <c r="AT5" s="58">
        <f>M63</f>
        <v>0</v>
      </c>
      <c r="AY5" s="511" t="s">
        <v>387</v>
      </c>
    </row>
    <row r="6" spans="2:51" ht="17.25" thickBot="1">
      <c r="B6" s="172">
        <v>44929</v>
      </c>
      <c r="C6" s="173" t="s">
        <v>145</v>
      </c>
      <c r="D6" s="79" t="s">
        <v>56</v>
      </c>
      <c r="E6" s="56">
        <v>175.97</v>
      </c>
      <c r="F6" s="76" t="s">
        <v>66</v>
      </c>
      <c r="G6" s="77">
        <v>117.31</v>
      </c>
      <c r="H6" s="78">
        <v>58.66</v>
      </c>
      <c r="I6" s="481" t="s">
        <v>68</v>
      </c>
      <c r="J6" s="72">
        <f t="shared" si="19"/>
        <v>0</v>
      </c>
      <c r="K6" s="72">
        <f t="shared" si="20"/>
        <v>0</v>
      </c>
      <c r="L6" s="72">
        <f t="shared" si="21"/>
        <v>0</v>
      </c>
      <c r="M6" s="72">
        <f t="shared" si="22"/>
        <v>0</v>
      </c>
      <c r="N6" s="72">
        <f t="shared" si="23"/>
        <v>58.66</v>
      </c>
      <c r="O6" s="72">
        <f t="shared" si="24"/>
        <v>0</v>
      </c>
      <c r="P6" s="72">
        <f t="shared" si="25"/>
        <v>0</v>
      </c>
      <c r="Q6" s="72">
        <f t="shared" si="26"/>
        <v>0</v>
      </c>
      <c r="R6" s="72">
        <f t="shared" si="27"/>
        <v>0</v>
      </c>
      <c r="S6" s="72">
        <f t="shared" si="28"/>
        <v>0</v>
      </c>
      <c r="T6" s="72">
        <f t="shared" si="29"/>
        <v>0</v>
      </c>
      <c r="U6" s="72">
        <f t="shared" si="30"/>
        <v>0</v>
      </c>
      <c r="V6" s="72">
        <f t="shared" si="5"/>
        <v>0</v>
      </c>
      <c r="W6" s="72">
        <f t="shared" si="1"/>
        <v>0</v>
      </c>
      <c r="X6" s="72">
        <f t="shared" si="1"/>
        <v>0</v>
      </c>
      <c r="Z6" s="72">
        <f t="shared" si="6"/>
        <v>0</v>
      </c>
      <c r="AA6" s="72">
        <f t="shared" si="7"/>
        <v>0</v>
      </c>
      <c r="AB6" s="72">
        <f t="shared" si="8"/>
        <v>0</v>
      </c>
      <c r="AC6" s="72">
        <f t="shared" si="9"/>
        <v>0</v>
      </c>
      <c r="AD6" s="72">
        <f t="shared" si="10"/>
        <v>117.31</v>
      </c>
      <c r="AE6" s="72">
        <f t="shared" si="11"/>
        <v>0</v>
      </c>
      <c r="AF6" s="72">
        <f t="shared" si="12"/>
        <v>0</v>
      </c>
      <c r="AG6" s="72">
        <f t="shared" si="13"/>
        <v>0</v>
      </c>
      <c r="AH6" s="72">
        <f t="shared" si="14"/>
        <v>0</v>
      </c>
      <c r="AI6" s="72">
        <f t="shared" si="15"/>
        <v>0</v>
      </c>
      <c r="AJ6" s="72">
        <f t="shared" si="16"/>
        <v>0</v>
      </c>
      <c r="AK6" s="72">
        <f t="shared" si="17"/>
        <v>0</v>
      </c>
      <c r="AL6" s="72">
        <f t="shared" si="18"/>
        <v>0</v>
      </c>
      <c r="AM6" s="72">
        <f t="shared" si="2"/>
        <v>0</v>
      </c>
      <c r="AN6" s="72">
        <f t="shared" si="2"/>
        <v>0</v>
      </c>
      <c r="AQ6" s="71" t="s">
        <v>56</v>
      </c>
      <c r="AR6" s="97">
        <f t="shared" si="0"/>
        <v>533.25</v>
      </c>
      <c r="AS6" s="58">
        <f>AD63</f>
        <v>117.31</v>
      </c>
      <c r="AT6" s="58">
        <f>N63</f>
        <v>415.93999999999994</v>
      </c>
      <c r="AY6" s="596">
        <v>117.31</v>
      </c>
    </row>
    <row r="7" spans="2:51" ht="17.25" thickBot="1">
      <c r="B7" s="60">
        <v>44952</v>
      </c>
      <c r="C7" s="62" t="s">
        <v>159</v>
      </c>
      <c r="D7" s="79" t="s">
        <v>120</v>
      </c>
      <c r="E7" s="56">
        <v>77</v>
      </c>
      <c r="F7" s="76" t="s">
        <v>65</v>
      </c>
      <c r="G7" s="77">
        <f t="shared" ref="G7:G14" si="31">IF(F7="MARCIA",E7,IF(F7="AMBOS",E7/2,0))</f>
        <v>0</v>
      </c>
      <c r="H7" s="78">
        <f t="shared" ref="H7:H14" si="32">IF(F7="LUCIANO",E7,IF(F7="AMBOS",E7/2,0))</f>
        <v>77</v>
      </c>
      <c r="I7" s="481" t="s">
        <v>68</v>
      </c>
      <c r="J7" s="72">
        <f t="shared" si="19"/>
        <v>0</v>
      </c>
      <c r="K7" s="72">
        <f t="shared" si="20"/>
        <v>0</v>
      </c>
      <c r="L7" s="72">
        <f t="shared" si="21"/>
        <v>77</v>
      </c>
      <c r="M7" s="72">
        <f t="shared" si="22"/>
        <v>0</v>
      </c>
      <c r="N7" s="72">
        <f t="shared" si="23"/>
        <v>0</v>
      </c>
      <c r="O7" s="72">
        <f t="shared" si="24"/>
        <v>0</v>
      </c>
      <c r="P7" s="72">
        <f t="shared" si="25"/>
        <v>0</v>
      </c>
      <c r="Q7" s="72">
        <f t="shared" si="26"/>
        <v>0</v>
      </c>
      <c r="R7" s="72">
        <f t="shared" si="27"/>
        <v>0</v>
      </c>
      <c r="S7" s="72">
        <f t="shared" si="28"/>
        <v>0</v>
      </c>
      <c r="T7" s="72">
        <f t="shared" si="29"/>
        <v>0</v>
      </c>
      <c r="U7" s="72">
        <f t="shared" si="30"/>
        <v>0</v>
      </c>
      <c r="V7" s="72">
        <f t="shared" si="5"/>
        <v>0</v>
      </c>
      <c r="W7" s="72">
        <f t="shared" si="1"/>
        <v>0</v>
      </c>
      <c r="X7" s="72">
        <f t="shared" si="1"/>
        <v>0</v>
      </c>
      <c r="Z7" s="72">
        <f t="shared" si="6"/>
        <v>0</v>
      </c>
      <c r="AA7" s="72">
        <f t="shared" si="7"/>
        <v>0</v>
      </c>
      <c r="AB7" s="72">
        <f t="shared" si="8"/>
        <v>0</v>
      </c>
      <c r="AC7" s="72">
        <f t="shared" si="9"/>
        <v>0</v>
      </c>
      <c r="AD7" s="72">
        <f t="shared" si="10"/>
        <v>0</v>
      </c>
      <c r="AE7" s="72">
        <f t="shared" si="11"/>
        <v>0</v>
      </c>
      <c r="AF7" s="72">
        <f t="shared" si="12"/>
        <v>0</v>
      </c>
      <c r="AG7" s="72">
        <f t="shared" si="13"/>
        <v>0</v>
      </c>
      <c r="AH7" s="72">
        <f t="shared" si="14"/>
        <v>0</v>
      </c>
      <c r="AI7" s="72">
        <f t="shared" si="15"/>
        <v>0</v>
      </c>
      <c r="AJ7" s="72">
        <f t="shared" si="16"/>
        <v>0</v>
      </c>
      <c r="AK7" s="72">
        <f t="shared" si="17"/>
        <v>0</v>
      </c>
      <c r="AL7" s="72">
        <f t="shared" si="18"/>
        <v>0</v>
      </c>
      <c r="AM7" s="72">
        <f t="shared" si="2"/>
        <v>0</v>
      </c>
      <c r="AN7" s="72">
        <f t="shared" si="2"/>
        <v>0</v>
      </c>
      <c r="AQ7" s="71" t="s">
        <v>53</v>
      </c>
      <c r="AR7" s="97">
        <f t="shared" si="0"/>
        <v>248.44</v>
      </c>
      <c r="AS7" s="58">
        <f>AE63</f>
        <v>0</v>
      </c>
      <c r="AT7" s="58">
        <f>O63</f>
        <v>248.44</v>
      </c>
      <c r="AY7" s="597">
        <v>175.97</v>
      </c>
    </row>
    <row r="8" spans="2:51">
      <c r="B8" s="60">
        <v>44861</v>
      </c>
      <c r="C8" s="62" t="s">
        <v>108</v>
      </c>
      <c r="D8" s="79" t="s">
        <v>40</v>
      </c>
      <c r="E8" s="56">
        <v>15.73</v>
      </c>
      <c r="F8" s="76" t="s">
        <v>66</v>
      </c>
      <c r="G8" s="77">
        <f t="shared" si="31"/>
        <v>7.8650000000000002</v>
      </c>
      <c r="H8" s="78">
        <f t="shared" si="32"/>
        <v>7.8650000000000002</v>
      </c>
      <c r="I8" s="481" t="s">
        <v>535</v>
      </c>
      <c r="J8" s="72">
        <f t="shared" si="19"/>
        <v>0</v>
      </c>
      <c r="K8" s="72">
        <f t="shared" si="20"/>
        <v>0</v>
      </c>
      <c r="L8" s="72">
        <f t="shared" si="21"/>
        <v>0</v>
      </c>
      <c r="M8" s="72">
        <f t="shared" si="22"/>
        <v>0</v>
      </c>
      <c r="N8" s="72">
        <f t="shared" si="23"/>
        <v>0</v>
      </c>
      <c r="O8" s="72">
        <f t="shared" si="24"/>
        <v>0</v>
      </c>
      <c r="P8" s="72">
        <f t="shared" si="25"/>
        <v>0</v>
      </c>
      <c r="Q8" s="72">
        <f t="shared" si="26"/>
        <v>0</v>
      </c>
      <c r="R8" s="72">
        <f t="shared" si="27"/>
        <v>7.8650000000000002</v>
      </c>
      <c r="S8" s="72">
        <f t="shared" si="28"/>
        <v>0</v>
      </c>
      <c r="T8" s="72">
        <f t="shared" si="29"/>
        <v>0</v>
      </c>
      <c r="U8" s="72">
        <f t="shared" si="30"/>
        <v>0</v>
      </c>
      <c r="V8" s="72">
        <f t="shared" si="5"/>
        <v>0</v>
      </c>
      <c r="W8" s="72">
        <f t="shared" si="1"/>
        <v>0</v>
      </c>
      <c r="X8" s="72">
        <f t="shared" si="1"/>
        <v>0</v>
      </c>
      <c r="Z8" s="72">
        <f t="shared" si="6"/>
        <v>0</v>
      </c>
      <c r="AA8" s="72">
        <f t="shared" si="7"/>
        <v>0</v>
      </c>
      <c r="AB8" s="72">
        <f t="shared" si="8"/>
        <v>0</v>
      </c>
      <c r="AC8" s="72">
        <f t="shared" si="9"/>
        <v>0</v>
      </c>
      <c r="AD8" s="72">
        <f t="shared" si="10"/>
        <v>0</v>
      </c>
      <c r="AE8" s="72">
        <f t="shared" si="11"/>
        <v>0</v>
      </c>
      <c r="AF8" s="72">
        <f t="shared" si="12"/>
        <v>0</v>
      </c>
      <c r="AG8" s="72">
        <f t="shared" si="13"/>
        <v>0</v>
      </c>
      <c r="AH8" s="72">
        <f t="shared" si="14"/>
        <v>7.8650000000000002</v>
      </c>
      <c r="AI8" s="72">
        <f t="shared" si="15"/>
        <v>0</v>
      </c>
      <c r="AJ8" s="72">
        <f t="shared" si="16"/>
        <v>0</v>
      </c>
      <c r="AK8" s="72">
        <f t="shared" si="17"/>
        <v>0</v>
      </c>
      <c r="AL8" s="72">
        <f t="shared" si="18"/>
        <v>0</v>
      </c>
      <c r="AM8" s="72">
        <f t="shared" si="2"/>
        <v>0</v>
      </c>
      <c r="AN8" s="72">
        <f t="shared" si="2"/>
        <v>0</v>
      </c>
      <c r="AQ8" s="71" t="s">
        <v>54</v>
      </c>
      <c r="AR8" s="97">
        <f t="shared" si="0"/>
        <v>409.03999999999996</v>
      </c>
      <c r="AS8" s="58">
        <f>AF63</f>
        <v>0</v>
      </c>
      <c r="AT8" s="58">
        <f>P63</f>
        <v>409.03999999999996</v>
      </c>
    </row>
    <row r="9" spans="2:51">
      <c r="B9" s="60">
        <v>45030</v>
      </c>
      <c r="C9" s="62" t="s">
        <v>408</v>
      </c>
      <c r="D9" s="79" t="s">
        <v>40</v>
      </c>
      <c r="E9" s="56">
        <v>39.950000000000003</v>
      </c>
      <c r="F9" s="76" t="s">
        <v>65</v>
      </c>
      <c r="G9" s="77">
        <f t="shared" si="31"/>
        <v>0</v>
      </c>
      <c r="H9" s="78">
        <f t="shared" si="32"/>
        <v>39.950000000000003</v>
      </c>
      <c r="I9" s="481" t="s">
        <v>536</v>
      </c>
      <c r="J9" s="72">
        <f t="shared" si="19"/>
        <v>0</v>
      </c>
      <c r="K9" s="72">
        <f t="shared" si="20"/>
        <v>0</v>
      </c>
      <c r="L9" s="72">
        <f t="shared" si="21"/>
        <v>0</v>
      </c>
      <c r="M9" s="72">
        <f t="shared" si="22"/>
        <v>0</v>
      </c>
      <c r="N9" s="72">
        <f t="shared" si="23"/>
        <v>0</v>
      </c>
      <c r="O9" s="72">
        <f t="shared" si="24"/>
        <v>0</v>
      </c>
      <c r="P9" s="72">
        <f t="shared" si="25"/>
        <v>0</v>
      </c>
      <c r="Q9" s="72">
        <f t="shared" si="26"/>
        <v>0</v>
      </c>
      <c r="R9" s="72">
        <f t="shared" si="27"/>
        <v>39.950000000000003</v>
      </c>
      <c r="S9" s="72">
        <f t="shared" si="28"/>
        <v>0</v>
      </c>
      <c r="T9" s="72">
        <f t="shared" si="29"/>
        <v>0</v>
      </c>
      <c r="U9" s="72">
        <f t="shared" si="30"/>
        <v>0</v>
      </c>
      <c r="V9" s="72">
        <f t="shared" si="5"/>
        <v>0</v>
      </c>
      <c r="W9" s="72">
        <f t="shared" si="1"/>
        <v>0</v>
      </c>
      <c r="X9" s="72">
        <f t="shared" si="1"/>
        <v>0</v>
      </c>
      <c r="Z9" s="72">
        <f t="shared" si="6"/>
        <v>0</v>
      </c>
      <c r="AA9" s="72">
        <f t="shared" si="7"/>
        <v>0</v>
      </c>
      <c r="AB9" s="72">
        <f t="shared" si="8"/>
        <v>0</v>
      </c>
      <c r="AC9" s="72">
        <f t="shared" si="9"/>
        <v>0</v>
      </c>
      <c r="AD9" s="72">
        <f t="shared" si="10"/>
        <v>0</v>
      </c>
      <c r="AE9" s="72">
        <f t="shared" si="11"/>
        <v>0</v>
      </c>
      <c r="AF9" s="72">
        <f t="shared" si="12"/>
        <v>0</v>
      </c>
      <c r="AG9" s="72">
        <f t="shared" si="13"/>
        <v>0</v>
      </c>
      <c r="AH9" s="72">
        <f t="shared" si="14"/>
        <v>0</v>
      </c>
      <c r="AI9" s="72">
        <f t="shared" si="15"/>
        <v>0</v>
      </c>
      <c r="AJ9" s="72">
        <f t="shared" si="16"/>
        <v>0</v>
      </c>
      <c r="AK9" s="72">
        <f t="shared" si="17"/>
        <v>0</v>
      </c>
      <c r="AL9" s="72">
        <f t="shared" si="18"/>
        <v>0</v>
      </c>
      <c r="AM9" s="72">
        <f t="shared" si="2"/>
        <v>0</v>
      </c>
      <c r="AN9" s="72">
        <f t="shared" si="2"/>
        <v>0</v>
      </c>
      <c r="AQ9" s="71" t="s">
        <v>59</v>
      </c>
      <c r="AR9" s="97">
        <f t="shared" si="0"/>
        <v>0</v>
      </c>
      <c r="AS9" s="58">
        <f>AG63</f>
        <v>0</v>
      </c>
      <c r="AT9" s="58">
        <f>Q63</f>
        <v>0</v>
      </c>
    </row>
    <row r="10" spans="2:51">
      <c r="B10" s="60">
        <v>45154</v>
      </c>
      <c r="C10" s="62" t="s">
        <v>656</v>
      </c>
      <c r="D10" s="79" t="s">
        <v>54</v>
      </c>
      <c r="E10" s="56">
        <v>289.14</v>
      </c>
      <c r="F10" s="76" t="s">
        <v>65</v>
      </c>
      <c r="G10" s="77">
        <f t="shared" si="31"/>
        <v>0</v>
      </c>
      <c r="H10" s="78">
        <f t="shared" si="32"/>
        <v>289.14</v>
      </c>
      <c r="I10" s="481" t="s">
        <v>258</v>
      </c>
      <c r="J10" s="72">
        <f t="shared" si="19"/>
        <v>0</v>
      </c>
      <c r="K10" s="72">
        <f t="shared" si="20"/>
        <v>0</v>
      </c>
      <c r="L10" s="72">
        <f t="shared" si="21"/>
        <v>0</v>
      </c>
      <c r="M10" s="72">
        <f t="shared" si="22"/>
        <v>0</v>
      </c>
      <c r="N10" s="72">
        <f t="shared" si="23"/>
        <v>0</v>
      </c>
      <c r="O10" s="72">
        <f t="shared" si="24"/>
        <v>0</v>
      </c>
      <c r="P10" s="72">
        <f t="shared" si="25"/>
        <v>289.14</v>
      </c>
      <c r="Q10" s="72">
        <f t="shared" si="26"/>
        <v>0</v>
      </c>
      <c r="R10" s="72">
        <f t="shared" si="27"/>
        <v>0</v>
      </c>
      <c r="S10" s="72">
        <f t="shared" si="28"/>
        <v>0</v>
      </c>
      <c r="T10" s="72">
        <f t="shared" si="29"/>
        <v>0</v>
      </c>
      <c r="U10" s="72">
        <f t="shared" si="30"/>
        <v>0</v>
      </c>
      <c r="V10" s="72">
        <f t="shared" si="5"/>
        <v>0</v>
      </c>
      <c r="W10" s="72">
        <f t="shared" si="1"/>
        <v>0</v>
      </c>
      <c r="X10" s="72">
        <f t="shared" si="1"/>
        <v>0</v>
      </c>
      <c r="Z10" s="72">
        <f t="shared" si="6"/>
        <v>0</v>
      </c>
      <c r="AA10" s="72">
        <f t="shared" si="7"/>
        <v>0</v>
      </c>
      <c r="AB10" s="72">
        <f t="shared" si="8"/>
        <v>0</v>
      </c>
      <c r="AC10" s="72">
        <f t="shared" si="9"/>
        <v>0</v>
      </c>
      <c r="AD10" s="72">
        <f t="shared" si="10"/>
        <v>0</v>
      </c>
      <c r="AE10" s="72">
        <f t="shared" si="11"/>
        <v>0</v>
      </c>
      <c r="AF10" s="72">
        <f t="shared" si="12"/>
        <v>0</v>
      </c>
      <c r="AG10" s="72">
        <f t="shared" si="13"/>
        <v>0</v>
      </c>
      <c r="AH10" s="72">
        <f t="shared" si="14"/>
        <v>0</v>
      </c>
      <c r="AI10" s="72">
        <f t="shared" si="15"/>
        <v>0</v>
      </c>
      <c r="AJ10" s="72">
        <f t="shared" si="16"/>
        <v>0</v>
      </c>
      <c r="AK10" s="72">
        <f t="shared" si="17"/>
        <v>0</v>
      </c>
      <c r="AL10" s="72">
        <f t="shared" si="18"/>
        <v>0</v>
      </c>
      <c r="AM10" s="72">
        <f t="shared" si="2"/>
        <v>0</v>
      </c>
      <c r="AN10" s="72">
        <f t="shared" si="2"/>
        <v>0</v>
      </c>
      <c r="AQ10" s="71" t="s">
        <v>40</v>
      </c>
      <c r="AR10" s="97">
        <f t="shared" si="0"/>
        <v>55.680000000000007</v>
      </c>
      <c r="AS10" s="58">
        <f>AH63</f>
        <v>7.8650000000000002</v>
      </c>
      <c r="AT10" s="58">
        <f>R63</f>
        <v>47.815000000000005</v>
      </c>
      <c r="AY10" s="59"/>
    </row>
    <row r="11" spans="2:51">
      <c r="B11" s="60">
        <v>45155</v>
      </c>
      <c r="C11" s="62" t="s">
        <v>657</v>
      </c>
      <c r="D11" s="79" t="s">
        <v>143</v>
      </c>
      <c r="E11" s="56">
        <v>191.88</v>
      </c>
      <c r="F11" s="76" t="s">
        <v>65</v>
      </c>
      <c r="G11" s="77">
        <f t="shared" si="31"/>
        <v>0</v>
      </c>
      <c r="H11" s="78">
        <f t="shared" si="32"/>
        <v>191.88</v>
      </c>
      <c r="I11" s="481" t="s">
        <v>258</v>
      </c>
      <c r="J11" s="72">
        <f t="shared" si="19"/>
        <v>0</v>
      </c>
      <c r="K11" s="72">
        <f t="shared" si="20"/>
        <v>0</v>
      </c>
      <c r="L11" s="72">
        <f t="shared" si="21"/>
        <v>0</v>
      </c>
      <c r="M11" s="72">
        <f t="shared" si="22"/>
        <v>0</v>
      </c>
      <c r="N11" s="72">
        <f t="shared" si="23"/>
        <v>0</v>
      </c>
      <c r="O11" s="72">
        <f t="shared" si="24"/>
        <v>0</v>
      </c>
      <c r="P11" s="72">
        <f t="shared" si="25"/>
        <v>0</v>
      </c>
      <c r="Q11" s="72">
        <f t="shared" si="26"/>
        <v>0</v>
      </c>
      <c r="R11" s="72">
        <f t="shared" si="27"/>
        <v>0</v>
      </c>
      <c r="S11" s="72">
        <f t="shared" si="28"/>
        <v>0</v>
      </c>
      <c r="T11" s="72">
        <f t="shared" si="29"/>
        <v>0</v>
      </c>
      <c r="U11" s="72">
        <f t="shared" si="30"/>
        <v>0</v>
      </c>
      <c r="V11" s="72">
        <f t="shared" si="5"/>
        <v>191.88</v>
      </c>
      <c r="W11" s="72">
        <f t="shared" si="1"/>
        <v>0</v>
      </c>
      <c r="X11" s="72">
        <f t="shared" si="1"/>
        <v>0</v>
      </c>
      <c r="Z11" s="72">
        <f t="shared" si="6"/>
        <v>0</v>
      </c>
      <c r="AA11" s="72">
        <f t="shared" si="7"/>
        <v>0</v>
      </c>
      <c r="AB11" s="72">
        <f t="shared" si="8"/>
        <v>0</v>
      </c>
      <c r="AC11" s="72">
        <f t="shared" si="9"/>
        <v>0</v>
      </c>
      <c r="AD11" s="72">
        <f t="shared" si="10"/>
        <v>0</v>
      </c>
      <c r="AE11" s="72">
        <f t="shared" si="11"/>
        <v>0</v>
      </c>
      <c r="AF11" s="72">
        <f t="shared" si="12"/>
        <v>0</v>
      </c>
      <c r="AG11" s="72">
        <f t="shared" si="13"/>
        <v>0</v>
      </c>
      <c r="AH11" s="72">
        <f t="shared" si="14"/>
        <v>0</v>
      </c>
      <c r="AI11" s="72">
        <f t="shared" si="15"/>
        <v>0</v>
      </c>
      <c r="AJ11" s="72">
        <f t="shared" si="16"/>
        <v>0</v>
      </c>
      <c r="AK11" s="72">
        <f t="shared" si="17"/>
        <v>0</v>
      </c>
      <c r="AL11" s="72">
        <f t="shared" si="18"/>
        <v>0</v>
      </c>
      <c r="AM11" s="72">
        <f t="shared" si="2"/>
        <v>0</v>
      </c>
      <c r="AN11" s="72">
        <f t="shared" si="2"/>
        <v>0</v>
      </c>
      <c r="AQ11" s="71" t="s">
        <v>55</v>
      </c>
      <c r="AR11" s="97">
        <f t="shared" si="0"/>
        <v>48.599999999999994</v>
      </c>
      <c r="AS11" s="58">
        <f>AI63</f>
        <v>0</v>
      </c>
      <c r="AT11" s="58">
        <f>S63</f>
        <v>48.599999999999994</v>
      </c>
      <c r="AY11" s="59"/>
    </row>
    <row r="12" spans="2:51">
      <c r="B12" s="60">
        <v>45159</v>
      </c>
      <c r="C12" s="62" t="s">
        <v>658</v>
      </c>
      <c r="D12" s="79" t="s">
        <v>57</v>
      </c>
      <c r="E12" s="56">
        <v>48</v>
      </c>
      <c r="F12" s="76" t="s">
        <v>65</v>
      </c>
      <c r="G12" s="77">
        <f t="shared" si="31"/>
        <v>0</v>
      </c>
      <c r="H12" s="78">
        <f t="shared" si="32"/>
        <v>48</v>
      </c>
      <c r="I12" s="481"/>
      <c r="J12" s="72">
        <f t="shared" si="19"/>
        <v>48</v>
      </c>
      <c r="K12" s="72">
        <f t="shared" si="20"/>
        <v>0</v>
      </c>
      <c r="L12" s="72">
        <f t="shared" si="21"/>
        <v>0</v>
      </c>
      <c r="M12" s="72">
        <f t="shared" si="22"/>
        <v>0</v>
      </c>
      <c r="N12" s="72">
        <f t="shared" si="23"/>
        <v>0</v>
      </c>
      <c r="O12" s="72">
        <f t="shared" si="24"/>
        <v>0</v>
      </c>
      <c r="P12" s="72">
        <f t="shared" si="25"/>
        <v>0</v>
      </c>
      <c r="Q12" s="72">
        <f t="shared" si="26"/>
        <v>0</v>
      </c>
      <c r="R12" s="72">
        <f t="shared" si="27"/>
        <v>0</v>
      </c>
      <c r="S12" s="72">
        <f t="shared" si="28"/>
        <v>0</v>
      </c>
      <c r="T12" s="72">
        <f t="shared" si="29"/>
        <v>0</v>
      </c>
      <c r="U12" s="72">
        <f t="shared" si="30"/>
        <v>0</v>
      </c>
      <c r="V12" s="72">
        <f t="shared" si="5"/>
        <v>0</v>
      </c>
      <c r="W12" s="72">
        <f t="shared" si="1"/>
        <v>0</v>
      </c>
      <c r="X12" s="72">
        <f t="shared" si="1"/>
        <v>0</v>
      </c>
      <c r="Z12" s="72">
        <f t="shared" si="6"/>
        <v>0</v>
      </c>
      <c r="AA12" s="72">
        <f t="shared" si="7"/>
        <v>0</v>
      </c>
      <c r="AB12" s="72">
        <f t="shared" si="8"/>
        <v>0</v>
      </c>
      <c r="AC12" s="72">
        <f t="shared" si="9"/>
        <v>0</v>
      </c>
      <c r="AD12" s="72">
        <f t="shared" si="10"/>
        <v>0</v>
      </c>
      <c r="AE12" s="72">
        <f t="shared" si="11"/>
        <v>0</v>
      </c>
      <c r="AF12" s="72">
        <f t="shared" si="12"/>
        <v>0</v>
      </c>
      <c r="AG12" s="72">
        <f t="shared" si="13"/>
        <v>0</v>
      </c>
      <c r="AH12" s="72">
        <f t="shared" si="14"/>
        <v>0</v>
      </c>
      <c r="AI12" s="72">
        <f t="shared" si="15"/>
        <v>0</v>
      </c>
      <c r="AJ12" s="72">
        <f t="shared" si="16"/>
        <v>0</v>
      </c>
      <c r="AK12" s="72">
        <f t="shared" si="17"/>
        <v>0</v>
      </c>
      <c r="AL12" s="72">
        <f t="shared" si="18"/>
        <v>0</v>
      </c>
      <c r="AM12" s="72">
        <f t="shared" si="2"/>
        <v>0</v>
      </c>
      <c r="AN12" s="72">
        <f t="shared" si="2"/>
        <v>0</v>
      </c>
      <c r="AQ12" s="71" t="s">
        <v>58</v>
      </c>
      <c r="AR12" s="97">
        <f t="shared" si="0"/>
        <v>0</v>
      </c>
      <c r="AS12" s="58">
        <f>AJ63</f>
        <v>0</v>
      </c>
      <c r="AT12" s="58">
        <f>T63</f>
        <v>0</v>
      </c>
      <c r="AY12" s="59"/>
    </row>
    <row r="13" spans="2:51">
      <c r="B13" s="60">
        <v>45161</v>
      </c>
      <c r="C13" s="62" t="s">
        <v>674</v>
      </c>
      <c r="D13" s="79" t="s">
        <v>268</v>
      </c>
      <c r="E13" s="56">
        <v>409.78</v>
      </c>
      <c r="F13" s="76" t="s">
        <v>65</v>
      </c>
      <c r="G13" s="77">
        <f t="shared" si="31"/>
        <v>0</v>
      </c>
      <c r="H13" s="78">
        <f t="shared" si="32"/>
        <v>409.78</v>
      </c>
      <c r="I13" s="481" t="s">
        <v>258</v>
      </c>
      <c r="J13" s="72">
        <f t="shared" si="19"/>
        <v>0</v>
      </c>
      <c r="K13" s="72">
        <f t="shared" si="20"/>
        <v>0</v>
      </c>
      <c r="L13" s="72">
        <f t="shared" si="21"/>
        <v>0</v>
      </c>
      <c r="M13" s="72">
        <f t="shared" si="22"/>
        <v>0</v>
      </c>
      <c r="N13" s="72">
        <f t="shared" si="23"/>
        <v>0</v>
      </c>
      <c r="O13" s="72">
        <f t="shared" si="24"/>
        <v>0</v>
      </c>
      <c r="P13" s="72">
        <f t="shared" si="25"/>
        <v>0</v>
      </c>
      <c r="Q13" s="72">
        <f t="shared" si="26"/>
        <v>0</v>
      </c>
      <c r="R13" s="72">
        <f t="shared" si="27"/>
        <v>0</v>
      </c>
      <c r="S13" s="72">
        <f t="shared" si="28"/>
        <v>0</v>
      </c>
      <c r="T13" s="72">
        <f t="shared" si="29"/>
        <v>0</v>
      </c>
      <c r="U13" s="72">
        <f t="shared" si="30"/>
        <v>0</v>
      </c>
      <c r="V13" s="72">
        <f t="shared" si="5"/>
        <v>0</v>
      </c>
      <c r="W13" s="72">
        <f t="shared" si="1"/>
        <v>409.78</v>
      </c>
      <c r="X13" s="72">
        <f t="shared" si="1"/>
        <v>0</v>
      </c>
      <c r="Z13" s="72">
        <f t="shared" si="6"/>
        <v>0</v>
      </c>
      <c r="AA13" s="72">
        <f t="shared" si="7"/>
        <v>0</v>
      </c>
      <c r="AB13" s="72">
        <f t="shared" si="8"/>
        <v>0</v>
      </c>
      <c r="AC13" s="72">
        <f t="shared" si="9"/>
        <v>0</v>
      </c>
      <c r="AD13" s="72">
        <f t="shared" si="10"/>
        <v>0</v>
      </c>
      <c r="AE13" s="72">
        <f t="shared" si="11"/>
        <v>0</v>
      </c>
      <c r="AF13" s="72">
        <f t="shared" si="12"/>
        <v>0</v>
      </c>
      <c r="AG13" s="72">
        <f t="shared" si="13"/>
        <v>0</v>
      </c>
      <c r="AH13" s="72">
        <f t="shared" si="14"/>
        <v>0</v>
      </c>
      <c r="AI13" s="72">
        <f t="shared" si="15"/>
        <v>0</v>
      </c>
      <c r="AJ13" s="72">
        <f t="shared" si="16"/>
        <v>0</v>
      </c>
      <c r="AK13" s="72">
        <f t="shared" si="17"/>
        <v>0</v>
      </c>
      <c r="AL13" s="72">
        <f t="shared" si="18"/>
        <v>0</v>
      </c>
      <c r="AM13" s="72">
        <f t="shared" si="2"/>
        <v>0</v>
      </c>
      <c r="AN13" s="72">
        <f t="shared" si="2"/>
        <v>0</v>
      </c>
      <c r="AQ13" s="71" t="s">
        <v>52</v>
      </c>
      <c r="AR13" s="97">
        <f t="shared" si="0"/>
        <v>0</v>
      </c>
      <c r="AS13" s="58">
        <f>AK63</f>
        <v>0</v>
      </c>
      <c r="AT13" s="58">
        <f>U63</f>
        <v>0</v>
      </c>
      <c r="AY13" s="59"/>
    </row>
    <row r="14" spans="2:51">
      <c r="B14" s="60">
        <v>45163</v>
      </c>
      <c r="C14" s="62" t="s">
        <v>675</v>
      </c>
      <c r="D14" s="79" t="s">
        <v>54</v>
      </c>
      <c r="E14" s="56">
        <v>119.9</v>
      </c>
      <c r="F14" s="76" t="s">
        <v>65</v>
      </c>
      <c r="G14" s="77">
        <f t="shared" si="31"/>
        <v>0</v>
      </c>
      <c r="H14" s="78">
        <f t="shared" si="32"/>
        <v>119.9</v>
      </c>
      <c r="I14" s="481" t="s">
        <v>155</v>
      </c>
      <c r="J14" s="72">
        <f t="shared" si="19"/>
        <v>0</v>
      </c>
      <c r="K14" s="72">
        <f t="shared" si="20"/>
        <v>0</v>
      </c>
      <c r="L14" s="72">
        <f t="shared" si="21"/>
        <v>0</v>
      </c>
      <c r="M14" s="72">
        <f t="shared" si="22"/>
        <v>0</v>
      </c>
      <c r="N14" s="72">
        <f t="shared" si="23"/>
        <v>0</v>
      </c>
      <c r="O14" s="72">
        <f t="shared" si="24"/>
        <v>0</v>
      </c>
      <c r="P14" s="72">
        <f t="shared" si="25"/>
        <v>119.9</v>
      </c>
      <c r="Q14" s="72">
        <f t="shared" si="26"/>
        <v>0</v>
      </c>
      <c r="R14" s="72">
        <f t="shared" si="27"/>
        <v>0</v>
      </c>
      <c r="S14" s="72">
        <f t="shared" si="28"/>
        <v>0</v>
      </c>
      <c r="T14" s="72">
        <f t="shared" si="29"/>
        <v>0</v>
      </c>
      <c r="U14" s="72">
        <f t="shared" si="30"/>
        <v>0</v>
      </c>
      <c r="V14" s="72">
        <f t="shared" si="5"/>
        <v>0</v>
      </c>
      <c r="W14" s="72">
        <f t="shared" si="1"/>
        <v>0</v>
      </c>
      <c r="X14" s="72">
        <f t="shared" si="1"/>
        <v>0</v>
      </c>
      <c r="Z14" s="72">
        <f t="shared" si="6"/>
        <v>0</v>
      </c>
      <c r="AA14" s="72">
        <f t="shared" si="7"/>
        <v>0</v>
      </c>
      <c r="AB14" s="72">
        <f t="shared" si="8"/>
        <v>0</v>
      </c>
      <c r="AC14" s="72">
        <f t="shared" si="9"/>
        <v>0</v>
      </c>
      <c r="AD14" s="72">
        <f t="shared" si="10"/>
        <v>0</v>
      </c>
      <c r="AE14" s="72">
        <f t="shared" si="11"/>
        <v>0</v>
      </c>
      <c r="AF14" s="72">
        <f t="shared" si="12"/>
        <v>0</v>
      </c>
      <c r="AG14" s="72">
        <f t="shared" si="13"/>
        <v>0</v>
      </c>
      <c r="AH14" s="72">
        <f t="shared" si="14"/>
        <v>0</v>
      </c>
      <c r="AI14" s="72">
        <f t="shared" si="15"/>
        <v>0</v>
      </c>
      <c r="AJ14" s="72">
        <f t="shared" si="16"/>
        <v>0</v>
      </c>
      <c r="AK14" s="72">
        <f t="shared" si="17"/>
        <v>0</v>
      </c>
      <c r="AL14" s="72">
        <f t="shared" si="18"/>
        <v>0</v>
      </c>
      <c r="AM14" s="72">
        <f t="shared" si="2"/>
        <v>0</v>
      </c>
      <c r="AN14" s="72">
        <f t="shared" si="2"/>
        <v>0</v>
      </c>
      <c r="AQ14" s="71" t="s">
        <v>143</v>
      </c>
      <c r="AR14" s="97">
        <f t="shared" si="0"/>
        <v>191.88</v>
      </c>
      <c r="AS14" s="58">
        <f>AL63</f>
        <v>0</v>
      </c>
      <c r="AT14" s="58">
        <f>V63</f>
        <v>191.88</v>
      </c>
      <c r="AY14" s="59"/>
    </row>
    <row r="15" spans="2:51">
      <c r="B15" s="60">
        <v>45165</v>
      </c>
      <c r="C15" s="62" t="s">
        <v>676</v>
      </c>
      <c r="D15" s="79" t="s">
        <v>51</v>
      </c>
      <c r="E15" s="56">
        <v>150</v>
      </c>
      <c r="F15" s="76" t="s">
        <v>66</v>
      </c>
      <c r="G15" s="77">
        <f t="shared" si="3"/>
        <v>75</v>
      </c>
      <c r="H15" s="78">
        <f t="shared" si="4"/>
        <v>75</v>
      </c>
      <c r="I15" s="481"/>
      <c r="J15" s="72">
        <f t="shared" si="19"/>
        <v>0</v>
      </c>
      <c r="K15" s="72">
        <f t="shared" si="20"/>
        <v>75</v>
      </c>
      <c r="L15" s="72">
        <f t="shared" si="21"/>
        <v>0</v>
      </c>
      <c r="M15" s="72">
        <f t="shared" si="22"/>
        <v>0</v>
      </c>
      <c r="N15" s="72">
        <f t="shared" si="23"/>
        <v>0</v>
      </c>
      <c r="O15" s="72">
        <f t="shared" si="24"/>
        <v>0</v>
      </c>
      <c r="P15" s="72">
        <f t="shared" si="25"/>
        <v>0</v>
      </c>
      <c r="Q15" s="72">
        <f t="shared" si="26"/>
        <v>0</v>
      </c>
      <c r="R15" s="72">
        <f t="shared" si="27"/>
        <v>0</v>
      </c>
      <c r="S15" s="72">
        <f t="shared" si="28"/>
        <v>0</v>
      </c>
      <c r="T15" s="72">
        <f t="shared" si="29"/>
        <v>0</v>
      </c>
      <c r="U15" s="72">
        <f t="shared" si="30"/>
        <v>0</v>
      </c>
      <c r="V15" s="72">
        <f t="shared" si="5"/>
        <v>0</v>
      </c>
      <c r="W15" s="72">
        <f t="shared" si="1"/>
        <v>0</v>
      </c>
      <c r="X15" s="72">
        <f t="shared" si="1"/>
        <v>0</v>
      </c>
      <c r="Z15" s="72">
        <f t="shared" si="6"/>
        <v>0</v>
      </c>
      <c r="AA15" s="72">
        <f t="shared" si="7"/>
        <v>75</v>
      </c>
      <c r="AB15" s="72">
        <f t="shared" si="8"/>
        <v>0</v>
      </c>
      <c r="AC15" s="72">
        <f t="shared" si="9"/>
        <v>0</v>
      </c>
      <c r="AD15" s="72">
        <f t="shared" si="10"/>
        <v>0</v>
      </c>
      <c r="AE15" s="72">
        <f t="shared" si="11"/>
        <v>0</v>
      </c>
      <c r="AF15" s="72">
        <f t="shared" si="12"/>
        <v>0</v>
      </c>
      <c r="AG15" s="72">
        <f t="shared" si="13"/>
        <v>0</v>
      </c>
      <c r="AH15" s="72">
        <f t="shared" si="14"/>
        <v>0</v>
      </c>
      <c r="AI15" s="72">
        <f t="shared" si="15"/>
        <v>0</v>
      </c>
      <c r="AJ15" s="72">
        <f t="shared" si="16"/>
        <v>0</v>
      </c>
      <c r="AK15" s="72">
        <f t="shared" si="17"/>
        <v>0</v>
      </c>
      <c r="AL15" s="72">
        <f t="shared" si="18"/>
        <v>0</v>
      </c>
      <c r="AM15" s="72">
        <f t="shared" si="2"/>
        <v>0</v>
      </c>
      <c r="AN15" s="72">
        <f t="shared" si="2"/>
        <v>0</v>
      </c>
      <c r="AQ15" s="71" t="s">
        <v>268</v>
      </c>
      <c r="AR15" s="97">
        <f t="shared" si="0"/>
        <v>409.78</v>
      </c>
      <c r="AS15" s="58">
        <f>AM63</f>
        <v>0</v>
      </c>
      <c r="AT15" s="58">
        <f>W63</f>
        <v>409.78</v>
      </c>
      <c r="AY15" s="59"/>
    </row>
    <row r="16" spans="2:51">
      <c r="B16" s="60">
        <v>45165</v>
      </c>
      <c r="C16" s="62" t="s">
        <v>500</v>
      </c>
      <c r="D16" s="79" t="s">
        <v>57</v>
      </c>
      <c r="E16" s="56">
        <f>12*5.5</f>
        <v>66</v>
      </c>
      <c r="F16" s="76" t="s">
        <v>65</v>
      </c>
      <c r="G16" s="77">
        <f t="shared" si="3"/>
        <v>0</v>
      </c>
      <c r="H16" s="78">
        <f t="shared" si="4"/>
        <v>66</v>
      </c>
      <c r="I16" s="481"/>
      <c r="J16" s="72">
        <f t="shared" si="19"/>
        <v>66</v>
      </c>
      <c r="K16" s="72">
        <f t="shared" si="20"/>
        <v>0</v>
      </c>
      <c r="L16" s="72">
        <f t="shared" si="21"/>
        <v>0</v>
      </c>
      <c r="M16" s="72">
        <f t="shared" si="22"/>
        <v>0</v>
      </c>
      <c r="N16" s="72">
        <f t="shared" si="23"/>
        <v>0</v>
      </c>
      <c r="O16" s="72">
        <f t="shared" si="24"/>
        <v>0</v>
      </c>
      <c r="P16" s="72">
        <f t="shared" si="25"/>
        <v>0</v>
      </c>
      <c r="Q16" s="72">
        <f t="shared" si="26"/>
        <v>0</v>
      </c>
      <c r="R16" s="72">
        <f t="shared" si="27"/>
        <v>0</v>
      </c>
      <c r="S16" s="72">
        <f t="shared" si="28"/>
        <v>0</v>
      </c>
      <c r="T16" s="72">
        <f t="shared" si="29"/>
        <v>0</v>
      </c>
      <c r="U16" s="72">
        <f t="shared" si="30"/>
        <v>0</v>
      </c>
      <c r="V16" s="72">
        <f t="shared" si="5"/>
        <v>0</v>
      </c>
      <c r="W16" s="72">
        <f t="shared" si="1"/>
        <v>0</v>
      </c>
      <c r="X16" s="72">
        <f t="shared" si="1"/>
        <v>0</v>
      </c>
      <c r="Z16" s="72">
        <f t="shared" si="6"/>
        <v>0</v>
      </c>
      <c r="AA16" s="72">
        <f t="shared" si="7"/>
        <v>0</v>
      </c>
      <c r="AB16" s="72">
        <f t="shared" si="8"/>
        <v>0</v>
      </c>
      <c r="AC16" s="72">
        <f t="shared" si="9"/>
        <v>0</v>
      </c>
      <c r="AD16" s="72">
        <f t="shared" si="10"/>
        <v>0</v>
      </c>
      <c r="AE16" s="72">
        <f t="shared" si="11"/>
        <v>0</v>
      </c>
      <c r="AF16" s="72">
        <f t="shared" si="12"/>
        <v>0</v>
      </c>
      <c r="AG16" s="72">
        <f t="shared" si="13"/>
        <v>0</v>
      </c>
      <c r="AH16" s="72">
        <f t="shared" si="14"/>
        <v>0</v>
      </c>
      <c r="AI16" s="72">
        <f t="shared" si="15"/>
        <v>0</v>
      </c>
      <c r="AJ16" s="72">
        <f t="shared" si="16"/>
        <v>0</v>
      </c>
      <c r="AK16" s="72">
        <f t="shared" si="17"/>
        <v>0</v>
      </c>
      <c r="AL16" s="72">
        <f t="shared" si="18"/>
        <v>0</v>
      </c>
      <c r="AM16" s="72">
        <f t="shared" si="2"/>
        <v>0</v>
      </c>
      <c r="AN16" s="72">
        <f t="shared" si="2"/>
        <v>0</v>
      </c>
      <c r="AQ16" s="71"/>
      <c r="AR16" s="97">
        <f t="shared" si="0"/>
        <v>0</v>
      </c>
      <c r="AS16" s="95">
        <f>AN63</f>
        <v>0</v>
      </c>
      <c r="AT16" s="95">
        <f>X63</f>
        <v>0</v>
      </c>
      <c r="AU16" s="59"/>
      <c r="AY16" s="59"/>
    </row>
    <row r="17" spans="2:52">
      <c r="B17" s="60">
        <v>45176</v>
      </c>
      <c r="C17" s="62" t="s">
        <v>677</v>
      </c>
      <c r="D17" s="79" t="s">
        <v>57</v>
      </c>
      <c r="E17" s="56">
        <v>105</v>
      </c>
      <c r="F17" s="76" t="s">
        <v>66</v>
      </c>
      <c r="G17" s="77">
        <f t="shared" si="3"/>
        <v>52.5</v>
      </c>
      <c r="H17" s="78">
        <f t="shared" si="4"/>
        <v>52.5</v>
      </c>
      <c r="I17" s="481"/>
      <c r="J17" s="72">
        <f t="shared" si="19"/>
        <v>52.5</v>
      </c>
      <c r="K17" s="72">
        <f t="shared" si="20"/>
        <v>0</v>
      </c>
      <c r="L17" s="72">
        <f t="shared" si="21"/>
        <v>0</v>
      </c>
      <c r="M17" s="72">
        <f t="shared" si="22"/>
        <v>0</v>
      </c>
      <c r="N17" s="72">
        <f t="shared" si="23"/>
        <v>0</v>
      </c>
      <c r="O17" s="72">
        <f t="shared" si="24"/>
        <v>0</v>
      </c>
      <c r="P17" s="72">
        <f t="shared" si="25"/>
        <v>0</v>
      </c>
      <c r="Q17" s="72">
        <f t="shared" si="26"/>
        <v>0</v>
      </c>
      <c r="R17" s="72">
        <f t="shared" si="27"/>
        <v>0</v>
      </c>
      <c r="S17" s="72">
        <f t="shared" si="28"/>
        <v>0</v>
      </c>
      <c r="T17" s="72">
        <f t="shared" si="29"/>
        <v>0</v>
      </c>
      <c r="U17" s="72">
        <f t="shared" si="30"/>
        <v>0</v>
      </c>
      <c r="V17" s="72">
        <f t="shared" si="5"/>
        <v>0</v>
      </c>
      <c r="W17" s="72">
        <f t="shared" si="1"/>
        <v>0</v>
      </c>
      <c r="X17" s="72">
        <f t="shared" si="1"/>
        <v>0</v>
      </c>
      <c r="Z17" s="72">
        <f t="shared" si="6"/>
        <v>52.5</v>
      </c>
      <c r="AA17" s="72">
        <f t="shared" si="7"/>
        <v>0</v>
      </c>
      <c r="AB17" s="72">
        <f t="shared" si="8"/>
        <v>0</v>
      </c>
      <c r="AC17" s="72">
        <f t="shared" si="9"/>
        <v>0</v>
      </c>
      <c r="AD17" s="72">
        <f t="shared" si="10"/>
        <v>0</v>
      </c>
      <c r="AE17" s="72">
        <f t="shared" si="11"/>
        <v>0</v>
      </c>
      <c r="AF17" s="72">
        <f t="shared" si="12"/>
        <v>0</v>
      </c>
      <c r="AG17" s="72">
        <f t="shared" si="13"/>
        <v>0</v>
      </c>
      <c r="AH17" s="72">
        <f t="shared" si="14"/>
        <v>0</v>
      </c>
      <c r="AI17" s="72">
        <f t="shared" si="15"/>
        <v>0</v>
      </c>
      <c r="AJ17" s="72">
        <f t="shared" si="16"/>
        <v>0</v>
      </c>
      <c r="AK17" s="72">
        <f t="shared" si="17"/>
        <v>0</v>
      </c>
      <c r="AL17" s="72">
        <f t="shared" si="18"/>
        <v>0</v>
      </c>
      <c r="AM17" s="72">
        <f t="shared" si="2"/>
        <v>0</v>
      </c>
      <c r="AN17" s="72">
        <f t="shared" si="2"/>
        <v>0</v>
      </c>
      <c r="AQ17" s="87" t="s">
        <v>67</v>
      </c>
      <c r="AR17" s="96">
        <f>SUM(AR2:AR16)</f>
        <v>2342.67</v>
      </c>
      <c r="AS17" s="88">
        <f>SUM(AS2:AS16)</f>
        <v>252.67500000000001</v>
      </c>
      <c r="AT17" s="88">
        <f>SUM(AT2:AT16)</f>
        <v>2089.9949999999999</v>
      </c>
    </row>
    <row r="18" spans="2:52">
      <c r="B18" s="60">
        <v>45176</v>
      </c>
      <c r="C18" s="62" t="s">
        <v>678</v>
      </c>
      <c r="D18" s="79" t="s">
        <v>56</v>
      </c>
      <c r="E18" s="56">
        <v>357.28</v>
      </c>
      <c r="F18" s="76" t="s">
        <v>65</v>
      </c>
      <c r="G18" s="77">
        <f t="shared" si="3"/>
        <v>0</v>
      </c>
      <c r="H18" s="78">
        <f t="shared" si="4"/>
        <v>357.28</v>
      </c>
      <c r="I18" s="481"/>
      <c r="J18" s="72">
        <f t="shared" si="19"/>
        <v>0</v>
      </c>
      <c r="K18" s="72">
        <f t="shared" si="20"/>
        <v>0</v>
      </c>
      <c r="L18" s="72">
        <f t="shared" si="21"/>
        <v>0</v>
      </c>
      <c r="M18" s="72">
        <f t="shared" si="22"/>
        <v>0</v>
      </c>
      <c r="N18" s="72">
        <f t="shared" si="23"/>
        <v>357.28</v>
      </c>
      <c r="O18" s="72">
        <f t="shared" si="24"/>
        <v>0</v>
      </c>
      <c r="P18" s="72">
        <f t="shared" si="25"/>
        <v>0</v>
      </c>
      <c r="Q18" s="72">
        <f t="shared" si="26"/>
        <v>0</v>
      </c>
      <c r="R18" s="72">
        <f t="shared" si="27"/>
        <v>0</v>
      </c>
      <c r="S18" s="72">
        <f t="shared" si="28"/>
        <v>0</v>
      </c>
      <c r="T18" s="72">
        <f t="shared" si="29"/>
        <v>0</v>
      </c>
      <c r="U18" s="72">
        <f t="shared" si="30"/>
        <v>0</v>
      </c>
      <c r="V18" s="72">
        <f t="shared" si="5"/>
        <v>0</v>
      </c>
      <c r="W18" s="72">
        <f t="shared" si="1"/>
        <v>0</v>
      </c>
      <c r="X18" s="72">
        <f t="shared" si="1"/>
        <v>0</v>
      </c>
      <c r="Z18" s="72">
        <f t="shared" si="6"/>
        <v>0</v>
      </c>
      <c r="AA18" s="72">
        <f t="shared" si="7"/>
        <v>0</v>
      </c>
      <c r="AB18" s="72">
        <f t="shared" si="8"/>
        <v>0</v>
      </c>
      <c r="AC18" s="72">
        <f t="shared" si="9"/>
        <v>0</v>
      </c>
      <c r="AD18" s="72">
        <f t="shared" si="10"/>
        <v>0</v>
      </c>
      <c r="AE18" s="72">
        <f t="shared" si="11"/>
        <v>0</v>
      </c>
      <c r="AF18" s="72">
        <f t="shared" si="12"/>
        <v>0</v>
      </c>
      <c r="AG18" s="72">
        <f t="shared" si="13"/>
        <v>0</v>
      </c>
      <c r="AH18" s="72">
        <f t="shared" si="14"/>
        <v>0</v>
      </c>
      <c r="AI18" s="72">
        <f t="shared" si="15"/>
        <v>0</v>
      </c>
      <c r="AJ18" s="72">
        <f t="shared" si="16"/>
        <v>0</v>
      </c>
      <c r="AK18" s="72">
        <f t="shared" si="17"/>
        <v>0</v>
      </c>
      <c r="AL18" s="72">
        <f t="shared" si="18"/>
        <v>0</v>
      </c>
      <c r="AM18" s="72">
        <f t="shared" si="2"/>
        <v>0</v>
      </c>
      <c r="AN18" s="72">
        <f t="shared" si="2"/>
        <v>0</v>
      </c>
      <c r="AQ18" s="80" t="s">
        <v>65</v>
      </c>
      <c r="AR18" s="850" t="s">
        <v>45</v>
      </c>
      <c r="AS18" s="851"/>
      <c r="AT18" s="852"/>
      <c r="AU18" s="99"/>
      <c r="AV18" s="98"/>
      <c r="AY18" s="59"/>
    </row>
    <row r="19" spans="2:52">
      <c r="B19" s="881" t="s">
        <v>267</v>
      </c>
      <c r="C19" s="872"/>
      <c r="D19" s="872"/>
      <c r="E19" s="872"/>
      <c r="F19" s="872"/>
      <c r="G19" s="872"/>
      <c r="H19" s="873"/>
      <c r="I19" s="481"/>
      <c r="J19" s="72">
        <f t="shared" si="19"/>
        <v>0</v>
      </c>
      <c r="K19" s="72">
        <f t="shared" si="20"/>
        <v>0</v>
      </c>
      <c r="L19" s="72">
        <f t="shared" si="21"/>
        <v>0</v>
      </c>
      <c r="M19" s="72">
        <f t="shared" si="22"/>
        <v>0</v>
      </c>
      <c r="N19" s="72">
        <f t="shared" si="23"/>
        <v>0</v>
      </c>
      <c r="O19" s="72">
        <f t="shared" si="24"/>
        <v>0</v>
      </c>
      <c r="P19" s="72">
        <f t="shared" si="25"/>
        <v>0</v>
      </c>
      <c r="Q19" s="72">
        <f t="shared" si="26"/>
        <v>0</v>
      </c>
      <c r="R19" s="72">
        <f t="shared" si="27"/>
        <v>0</v>
      </c>
      <c r="S19" s="72">
        <f t="shared" si="28"/>
        <v>0</v>
      </c>
      <c r="T19" s="72">
        <f t="shared" si="29"/>
        <v>0</v>
      </c>
      <c r="U19" s="72">
        <f t="shared" si="30"/>
        <v>0</v>
      </c>
      <c r="V19" s="72">
        <f t="shared" si="5"/>
        <v>0</v>
      </c>
      <c r="W19" s="72">
        <f t="shared" si="5"/>
        <v>0</v>
      </c>
      <c r="X19" s="72">
        <f t="shared" si="5"/>
        <v>0</v>
      </c>
      <c r="Z19" s="72">
        <f>IF($D19="ALIMENTAÇÃO",$B19,0)</f>
        <v>0</v>
      </c>
      <c r="AA19" s="72">
        <f>IF($D19="ANIMAIS",$B19,0)</f>
        <v>0</v>
      </c>
      <c r="AB19" s="72">
        <f>IF($D19="FILHO",$B19,0)</f>
        <v>0</v>
      </c>
      <c r="AC19" s="72">
        <f>IF($D19="GASOLINA",$B19,0)</f>
        <v>0</v>
      </c>
      <c r="AD19" s="72">
        <f>IF($D19="LAZER",$B19,0)</f>
        <v>0</v>
      </c>
      <c r="AE19" s="72">
        <f>IF($D19="MANUT. IMÓVEL",$B19,0)</f>
        <v>0</v>
      </c>
      <c r="AF19" s="72">
        <f>IF($D19="MANUT. VEICULAR",$B19,0)</f>
        <v>0</v>
      </c>
      <c r="AG19" s="72">
        <f>IF($D19="MÓVEIS",$B19,0)</f>
        <v>0</v>
      </c>
      <c r="AH19" s="72">
        <f>IF($D19="OUTROS",$B19,0)</f>
        <v>0</v>
      </c>
      <c r="AI19" s="72">
        <f>IF($D19="PLANOS",$B19,0)</f>
        <v>0</v>
      </c>
      <c r="AJ19" s="72">
        <f>IF($D19="SAÚDE",$B19,0)</f>
        <v>0</v>
      </c>
      <c r="AK19" s="72">
        <f>IF($D19="TRANSPORTE",$B19,0)</f>
        <v>0</v>
      </c>
      <c r="AL19" s="72">
        <f>IF($D19=AL$2,$B19,0)</f>
        <v>0</v>
      </c>
      <c r="AM19" s="72">
        <f>IF($D19=AM$2,$B19,0)</f>
        <v>0</v>
      </c>
      <c r="AN19" s="72" t="str">
        <f>IF($D19=AN$2,$B19,0)</f>
        <v>ESTÁ PAGO</v>
      </c>
      <c r="AQ19" s="80" t="s">
        <v>66</v>
      </c>
      <c r="AU19" s="98"/>
    </row>
    <row r="20" spans="2:52">
      <c r="B20" s="882"/>
      <c r="C20" s="875"/>
      <c r="D20" s="875"/>
      <c r="E20" s="875"/>
      <c r="F20" s="875"/>
      <c r="G20" s="875"/>
      <c r="H20" s="876"/>
      <c r="I20" s="481"/>
      <c r="J20" s="72">
        <f t="shared" si="19"/>
        <v>0</v>
      </c>
      <c r="K20" s="72">
        <f t="shared" si="20"/>
        <v>0</v>
      </c>
      <c r="L20" s="72">
        <f t="shared" si="21"/>
        <v>0</v>
      </c>
      <c r="M20" s="72">
        <f t="shared" si="22"/>
        <v>0</v>
      </c>
      <c r="N20" s="72">
        <f t="shared" si="23"/>
        <v>0</v>
      </c>
      <c r="O20" s="72">
        <f t="shared" si="24"/>
        <v>0</v>
      </c>
      <c r="P20" s="72">
        <f t="shared" si="25"/>
        <v>0</v>
      </c>
      <c r="Q20" s="72">
        <f t="shared" si="26"/>
        <v>0</v>
      </c>
      <c r="R20" s="72">
        <f t="shared" si="27"/>
        <v>0</v>
      </c>
      <c r="S20" s="72">
        <f t="shared" si="28"/>
        <v>0</v>
      </c>
      <c r="T20" s="72">
        <f t="shared" si="29"/>
        <v>0</v>
      </c>
      <c r="U20" s="72">
        <f t="shared" si="30"/>
        <v>0</v>
      </c>
      <c r="V20" s="72">
        <f t="shared" si="5"/>
        <v>0</v>
      </c>
      <c r="W20" s="72">
        <f t="shared" si="5"/>
        <v>0</v>
      </c>
      <c r="X20" s="72">
        <f t="shared" si="5"/>
        <v>0</v>
      </c>
      <c r="Z20" s="72">
        <f t="shared" si="6"/>
        <v>0</v>
      </c>
      <c r="AA20" s="72">
        <f t="shared" si="7"/>
        <v>0</v>
      </c>
      <c r="AB20" s="72">
        <f t="shared" si="8"/>
        <v>0</v>
      </c>
      <c r="AC20" s="72">
        <f t="shared" si="9"/>
        <v>0</v>
      </c>
      <c r="AD20" s="72">
        <f t="shared" si="10"/>
        <v>0</v>
      </c>
      <c r="AE20" s="72">
        <f t="shared" si="11"/>
        <v>0</v>
      </c>
      <c r="AF20" s="72">
        <f t="shared" si="12"/>
        <v>0</v>
      </c>
      <c r="AG20" s="72">
        <f t="shared" si="13"/>
        <v>0</v>
      </c>
      <c r="AH20" s="72">
        <f t="shared" si="14"/>
        <v>0</v>
      </c>
      <c r="AI20" s="72">
        <f t="shared" si="15"/>
        <v>0</v>
      </c>
      <c r="AJ20" s="72">
        <f t="shared" si="16"/>
        <v>0</v>
      </c>
      <c r="AK20" s="72">
        <f t="shared" si="17"/>
        <v>0</v>
      </c>
      <c r="AL20" s="72">
        <f t="shared" si="18"/>
        <v>0</v>
      </c>
      <c r="AM20" s="72">
        <f t="shared" si="18"/>
        <v>0</v>
      </c>
      <c r="AN20" s="72">
        <f t="shared" si="18"/>
        <v>0</v>
      </c>
    </row>
    <row r="21" spans="2:52">
      <c r="B21" s="882"/>
      <c r="C21" s="875"/>
      <c r="D21" s="875"/>
      <c r="E21" s="875"/>
      <c r="F21" s="875"/>
      <c r="G21" s="875"/>
      <c r="H21" s="876"/>
      <c r="I21" s="481"/>
      <c r="J21" s="72">
        <f t="shared" si="19"/>
        <v>0</v>
      </c>
      <c r="K21" s="72">
        <f t="shared" si="20"/>
        <v>0</v>
      </c>
      <c r="L21" s="72">
        <f t="shared" si="21"/>
        <v>0</v>
      </c>
      <c r="M21" s="72">
        <f t="shared" si="22"/>
        <v>0</v>
      </c>
      <c r="N21" s="72">
        <f t="shared" si="23"/>
        <v>0</v>
      </c>
      <c r="O21" s="72">
        <f t="shared" si="24"/>
        <v>0</v>
      </c>
      <c r="P21" s="72">
        <f t="shared" si="25"/>
        <v>0</v>
      </c>
      <c r="Q21" s="72">
        <f t="shared" si="26"/>
        <v>0</v>
      </c>
      <c r="R21" s="72">
        <f t="shared" si="27"/>
        <v>0</v>
      </c>
      <c r="S21" s="72">
        <f t="shared" si="28"/>
        <v>0</v>
      </c>
      <c r="T21" s="72">
        <f t="shared" si="29"/>
        <v>0</v>
      </c>
      <c r="U21" s="72">
        <f t="shared" si="30"/>
        <v>0</v>
      </c>
      <c r="V21" s="72">
        <f t="shared" si="5"/>
        <v>0</v>
      </c>
      <c r="W21" s="72">
        <f t="shared" si="5"/>
        <v>0</v>
      </c>
      <c r="X21" s="72">
        <f t="shared" si="5"/>
        <v>0</v>
      </c>
      <c r="Z21" s="72">
        <f t="shared" si="6"/>
        <v>0</v>
      </c>
      <c r="AA21" s="72">
        <f t="shared" si="7"/>
        <v>0</v>
      </c>
      <c r="AB21" s="72">
        <f t="shared" si="8"/>
        <v>0</v>
      </c>
      <c r="AC21" s="72">
        <f t="shared" si="9"/>
        <v>0</v>
      </c>
      <c r="AD21" s="72">
        <f t="shared" si="10"/>
        <v>0</v>
      </c>
      <c r="AE21" s="72">
        <f t="shared" si="11"/>
        <v>0</v>
      </c>
      <c r="AF21" s="72">
        <f t="shared" si="12"/>
        <v>0</v>
      </c>
      <c r="AG21" s="72">
        <f t="shared" si="13"/>
        <v>0</v>
      </c>
      <c r="AH21" s="72">
        <f t="shared" si="14"/>
        <v>0</v>
      </c>
      <c r="AI21" s="72">
        <f t="shared" si="15"/>
        <v>0</v>
      </c>
      <c r="AJ21" s="72">
        <f t="shared" si="16"/>
        <v>0</v>
      </c>
      <c r="AK21" s="72">
        <f t="shared" si="17"/>
        <v>0</v>
      </c>
      <c r="AL21" s="72">
        <f t="shared" si="18"/>
        <v>0</v>
      </c>
      <c r="AM21" s="72">
        <f t="shared" si="18"/>
        <v>0</v>
      </c>
      <c r="AN21" s="72">
        <f t="shared" si="18"/>
        <v>0</v>
      </c>
    </row>
    <row r="22" spans="2:52">
      <c r="B22" s="882"/>
      <c r="C22" s="875"/>
      <c r="D22" s="875"/>
      <c r="E22" s="875"/>
      <c r="F22" s="875"/>
      <c r="G22" s="875"/>
      <c r="H22" s="876"/>
      <c r="I22" s="482"/>
      <c r="J22" s="72">
        <f t="shared" si="19"/>
        <v>0</v>
      </c>
      <c r="K22" s="72">
        <f t="shared" si="20"/>
        <v>0</v>
      </c>
      <c r="L22" s="72">
        <f t="shared" si="21"/>
        <v>0</v>
      </c>
      <c r="M22" s="72">
        <f t="shared" si="22"/>
        <v>0</v>
      </c>
      <c r="N22" s="72">
        <f t="shared" si="23"/>
        <v>0</v>
      </c>
      <c r="O22" s="72">
        <f t="shared" si="24"/>
        <v>0</v>
      </c>
      <c r="P22" s="72">
        <f t="shared" si="25"/>
        <v>0</v>
      </c>
      <c r="Q22" s="72">
        <f t="shared" si="26"/>
        <v>0</v>
      </c>
      <c r="R22" s="72">
        <f t="shared" si="27"/>
        <v>0</v>
      </c>
      <c r="S22" s="72">
        <f t="shared" si="28"/>
        <v>0</v>
      </c>
      <c r="T22" s="72">
        <f t="shared" si="29"/>
        <v>0</v>
      </c>
      <c r="U22" s="72">
        <f t="shared" si="30"/>
        <v>0</v>
      </c>
      <c r="V22" s="72">
        <f t="shared" si="5"/>
        <v>0</v>
      </c>
      <c r="W22" s="72">
        <f t="shared" si="5"/>
        <v>0</v>
      </c>
      <c r="X22" s="72">
        <f t="shared" si="5"/>
        <v>0</v>
      </c>
      <c r="Y22" s="61"/>
      <c r="Z22" s="72">
        <f t="shared" si="6"/>
        <v>0</v>
      </c>
      <c r="AA22" s="72">
        <f t="shared" si="7"/>
        <v>0</v>
      </c>
      <c r="AB22" s="72">
        <f t="shared" si="8"/>
        <v>0</v>
      </c>
      <c r="AC22" s="72">
        <f t="shared" si="9"/>
        <v>0</v>
      </c>
      <c r="AD22" s="72">
        <f t="shared" si="10"/>
        <v>0</v>
      </c>
      <c r="AE22" s="72">
        <f t="shared" si="11"/>
        <v>0</v>
      </c>
      <c r="AF22" s="72">
        <f t="shared" si="12"/>
        <v>0</v>
      </c>
      <c r="AG22" s="72">
        <f t="shared" si="13"/>
        <v>0</v>
      </c>
      <c r="AH22" s="72">
        <f t="shared" si="14"/>
        <v>0</v>
      </c>
      <c r="AI22" s="72">
        <f t="shared" si="15"/>
        <v>0</v>
      </c>
      <c r="AJ22" s="72">
        <f t="shared" si="16"/>
        <v>0</v>
      </c>
      <c r="AK22" s="72">
        <f t="shared" si="17"/>
        <v>0</v>
      </c>
      <c r="AL22" s="72">
        <f t="shared" si="18"/>
        <v>0</v>
      </c>
      <c r="AM22" s="72">
        <f t="shared" si="18"/>
        <v>0</v>
      </c>
      <c r="AN22" s="72">
        <f t="shared" si="18"/>
        <v>0</v>
      </c>
      <c r="AO22" s="61"/>
      <c r="AP22" s="61"/>
    </row>
    <row r="23" spans="2:52" ht="17.25" thickBot="1">
      <c r="B23" s="882"/>
      <c r="C23" s="875"/>
      <c r="D23" s="875"/>
      <c r="E23" s="875"/>
      <c r="F23" s="875"/>
      <c r="G23" s="875"/>
      <c r="H23" s="876"/>
      <c r="I23" s="481"/>
      <c r="J23" s="72">
        <f t="shared" si="19"/>
        <v>0</v>
      </c>
      <c r="K23" s="72">
        <f t="shared" si="20"/>
        <v>0</v>
      </c>
      <c r="L23" s="72">
        <f t="shared" si="21"/>
        <v>0</v>
      </c>
      <c r="M23" s="72">
        <f t="shared" si="22"/>
        <v>0</v>
      </c>
      <c r="N23" s="72">
        <f t="shared" si="23"/>
        <v>0</v>
      </c>
      <c r="O23" s="72">
        <f t="shared" si="24"/>
        <v>0</v>
      </c>
      <c r="P23" s="72">
        <f t="shared" si="25"/>
        <v>0</v>
      </c>
      <c r="Q23" s="72">
        <f t="shared" si="26"/>
        <v>0</v>
      </c>
      <c r="R23" s="72">
        <f t="shared" si="27"/>
        <v>0</v>
      </c>
      <c r="S23" s="72">
        <f t="shared" si="28"/>
        <v>0</v>
      </c>
      <c r="T23" s="72">
        <f t="shared" si="29"/>
        <v>0</v>
      </c>
      <c r="U23" s="72">
        <f t="shared" si="30"/>
        <v>0</v>
      </c>
      <c r="V23" s="72">
        <f t="shared" si="5"/>
        <v>0</v>
      </c>
      <c r="W23" s="72">
        <f t="shared" si="5"/>
        <v>0</v>
      </c>
      <c r="X23" s="72">
        <f t="shared" si="5"/>
        <v>0</v>
      </c>
      <c r="Z23" s="72">
        <f t="shared" si="6"/>
        <v>0</v>
      </c>
      <c r="AA23" s="72">
        <f t="shared" si="7"/>
        <v>0</v>
      </c>
      <c r="AB23" s="72">
        <f t="shared" si="8"/>
        <v>0</v>
      </c>
      <c r="AC23" s="72">
        <f t="shared" si="9"/>
        <v>0</v>
      </c>
      <c r="AD23" s="72">
        <f t="shared" si="10"/>
        <v>0</v>
      </c>
      <c r="AE23" s="72">
        <f t="shared" si="11"/>
        <v>0</v>
      </c>
      <c r="AF23" s="72">
        <f t="shared" si="12"/>
        <v>0</v>
      </c>
      <c r="AG23" s="72">
        <f t="shared" si="13"/>
        <v>0</v>
      </c>
      <c r="AH23" s="72">
        <f t="shared" si="14"/>
        <v>0</v>
      </c>
      <c r="AI23" s="72">
        <f t="shared" si="15"/>
        <v>0</v>
      </c>
      <c r="AJ23" s="72">
        <f t="shared" si="16"/>
        <v>0</v>
      </c>
      <c r="AK23" s="72">
        <f t="shared" si="17"/>
        <v>0</v>
      </c>
      <c r="AL23" s="72">
        <f t="shared" si="18"/>
        <v>0</v>
      </c>
      <c r="AM23" s="72">
        <f t="shared" si="18"/>
        <v>0</v>
      </c>
      <c r="AN23" s="72">
        <f t="shared" si="18"/>
        <v>0</v>
      </c>
      <c r="AV23" s="864" t="s">
        <v>134</v>
      </c>
      <c r="AW23" s="864"/>
      <c r="AY23" s="866" t="s">
        <v>133</v>
      </c>
      <c r="AZ23" s="866"/>
    </row>
    <row r="24" spans="2:52">
      <c r="B24" s="882"/>
      <c r="C24" s="875"/>
      <c r="D24" s="875"/>
      <c r="E24" s="875"/>
      <c r="F24" s="875"/>
      <c r="G24" s="875"/>
      <c r="H24" s="876"/>
      <c r="I24" s="481"/>
      <c r="J24" s="72">
        <f t="shared" si="19"/>
        <v>0</v>
      </c>
      <c r="K24" s="72">
        <f t="shared" si="20"/>
        <v>0</v>
      </c>
      <c r="L24" s="72">
        <f t="shared" si="21"/>
        <v>0</v>
      </c>
      <c r="M24" s="72">
        <f t="shared" si="22"/>
        <v>0</v>
      </c>
      <c r="N24" s="72">
        <f t="shared" si="23"/>
        <v>0</v>
      </c>
      <c r="O24" s="72">
        <f t="shared" si="24"/>
        <v>0</v>
      </c>
      <c r="P24" s="72">
        <f t="shared" si="25"/>
        <v>0</v>
      </c>
      <c r="Q24" s="72">
        <f t="shared" si="26"/>
        <v>0</v>
      </c>
      <c r="R24" s="72">
        <f t="shared" si="27"/>
        <v>0</v>
      </c>
      <c r="S24" s="72">
        <f t="shared" si="28"/>
        <v>0</v>
      </c>
      <c r="T24" s="72">
        <f t="shared" si="29"/>
        <v>0</v>
      </c>
      <c r="U24" s="72">
        <f t="shared" si="30"/>
        <v>0</v>
      </c>
      <c r="V24" s="72">
        <f t="shared" si="5"/>
        <v>0</v>
      </c>
      <c r="W24" s="72">
        <f t="shared" si="5"/>
        <v>0</v>
      </c>
      <c r="X24" s="72">
        <f t="shared" si="5"/>
        <v>0</v>
      </c>
      <c r="Z24" s="72">
        <f t="shared" si="6"/>
        <v>0</v>
      </c>
      <c r="AA24" s="72">
        <f t="shared" si="7"/>
        <v>0</v>
      </c>
      <c r="AB24" s="72">
        <f t="shared" si="8"/>
        <v>0</v>
      </c>
      <c r="AC24" s="72">
        <f t="shared" si="9"/>
        <v>0</v>
      </c>
      <c r="AD24" s="72">
        <f t="shared" si="10"/>
        <v>0</v>
      </c>
      <c r="AE24" s="72">
        <f t="shared" si="11"/>
        <v>0</v>
      </c>
      <c r="AF24" s="72">
        <f t="shared" si="12"/>
        <v>0</v>
      </c>
      <c r="AG24" s="72">
        <f t="shared" si="13"/>
        <v>0</v>
      </c>
      <c r="AH24" s="72">
        <f t="shared" si="14"/>
        <v>0</v>
      </c>
      <c r="AI24" s="72">
        <f t="shared" si="15"/>
        <v>0</v>
      </c>
      <c r="AJ24" s="72">
        <f t="shared" si="16"/>
        <v>0</v>
      </c>
      <c r="AK24" s="72">
        <f t="shared" si="17"/>
        <v>0</v>
      </c>
      <c r="AL24" s="72">
        <f t="shared" si="18"/>
        <v>0</v>
      </c>
      <c r="AM24" s="72">
        <f t="shared" si="18"/>
        <v>0</v>
      </c>
      <c r="AN24" s="72">
        <f t="shared" si="18"/>
        <v>0</v>
      </c>
      <c r="AP24" s="491"/>
      <c r="AQ24" s="487" t="s">
        <v>350</v>
      </c>
      <c r="AR24" s="494">
        <f>AR17</f>
        <v>2342.67</v>
      </c>
      <c r="AV24" s="112" t="s">
        <v>75</v>
      </c>
      <c r="AW24" s="1">
        <v>129.82</v>
      </c>
      <c r="AY24" s="502" t="s">
        <v>130</v>
      </c>
      <c r="AZ24" s="503">
        <f>AS17</f>
        <v>252.67500000000001</v>
      </c>
    </row>
    <row r="25" spans="2:52">
      <c r="B25" s="882"/>
      <c r="C25" s="875"/>
      <c r="D25" s="875"/>
      <c r="E25" s="875"/>
      <c r="F25" s="875"/>
      <c r="G25" s="875"/>
      <c r="H25" s="876"/>
      <c r="I25" s="481"/>
      <c r="J25" s="72">
        <f t="shared" si="19"/>
        <v>0</v>
      </c>
      <c r="K25" s="72">
        <f t="shared" si="20"/>
        <v>0</v>
      </c>
      <c r="L25" s="72">
        <f t="shared" si="21"/>
        <v>0</v>
      </c>
      <c r="M25" s="72">
        <f t="shared" si="22"/>
        <v>0</v>
      </c>
      <c r="N25" s="72">
        <f t="shared" si="23"/>
        <v>0</v>
      </c>
      <c r="O25" s="72">
        <f t="shared" si="24"/>
        <v>0</v>
      </c>
      <c r="P25" s="72">
        <f t="shared" si="25"/>
        <v>0</v>
      </c>
      <c r="Q25" s="72">
        <f t="shared" si="26"/>
        <v>0</v>
      </c>
      <c r="R25" s="72">
        <f t="shared" si="27"/>
        <v>0</v>
      </c>
      <c r="S25" s="72">
        <f t="shared" si="28"/>
        <v>0</v>
      </c>
      <c r="T25" s="72">
        <f t="shared" si="29"/>
        <v>0</v>
      </c>
      <c r="U25" s="72">
        <f t="shared" si="30"/>
        <v>0</v>
      </c>
      <c r="V25" s="72">
        <f t="shared" si="5"/>
        <v>0</v>
      </c>
      <c r="W25" s="72">
        <f t="shared" si="5"/>
        <v>0</v>
      </c>
      <c r="X25" s="72">
        <f t="shared" si="5"/>
        <v>0</v>
      </c>
      <c r="Z25" s="72">
        <f t="shared" si="6"/>
        <v>0</v>
      </c>
      <c r="AA25" s="72">
        <f t="shared" si="7"/>
        <v>0</v>
      </c>
      <c r="AB25" s="72">
        <f t="shared" si="8"/>
        <v>0</v>
      </c>
      <c r="AC25" s="72">
        <f t="shared" si="9"/>
        <v>0</v>
      </c>
      <c r="AD25" s="72">
        <f t="shared" si="10"/>
        <v>0</v>
      </c>
      <c r="AE25" s="72">
        <f t="shared" si="11"/>
        <v>0</v>
      </c>
      <c r="AF25" s="72">
        <f t="shared" si="12"/>
        <v>0</v>
      </c>
      <c r="AG25" s="72">
        <f t="shared" si="13"/>
        <v>0</v>
      </c>
      <c r="AH25" s="72">
        <f t="shared" si="14"/>
        <v>0</v>
      </c>
      <c r="AI25" s="72">
        <f t="shared" si="15"/>
        <v>0</v>
      </c>
      <c r="AJ25" s="72">
        <f t="shared" si="16"/>
        <v>0</v>
      </c>
      <c r="AK25" s="72">
        <f t="shared" si="17"/>
        <v>0</v>
      </c>
      <c r="AL25" s="72">
        <f t="shared" si="18"/>
        <v>0</v>
      </c>
      <c r="AM25" s="72">
        <f t="shared" si="18"/>
        <v>0</v>
      </c>
      <c r="AN25" s="72">
        <f t="shared" si="18"/>
        <v>0</v>
      </c>
      <c r="AP25" s="492"/>
      <c r="AQ25" s="488" t="s">
        <v>349</v>
      </c>
      <c r="AR25" s="501">
        <f>AY4+AY6</f>
        <v>175.97</v>
      </c>
      <c r="AS25" s="869" t="s">
        <v>356</v>
      </c>
      <c r="AT25" s="870"/>
      <c r="AV25" s="112" t="s">
        <v>76</v>
      </c>
      <c r="AW25" s="1">
        <v>215.57</v>
      </c>
      <c r="AY25" s="502" t="s">
        <v>131</v>
      </c>
      <c r="AZ25" s="504">
        <f>AR27</f>
        <v>40.96</v>
      </c>
    </row>
    <row r="26" spans="2:52">
      <c r="B26" s="882"/>
      <c r="C26" s="875"/>
      <c r="D26" s="875"/>
      <c r="E26" s="875"/>
      <c r="F26" s="875"/>
      <c r="G26" s="875"/>
      <c r="H26" s="876"/>
      <c r="I26" s="481"/>
      <c r="J26" s="72">
        <f t="shared" si="19"/>
        <v>0</v>
      </c>
      <c r="K26" s="72">
        <f t="shared" si="20"/>
        <v>0</v>
      </c>
      <c r="L26" s="72">
        <f t="shared" si="21"/>
        <v>0</v>
      </c>
      <c r="M26" s="72">
        <f t="shared" si="22"/>
        <v>0</v>
      </c>
      <c r="N26" s="72">
        <f t="shared" si="23"/>
        <v>0</v>
      </c>
      <c r="O26" s="72">
        <f t="shared" si="24"/>
        <v>0</v>
      </c>
      <c r="P26" s="72">
        <f t="shared" si="25"/>
        <v>0</v>
      </c>
      <c r="Q26" s="72">
        <f t="shared" si="26"/>
        <v>0</v>
      </c>
      <c r="R26" s="72">
        <f t="shared" si="27"/>
        <v>0</v>
      </c>
      <c r="S26" s="72">
        <f t="shared" si="28"/>
        <v>0</v>
      </c>
      <c r="T26" s="72">
        <f t="shared" si="29"/>
        <v>0</v>
      </c>
      <c r="U26" s="72">
        <f t="shared" si="30"/>
        <v>0</v>
      </c>
      <c r="V26" s="72">
        <f t="shared" si="5"/>
        <v>0</v>
      </c>
      <c r="W26" s="72">
        <f t="shared" si="5"/>
        <v>0</v>
      </c>
      <c r="X26" s="72">
        <f t="shared" si="5"/>
        <v>0</v>
      </c>
      <c r="Z26" s="72">
        <f t="shared" si="6"/>
        <v>0</v>
      </c>
      <c r="AA26" s="72">
        <f t="shared" si="7"/>
        <v>0</v>
      </c>
      <c r="AB26" s="72">
        <f t="shared" si="8"/>
        <v>0</v>
      </c>
      <c r="AC26" s="72">
        <f t="shared" si="9"/>
        <v>0</v>
      </c>
      <c r="AD26" s="72">
        <f t="shared" si="10"/>
        <v>0</v>
      </c>
      <c r="AE26" s="72">
        <f t="shared" si="11"/>
        <v>0</v>
      </c>
      <c r="AF26" s="72">
        <f t="shared" si="12"/>
        <v>0</v>
      </c>
      <c r="AG26" s="72">
        <f t="shared" si="13"/>
        <v>0</v>
      </c>
      <c r="AH26" s="72">
        <f t="shared" si="14"/>
        <v>0</v>
      </c>
      <c r="AI26" s="72">
        <f t="shared" si="15"/>
        <v>0</v>
      </c>
      <c r="AJ26" s="72">
        <f t="shared" si="16"/>
        <v>0</v>
      </c>
      <c r="AK26" s="72">
        <f t="shared" si="17"/>
        <v>0</v>
      </c>
      <c r="AL26" s="72">
        <f t="shared" si="18"/>
        <v>0</v>
      </c>
      <c r="AM26" s="72">
        <f t="shared" si="18"/>
        <v>0</v>
      </c>
      <c r="AN26" s="72">
        <f t="shared" si="18"/>
        <v>0</v>
      </c>
      <c r="AP26" s="492"/>
      <c r="AQ26" s="488" t="s">
        <v>353</v>
      </c>
      <c r="AR26" s="495">
        <f>AR24-AR25</f>
        <v>2166.7000000000003</v>
      </c>
      <c r="AV26" s="112" t="s">
        <v>77</v>
      </c>
      <c r="AW26" s="1">
        <v>700</v>
      </c>
      <c r="AY26" s="502" t="s">
        <v>134</v>
      </c>
      <c r="AZ26" s="505">
        <f>AW31</f>
        <v>646.63999999999987</v>
      </c>
    </row>
    <row r="27" spans="2:52">
      <c r="B27" s="882"/>
      <c r="C27" s="875"/>
      <c r="D27" s="875"/>
      <c r="E27" s="875"/>
      <c r="F27" s="875"/>
      <c r="G27" s="875"/>
      <c r="H27" s="876"/>
      <c r="I27" s="481"/>
      <c r="J27" s="72">
        <f t="shared" si="19"/>
        <v>0</v>
      </c>
      <c r="K27" s="72">
        <f t="shared" si="20"/>
        <v>0</v>
      </c>
      <c r="L27" s="72">
        <f t="shared" si="21"/>
        <v>0</v>
      </c>
      <c r="M27" s="72">
        <f t="shared" si="22"/>
        <v>0</v>
      </c>
      <c r="N27" s="72">
        <f t="shared" si="23"/>
        <v>0</v>
      </c>
      <c r="O27" s="72">
        <f t="shared" si="24"/>
        <v>0</v>
      </c>
      <c r="P27" s="72">
        <f t="shared" si="25"/>
        <v>0</v>
      </c>
      <c r="Q27" s="72">
        <f t="shared" si="26"/>
        <v>0</v>
      </c>
      <c r="R27" s="72">
        <f t="shared" si="27"/>
        <v>0</v>
      </c>
      <c r="S27" s="72">
        <f t="shared" si="28"/>
        <v>0</v>
      </c>
      <c r="T27" s="72">
        <f t="shared" si="29"/>
        <v>0</v>
      </c>
      <c r="U27" s="72">
        <f t="shared" si="30"/>
        <v>0</v>
      </c>
      <c r="V27" s="72">
        <f t="shared" si="5"/>
        <v>0</v>
      </c>
      <c r="W27" s="72">
        <f t="shared" si="5"/>
        <v>0</v>
      </c>
      <c r="X27" s="72">
        <f t="shared" si="5"/>
        <v>0</v>
      </c>
      <c r="Z27" s="72">
        <f t="shared" si="6"/>
        <v>0</v>
      </c>
      <c r="AA27" s="72">
        <f t="shared" si="7"/>
        <v>0</v>
      </c>
      <c r="AB27" s="72">
        <f t="shared" si="8"/>
        <v>0</v>
      </c>
      <c r="AC27" s="72">
        <f t="shared" si="9"/>
        <v>0</v>
      </c>
      <c r="AD27" s="72">
        <f t="shared" si="10"/>
        <v>0</v>
      </c>
      <c r="AE27" s="72">
        <f t="shared" si="11"/>
        <v>0</v>
      </c>
      <c r="AF27" s="72">
        <f t="shared" si="12"/>
        <v>0</v>
      </c>
      <c r="AG27" s="72">
        <f t="shared" si="13"/>
        <v>0</v>
      </c>
      <c r="AH27" s="72">
        <f t="shared" si="14"/>
        <v>0</v>
      </c>
      <c r="AI27" s="72">
        <f t="shared" si="15"/>
        <v>0</v>
      </c>
      <c r="AJ27" s="72">
        <f t="shared" si="16"/>
        <v>0</v>
      </c>
      <c r="AK27" s="72">
        <f t="shared" si="17"/>
        <v>0</v>
      </c>
      <c r="AL27" s="72">
        <f t="shared" si="18"/>
        <v>0</v>
      </c>
      <c r="AM27" s="72">
        <f t="shared" si="18"/>
        <v>0</v>
      </c>
      <c r="AN27" s="72">
        <f t="shared" si="18"/>
        <v>0</v>
      </c>
      <c r="AP27" s="492"/>
      <c r="AQ27" s="489" t="s">
        <v>351</v>
      </c>
      <c r="AR27" s="486">
        <v>40.96</v>
      </c>
      <c r="AS27" s="867" t="s">
        <v>357</v>
      </c>
      <c r="AT27" s="868"/>
      <c r="AV27" s="112" t="s">
        <v>78</v>
      </c>
      <c r="AW27" s="54">
        <v>247.89</v>
      </c>
      <c r="AY27" s="502" t="s">
        <v>355</v>
      </c>
      <c r="AZ27" s="165">
        <v>0</v>
      </c>
    </row>
    <row r="28" spans="2:52" ht="17.25" customHeight="1" thickBot="1">
      <c r="B28" s="882"/>
      <c r="C28" s="875"/>
      <c r="D28" s="875"/>
      <c r="E28" s="875"/>
      <c r="F28" s="875"/>
      <c r="G28" s="875"/>
      <c r="H28" s="876"/>
      <c r="I28" s="481"/>
      <c r="J28" s="72">
        <f t="shared" si="19"/>
        <v>0</v>
      </c>
      <c r="K28" s="72">
        <f t="shared" si="20"/>
        <v>0</v>
      </c>
      <c r="L28" s="72">
        <f t="shared" si="21"/>
        <v>0</v>
      </c>
      <c r="M28" s="72">
        <f t="shared" si="22"/>
        <v>0</v>
      </c>
      <c r="N28" s="72">
        <f t="shared" si="23"/>
        <v>0</v>
      </c>
      <c r="O28" s="72">
        <f t="shared" si="24"/>
        <v>0</v>
      </c>
      <c r="P28" s="72">
        <f t="shared" si="25"/>
        <v>0</v>
      </c>
      <c r="Q28" s="72">
        <f t="shared" si="26"/>
        <v>0</v>
      </c>
      <c r="R28" s="72">
        <f t="shared" si="27"/>
        <v>0</v>
      </c>
      <c r="S28" s="72">
        <f t="shared" si="28"/>
        <v>0</v>
      </c>
      <c r="T28" s="72">
        <f t="shared" si="29"/>
        <v>0</v>
      </c>
      <c r="U28" s="72">
        <f t="shared" si="30"/>
        <v>0</v>
      </c>
      <c r="V28" s="72">
        <f t="shared" si="5"/>
        <v>0</v>
      </c>
      <c r="W28" s="72">
        <f t="shared" si="5"/>
        <v>0</v>
      </c>
      <c r="X28" s="72">
        <f t="shared" si="5"/>
        <v>0</v>
      </c>
      <c r="Z28" s="72">
        <f t="shared" si="6"/>
        <v>0</v>
      </c>
      <c r="AA28" s="72">
        <f t="shared" si="7"/>
        <v>0</v>
      </c>
      <c r="AB28" s="72">
        <f t="shared" si="8"/>
        <v>0</v>
      </c>
      <c r="AC28" s="72">
        <f t="shared" si="9"/>
        <v>0</v>
      </c>
      <c r="AD28" s="72">
        <f t="shared" si="10"/>
        <v>0</v>
      </c>
      <c r="AE28" s="72">
        <f t="shared" si="11"/>
        <v>0</v>
      </c>
      <c r="AF28" s="72">
        <f t="shared" si="12"/>
        <v>0</v>
      </c>
      <c r="AG28" s="72">
        <f t="shared" si="13"/>
        <v>0</v>
      </c>
      <c r="AH28" s="72">
        <f t="shared" si="14"/>
        <v>0</v>
      </c>
      <c r="AI28" s="72">
        <f t="shared" si="15"/>
        <v>0</v>
      </c>
      <c r="AJ28" s="72">
        <f t="shared" si="16"/>
        <v>0</v>
      </c>
      <c r="AK28" s="72">
        <f t="shared" si="17"/>
        <v>0</v>
      </c>
      <c r="AL28" s="72">
        <f t="shared" si="18"/>
        <v>0</v>
      </c>
      <c r="AM28" s="72">
        <f t="shared" si="18"/>
        <v>0</v>
      </c>
      <c r="AN28" s="72">
        <f t="shared" si="18"/>
        <v>0</v>
      </c>
      <c r="AP28" s="493"/>
      <c r="AQ28" s="490" t="s">
        <v>352</v>
      </c>
      <c r="AR28" s="500">
        <f>AR27+AR26</f>
        <v>2207.6600000000003</v>
      </c>
      <c r="AS28" s="867"/>
      <c r="AT28" s="868"/>
      <c r="AV28" s="112" t="s">
        <v>45</v>
      </c>
      <c r="AW28" s="1">
        <f>+SUM(AW24:AW27)</f>
        <v>1293.2799999999997</v>
      </c>
      <c r="AY28" s="502" t="s">
        <v>45</v>
      </c>
      <c r="AZ28" s="166">
        <f>AZ24+AZ25+AZ26-AZ27</f>
        <v>940.27499999999986</v>
      </c>
    </row>
    <row r="29" spans="2:52" ht="16.5" customHeight="1">
      <c r="B29" s="882"/>
      <c r="C29" s="875"/>
      <c r="D29" s="875"/>
      <c r="E29" s="875"/>
      <c r="F29" s="875"/>
      <c r="G29" s="875"/>
      <c r="H29" s="876"/>
      <c r="I29" s="481"/>
      <c r="J29" s="72">
        <f t="shared" si="19"/>
        <v>0</v>
      </c>
      <c r="K29" s="72">
        <f t="shared" si="20"/>
        <v>0</v>
      </c>
      <c r="L29" s="72">
        <f t="shared" si="21"/>
        <v>0</v>
      </c>
      <c r="M29" s="72">
        <f t="shared" si="22"/>
        <v>0</v>
      </c>
      <c r="N29" s="72">
        <f t="shared" si="23"/>
        <v>0</v>
      </c>
      <c r="O29" s="72">
        <f t="shared" si="24"/>
        <v>0</v>
      </c>
      <c r="P29" s="72">
        <f t="shared" si="25"/>
        <v>0</v>
      </c>
      <c r="Q29" s="72">
        <f t="shared" si="26"/>
        <v>0</v>
      </c>
      <c r="R29" s="72">
        <f t="shared" si="27"/>
        <v>0</v>
      </c>
      <c r="S29" s="72">
        <f t="shared" si="28"/>
        <v>0</v>
      </c>
      <c r="T29" s="72">
        <f t="shared" si="29"/>
        <v>0</v>
      </c>
      <c r="U29" s="72">
        <f t="shared" si="30"/>
        <v>0</v>
      </c>
      <c r="V29" s="72">
        <f t="shared" si="5"/>
        <v>0</v>
      </c>
      <c r="W29" s="72">
        <f t="shared" si="5"/>
        <v>0</v>
      </c>
      <c r="X29" s="72">
        <f t="shared" si="5"/>
        <v>0</v>
      </c>
      <c r="Z29" s="72">
        <f t="shared" si="6"/>
        <v>0</v>
      </c>
      <c r="AA29" s="72">
        <f t="shared" si="7"/>
        <v>0</v>
      </c>
      <c r="AB29" s="72">
        <f t="shared" si="8"/>
        <v>0</v>
      </c>
      <c r="AC29" s="72">
        <f t="shared" si="9"/>
        <v>0</v>
      </c>
      <c r="AD29" s="72">
        <f t="shared" si="10"/>
        <v>0</v>
      </c>
      <c r="AE29" s="72">
        <f t="shared" si="11"/>
        <v>0</v>
      </c>
      <c r="AF29" s="72">
        <f t="shared" si="12"/>
        <v>0</v>
      </c>
      <c r="AG29" s="72">
        <f t="shared" si="13"/>
        <v>0</v>
      </c>
      <c r="AH29" s="72">
        <f t="shared" si="14"/>
        <v>0</v>
      </c>
      <c r="AI29" s="72">
        <f t="shared" si="15"/>
        <v>0</v>
      </c>
      <c r="AJ29" s="72">
        <f t="shared" si="16"/>
        <v>0</v>
      </c>
      <c r="AK29" s="72">
        <f t="shared" si="17"/>
        <v>0</v>
      </c>
      <c r="AL29" s="72">
        <f t="shared" si="18"/>
        <v>0</v>
      </c>
      <c r="AM29" s="72">
        <f t="shared" si="18"/>
        <v>0</v>
      </c>
      <c r="AN29" s="72">
        <f t="shared" si="18"/>
        <v>0</v>
      </c>
      <c r="AR29" s="59">
        <f>AR28-E4</f>
        <v>2188.7600000000002</v>
      </c>
      <c r="AV29" s="112"/>
      <c r="AW29" s="1"/>
    </row>
    <row r="30" spans="2:52" ht="17.25" customHeight="1" thickBot="1">
      <c r="B30" s="882"/>
      <c r="C30" s="875"/>
      <c r="D30" s="875"/>
      <c r="E30" s="875"/>
      <c r="F30" s="875"/>
      <c r="G30" s="875"/>
      <c r="H30" s="876"/>
      <c r="I30" s="481"/>
      <c r="J30" s="72">
        <f t="shared" si="19"/>
        <v>0</v>
      </c>
      <c r="K30" s="72">
        <f t="shared" si="20"/>
        <v>0</v>
      </c>
      <c r="L30" s="72">
        <f t="shared" si="21"/>
        <v>0</v>
      </c>
      <c r="M30" s="72">
        <f t="shared" si="22"/>
        <v>0</v>
      </c>
      <c r="N30" s="72">
        <f t="shared" si="23"/>
        <v>0</v>
      </c>
      <c r="O30" s="72">
        <f t="shared" si="24"/>
        <v>0</v>
      </c>
      <c r="P30" s="72">
        <f t="shared" si="25"/>
        <v>0</v>
      </c>
      <c r="Q30" s="72">
        <f t="shared" si="26"/>
        <v>0</v>
      </c>
      <c r="R30" s="72">
        <f t="shared" si="27"/>
        <v>0</v>
      </c>
      <c r="S30" s="72">
        <f t="shared" si="28"/>
        <v>0</v>
      </c>
      <c r="T30" s="72">
        <f t="shared" si="29"/>
        <v>0</v>
      </c>
      <c r="U30" s="72">
        <f t="shared" si="30"/>
        <v>0</v>
      </c>
      <c r="V30" s="72">
        <f t="shared" si="5"/>
        <v>0</v>
      </c>
      <c r="W30" s="72">
        <f t="shared" si="5"/>
        <v>0</v>
      </c>
      <c r="X30" s="72">
        <f t="shared" si="5"/>
        <v>0</v>
      </c>
      <c r="Z30" s="72">
        <f t="shared" si="6"/>
        <v>0</v>
      </c>
      <c r="AA30" s="72">
        <f t="shared" si="7"/>
        <v>0</v>
      </c>
      <c r="AB30" s="72">
        <f t="shared" si="8"/>
        <v>0</v>
      </c>
      <c r="AC30" s="72">
        <f t="shared" si="9"/>
        <v>0</v>
      </c>
      <c r="AD30" s="72">
        <f t="shared" si="10"/>
        <v>0</v>
      </c>
      <c r="AE30" s="72">
        <f t="shared" si="11"/>
        <v>0</v>
      </c>
      <c r="AF30" s="72">
        <f t="shared" si="12"/>
        <v>0</v>
      </c>
      <c r="AG30" s="72">
        <f t="shared" si="13"/>
        <v>0</v>
      </c>
      <c r="AH30" s="72">
        <f t="shared" si="14"/>
        <v>0</v>
      </c>
      <c r="AI30" s="72">
        <f t="shared" si="15"/>
        <v>0</v>
      </c>
      <c r="AJ30" s="72">
        <f t="shared" si="16"/>
        <v>0</v>
      </c>
      <c r="AK30" s="72">
        <f t="shared" si="17"/>
        <v>0</v>
      </c>
      <c r="AL30" s="72">
        <f t="shared" si="18"/>
        <v>0</v>
      </c>
      <c r="AM30" s="72">
        <f t="shared" si="18"/>
        <v>0</v>
      </c>
      <c r="AN30" s="72">
        <f t="shared" si="18"/>
        <v>0</v>
      </c>
      <c r="AV30" s="1"/>
      <c r="AW30" s="1"/>
      <c r="AY30" s="485" t="s">
        <v>386</v>
      </c>
      <c r="AZ30" s="509">
        <f>AZ25+AZ24-AY6</f>
        <v>176.32499999999999</v>
      </c>
    </row>
    <row r="31" spans="2:52" ht="17.25" customHeight="1" thickBot="1">
      <c r="B31" s="882"/>
      <c r="C31" s="875"/>
      <c r="D31" s="875"/>
      <c r="E31" s="875"/>
      <c r="F31" s="875"/>
      <c r="G31" s="875"/>
      <c r="H31" s="876"/>
      <c r="I31" s="481"/>
      <c r="J31" s="72">
        <f t="shared" si="19"/>
        <v>0</v>
      </c>
      <c r="K31" s="72">
        <f t="shared" si="20"/>
        <v>0</v>
      </c>
      <c r="L31" s="72">
        <f t="shared" si="21"/>
        <v>0</v>
      </c>
      <c r="M31" s="72">
        <f t="shared" si="22"/>
        <v>0</v>
      </c>
      <c r="N31" s="72">
        <f t="shared" si="23"/>
        <v>0</v>
      </c>
      <c r="O31" s="72">
        <f t="shared" si="24"/>
        <v>0</v>
      </c>
      <c r="P31" s="72">
        <f t="shared" si="25"/>
        <v>0</v>
      </c>
      <c r="Q31" s="72">
        <f t="shared" si="26"/>
        <v>0</v>
      </c>
      <c r="R31" s="72">
        <f t="shared" si="27"/>
        <v>0</v>
      </c>
      <c r="S31" s="72">
        <f t="shared" si="28"/>
        <v>0</v>
      </c>
      <c r="T31" s="72">
        <f t="shared" si="29"/>
        <v>0</v>
      </c>
      <c r="U31" s="72">
        <f t="shared" si="30"/>
        <v>0</v>
      </c>
      <c r="V31" s="72">
        <f t="shared" si="5"/>
        <v>0</v>
      </c>
      <c r="W31" s="72">
        <f t="shared" si="5"/>
        <v>0</v>
      </c>
      <c r="X31" s="72">
        <f t="shared" si="5"/>
        <v>0</v>
      </c>
      <c r="Z31" s="72">
        <f t="shared" si="6"/>
        <v>0</v>
      </c>
      <c r="AA31" s="72">
        <f t="shared" si="7"/>
        <v>0</v>
      </c>
      <c r="AB31" s="72">
        <f t="shared" si="8"/>
        <v>0</v>
      </c>
      <c r="AC31" s="72">
        <f t="shared" si="9"/>
        <v>0</v>
      </c>
      <c r="AD31" s="72">
        <f t="shared" si="10"/>
        <v>0</v>
      </c>
      <c r="AE31" s="72">
        <f t="shared" si="11"/>
        <v>0</v>
      </c>
      <c r="AF31" s="72">
        <f t="shared" si="12"/>
        <v>0</v>
      </c>
      <c r="AG31" s="72">
        <f t="shared" si="13"/>
        <v>0</v>
      </c>
      <c r="AH31" s="72">
        <f t="shared" si="14"/>
        <v>0</v>
      </c>
      <c r="AI31" s="72">
        <f t="shared" si="15"/>
        <v>0</v>
      </c>
      <c r="AJ31" s="72">
        <f t="shared" si="16"/>
        <v>0</v>
      </c>
      <c r="AK31" s="72">
        <f t="shared" si="17"/>
        <v>0</v>
      </c>
      <c r="AL31" s="72">
        <f t="shared" si="18"/>
        <v>0</v>
      </c>
      <c r="AM31" s="72">
        <f t="shared" si="18"/>
        <v>0</v>
      </c>
      <c r="AN31" s="72">
        <f t="shared" si="18"/>
        <v>0</v>
      </c>
      <c r="AQ31" s="485" t="s">
        <v>67</v>
      </c>
      <c r="AR31" s="496">
        <f>AR27+AS17</f>
        <v>293.63499999999999</v>
      </c>
      <c r="AV31" s="112" t="s">
        <v>80</v>
      </c>
      <c r="AW31" s="113">
        <f>AW28/2</f>
        <v>646.63999999999987</v>
      </c>
    </row>
    <row r="32" spans="2:52" ht="16.5" customHeight="1">
      <c r="B32" s="882"/>
      <c r="C32" s="875"/>
      <c r="D32" s="875"/>
      <c r="E32" s="875"/>
      <c r="F32" s="875"/>
      <c r="G32" s="875"/>
      <c r="H32" s="876"/>
      <c r="I32" s="481"/>
      <c r="J32" s="72">
        <f t="shared" si="19"/>
        <v>0</v>
      </c>
      <c r="K32" s="72">
        <f t="shared" si="20"/>
        <v>0</v>
      </c>
      <c r="L32" s="72">
        <f t="shared" si="21"/>
        <v>0</v>
      </c>
      <c r="M32" s="72">
        <f t="shared" si="22"/>
        <v>0</v>
      </c>
      <c r="N32" s="72">
        <f t="shared" si="23"/>
        <v>0</v>
      </c>
      <c r="O32" s="72">
        <f t="shared" si="24"/>
        <v>0</v>
      </c>
      <c r="P32" s="72">
        <f t="shared" si="25"/>
        <v>0</v>
      </c>
      <c r="Q32" s="72">
        <f t="shared" si="26"/>
        <v>0</v>
      </c>
      <c r="R32" s="72">
        <f t="shared" si="27"/>
        <v>0</v>
      </c>
      <c r="S32" s="72">
        <f t="shared" si="28"/>
        <v>0</v>
      </c>
      <c r="T32" s="72">
        <f t="shared" si="29"/>
        <v>0</v>
      </c>
      <c r="U32" s="72">
        <f t="shared" si="30"/>
        <v>0</v>
      </c>
      <c r="V32" s="72">
        <f t="shared" si="5"/>
        <v>0</v>
      </c>
      <c r="W32" s="72">
        <f t="shared" si="5"/>
        <v>0</v>
      </c>
      <c r="X32" s="72">
        <f t="shared" si="5"/>
        <v>0</v>
      </c>
      <c r="Z32" s="72">
        <f t="shared" si="6"/>
        <v>0</v>
      </c>
      <c r="AA32" s="72">
        <f t="shared" si="7"/>
        <v>0</v>
      </c>
      <c r="AB32" s="72">
        <f t="shared" si="8"/>
        <v>0</v>
      </c>
      <c r="AC32" s="72">
        <f t="shared" si="9"/>
        <v>0</v>
      </c>
      <c r="AD32" s="72">
        <f t="shared" si="10"/>
        <v>0</v>
      </c>
      <c r="AE32" s="72">
        <f t="shared" si="11"/>
        <v>0</v>
      </c>
      <c r="AF32" s="72">
        <f t="shared" si="12"/>
        <v>0</v>
      </c>
      <c r="AG32" s="72">
        <f t="shared" si="13"/>
        <v>0</v>
      </c>
      <c r="AH32" s="72">
        <f t="shared" si="14"/>
        <v>0</v>
      </c>
      <c r="AI32" s="72">
        <f t="shared" si="15"/>
        <v>0</v>
      </c>
      <c r="AJ32" s="72">
        <f t="shared" si="16"/>
        <v>0</v>
      </c>
      <c r="AK32" s="72">
        <f t="shared" si="17"/>
        <v>0</v>
      </c>
      <c r="AL32" s="72">
        <f t="shared" si="18"/>
        <v>0</v>
      </c>
      <c r="AM32" s="72">
        <f t="shared" si="18"/>
        <v>0</v>
      </c>
      <c r="AN32" s="72">
        <f t="shared" si="18"/>
        <v>0</v>
      </c>
      <c r="AQ32" s="485" t="s">
        <v>65</v>
      </c>
      <c r="AR32" s="496">
        <f>AT17</f>
        <v>2089.9949999999999</v>
      </c>
      <c r="AY32" s="485" t="s">
        <v>389</v>
      </c>
      <c r="AZ32" s="509">
        <f>AT17-AY4</f>
        <v>2031.3349999999998</v>
      </c>
    </row>
    <row r="33" spans="2:52" ht="17.25" customHeight="1" thickBot="1">
      <c r="B33" s="882"/>
      <c r="C33" s="875"/>
      <c r="D33" s="875"/>
      <c r="E33" s="875"/>
      <c r="F33" s="875"/>
      <c r="G33" s="875"/>
      <c r="H33" s="876"/>
      <c r="I33" s="481"/>
      <c r="J33" s="72">
        <f t="shared" si="19"/>
        <v>0</v>
      </c>
      <c r="K33" s="72">
        <f t="shared" si="20"/>
        <v>0</v>
      </c>
      <c r="L33" s="72">
        <f t="shared" si="21"/>
        <v>0</v>
      </c>
      <c r="M33" s="72">
        <f t="shared" si="22"/>
        <v>0</v>
      </c>
      <c r="N33" s="72">
        <f t="shared" si="23"/>
        <v>0</v>
      </c>
      <c r="O33" s="72">
        <f t="shared" si="24"/>
        <v>0</v>
      </c>
      <c r="P33" s="72">
        <f t="shared" si="25"/>
        <v>0</v>
      </c>
      <c r="Q33" s="72">
        <f t="shared" si="26"/>
        <v>0</v>
      </c>
      <c r="R33" s="72">
        <f t="shared" si="27"/>
        <v>0</v>
      </c>
      <c r="S33" s="72">
        <f t="shared" si="28"/>
        <v>0</v>
      </c>
      <c r="T33" s="72">
        <f t="shared" si="29"/>
        <v>0</v>
      </c>
      <c r="U33" s="72">
        <f t="shared" si="30"/>
        <v>0</v>
      </c>
      <c r="V33" s="72">
        <f t="shared" si="5"/>
        <v>0</v>
      </c>
      <c r="W33" s="72">
        <f t="shared" si="5"/>
        <v>0</v>
      </c>
      <c r="X33" s="72">
        <f t="shared" si="5"/>
        <v>0</v>
      </c>
      <c r="Z33" s="72">
        <f t="shared" si="6"/>
        <v>0</v>
      </c>
      <c r="AA33" s="72">
        <f t="shared" si="7"/>
        <v>0</v>
      </c>
      <c r="AB33" s="72">
        <f t="shared" si="8"/>
        <v>0</v>
      </c>
      <c r="AC33" s="72">
        <f t="shared" si="9"/>
        <v>0</v>
      </c>
      <c r="AD33" s="72">
        <f t="shared" si="10"/>
        <v>0</v>
      </c>
      <c r="AE33" s="72">
        <f t="shared" si="11"/>
        <v>0</v>
      </c>
      <c r="AF33" s="72">
        <f t="shared" si="12"/>
        <v>0</v>
      </c>
      <c r="AG33" s="72">
        <f t="shared" si="13"/>
        <v>0</v>
      </c>
      <c r="AH33" s="72">
        <f t="shared" si="14"/>
        <v>0</v>
      </c>
      <c r="AI33" s="72">
        <f t="shared" si="15"/>
        <v>0</v>
      </c>
      <c r="AJ33" s="72">
        <f t="shared" si="16"/>
        <v>0</v>
      </c>
      <c r="AK33" s="72">
        <f t="shared" si="17"/>
        <v>0</v>
      </c>
      <c r="AL33" s="72">
        <f t="shared" si="18"/>
        <v>0</v>
      </c>
      <c r="AM33" s="72">
        <f t="shared" si="18"/>
        <v>0</v>
      </c>
      <c r="AN33" s="72">
        <f t="shared" si="18"/>
        <v>0</v>
      </c>
      <c r="AR33" s="59"/>
    </row>
    <row r="34" spans="2:52" ht="17.25" customHeight="1" thickBot="1">
      <c r="B34" s="882"/>
      <c r="C34" s="875"/>
      <c r="D34" s="875"/>
      <c r="E34" s="875"/>
      <c r="F34" s="875"/>
      <c r="G34" s="875"/>
      <c r="H34" s="876"/>
      <c r="I34" s="481"/>
      <c r="J34" s="72">
        <f t="shared" si="19"/>
        <v>0</v>
      </c>
      <c r="K34" s="72">
        <f t="shared" si="20"/>
        <v>0</v>
      </c>
      <c r="L34" s="72">
        <f t="shared" si="21"/>
        <v>0</v>
      </c>
      <c r="M34" s="72">
        <f t="shared" si="22"/>
        <v>0</v>
      </c>
      <c r="N34" s="72">
        <f t="shared" si="23"/>
        <v>0</v>
      </c>
      <c r="O34" s="72">
        <f t="shared" si="24"/>
        <v>0</v>
      </c>
      <c r="P34" s="72">
        <f t="shared" si="25"/>
        <v>0</v>
      </c>
      <c r="Q34" s="72">
        <f t="shared" si="26"/>
        <v>0</v>
      </c>
      <c r="R34" s="72">
        <f t="shared" si="27"/>
        <v>0</v>
      </c>
      <c r="S34" s="72">
        <f t="shared" si="28"/>
        <v>0</v>
      </c>
      <c r="T34" s="72">
        <f t="shared" si="29"/>
        <v>0</v>
      </c>
      <c r="U34" s="72">
        <f t="shared" si="30"/>
        <v>0</v>
      </c>
      <c r="V34" s="72">
        <f t="shared" si="5"/>
        <v>0</v>
      </c>
      <c r="W34" s="72">
        <f t="shared" si="5"/>
        <v>0</v>
      </c>
      <c r="X34" s="72">
        <f t="shared" si="5"/>
        <v>0</v>
      </c>
      <c r="Z34" s="72">
        <f t="shared" si="6"/>
        <v>0</v>
      </c>
      <c r="AA34" s="72">
        <f t="shared" si="7"/>
        <v>0</v>
      </c>
      <c r="AB34" s="72">
        <f t="shared" si="8"/>
        <v>0</v>
      </c>
      <c r="AC34" s="72">
        <f t="shared" si="9"/>
        <v>0</v>
      </c>
      <c r="AD34" s="72">
        <f t="shared" si="10"/>
        <v>0</v>
      </c>
      <c r="AE34" s="72">
        <f t="shared" si="11"/>
        <v>0</v>
      </c>
      <c r="AF34" s="72">
        <f t="shared" si="12"/>
        <v>0</v>
      </c>
      <c r="AG34" s="72">
        <f t="shared" si="13"/>
        <v>0</v>
      </c>
      <c r="AH34" s="72">
        <f t="shared" si="14"/>
        <v>0</v>
      </c>
      <c r="AI34" s="72">
        <f t="shared" si="15"/>
        <v>0</v>
      </c>
      <c r="AJ34" s="72">
        <f t="shared" si="16"/>
        <v>0</v>
      </c>
      <c r="AK34" s="72">
        <f t="shared" si="17"/>
        <v>0</v>
      </c>
      <c r="AL34" s="72">
        <f t="shared" si="18"/>
        <v>0</v>
      </c>
      <c r="AM34" s="72">
        <f t="shared" si="18"/>
        <v>0</v>
      </c>
      <c r="AN34" s="72">
        <f t="shared" si="18"/>
        <v>0</v>
      </c>
      <c r="AR34" s="497">
        <f>AR32+AR31</f>
        <v>2383.63</v>
      </c>
      <c r="AS34" s="498" t="s">
        <v>354</v>
      </c>
      <c r="AT34" s="499">
        <f>AR24+AR27</f>
        <v>2383.63</v>
      </c>
      <c r="AZ34" s="513">
        <f>AZ32+AZ30</f>
        <v>2207.66</v>
      </c>
    </row>
    <row r="35" spans="2:52" ht="1.5" customHeight="1">
      <c r="B35" s="883"/>
      <c r="C35" s="878"/>
      <c r="D35" s="878"/>
      <c r="E35" s="878"/>
      <c r="F35" s="878"/>
      <c r="G35" s="878"/>
      <c r="H35" s="879"/>
      <c r="I35" s="481"/>
      <c r="J35" s="72">
        <f t="shared" si="19"/>
        <v>0</v>
      </c>
      <c r="K35" s="72">
        <f t="shared" si="20"/>
        <v>0</v>
      </c>
      <c r="L35" s="72">
        <f t="shared" si="21"/>
        <v>0</v>
      </c>
      <c r="M35" s="72">
        <f t="shared" si="22"/>
        <v>0</v>
      </c>
      <c r="N35" s="72">
        <f t="shared" si="23"/>
        <v>0</v>
      </c>
      <c r="O35" s="72">
        <f t="shared" si="24"/>
        <v>0</v>
      </c>
      <c r="P35" s="72">
        <f t="shared" si="25"/>
        <v>0</v>
      </c>
      <c r="Q35" s="72">
        <f t="shared" si="26"/>
        <v>0</v>
      </c>
      <c r="R35" s="72">
        <f t="shared" si="27"/>
        <v>0</v>
      </c>
      <c r="S35" s="72">
        <f t="shared" si="28"/>
        <v>0</v>
      </c>
      <c r="T35" s="72">
        <f t="shared" si="29"/>
        <v>0</v>
      </c>
      <c r="U35" s="72">
        <f t="shared" si="30"/>
        <v>0</v>
      </c>
      <c r="V35" s="72">
        <f t="shared" si="5"/>
        <v>0</v>
      </c>
      <c r="W35" s="72">
        <f t="shared" si="5"/>
        <v>0</v>
      </c>
      <c r="X35" s="72">
        <f t="shared" si="5"/>
        <v>0</v>
      </c>
      <c r="Z35" s="72">
        <f t="shared" si="6"/>
        <v>0</v>
      </c>
      <c r="AA35" s="72">
        <f t="shared" si="7"/>
        <v>0</v>
      </c>
      <c r="AB35" s="72">
        <f t="shared" si="8"/>
        <v>0</v>
      </c>
      <c r="AC35" s="72">
        <f t="shared" si="9"/>
        <v>0</v>
      </c>
      <c r="AD35" s="72">
        <f t="shared" si="10"/>
        <v>0</v>
      </c>
      <c r="AE35" s="72">
        <f t="shared" si="11"/>
        <v>0</v>
      </c>
      <c r="AF35" s="72">
        <f t="shared" si="12"/>
        <v>0</v>
      </c>
      <c r="AG35" s="72">
        <f t="shared" si="13"/>
        <v>0</v>
      </c>
      <c r="AH35" s="72">
        <f t="shared" si="14"/>
        <v>0</v>
      </c>
      <c r="AI35" s="72">
        <f t="shared" si="15"/>
        <v>0</v>
      </c>
      <c r="AJ35" s="72">
        <f t="shared" si="16"/>
        <v>0</v>
      </c>
      <c r="AK35" s="72">
        <f t="shared" si="17"/>
        <v>0</v>
      </c>
      <c r="AL35" s="72">
        <f t="shared" si="18"/>
        <v>0</v>
      </c>
      <c r="AM35" s="72">
        <f t="shared" si="18"/>
        <v>0</v>
      </c>
      <c r="AN35" s="72">
        <f t="shared" si="18"/>
        <v>0</v>
      </c>
    </row>
    <row r="36" spans="2:52" ht="16.5" hidden="1" customHeight="1">
      <c r="B36" s="60"/>
      <c r="C36" s="62"/>
      <c r="D36" s="79"/>
      <c r="E36" s="56"/>
      <c r="F36" s="76"/>
      <c r="G36" s="77">
        <f t="shared" si="3"/>
        <v>0</v>
      </c>
      <c r="H36" s="78">
        <f t="shared" si="4"/>
        <v>0</v>
      </c>
      <c r="I36" s="481"/>
      <c r="J36" s="72">
        <f t="shared" si="19"/>
        <v>0</v>
      </c>
      <c r="K36" s="72">
        <f t="shared" si="20"/>
        <v>0</v>
      </c>
      <c r="L36" s="72">
        <f t="shared" si="21"/>
        <v>0</v>
      </c>
      <c r="M36" s="72">
        <f t="shared" si="22"/>
        <v>0</v>
      </c>
      <c r="N36" s="72">
        <f t="shared" si="23"/>
        <v>0</v>
      </c>
      <c r="O36" s="72">
        <f t="shared" si="24"/>
        <v>0</v>
      </c>
      <c r="P36" s="72">
        <f t="shared" si="25"/>
        <v>0</v>
      </c>
      <c r="Q36" s="72">
        <f t="shared" si="26"/>
        <v>0</v>
      </c>
      <c r="R36" s="72">
        <f t="shared" si="27"/>
        <v>0</v>
      </c>
      <c r="S36" s="72">
        <f t="shared" si="28"/>
        <v>0</v>
      </c>
      <c r="T36" s="72">
        <f t="shared" si="29"/>
        <v>0</v>
      </c>
      <c r="U36" s="72">
        <f t="shared" si="30"/>
        <v>0</v>
      </c>
      <c r="V36" s="72">
        <f t="shared" ref="V36:X62" si="33">IF($D36=V$2,$H36,0)</f>
        <v>0</v>
      </c>
      <c r="W36" s="72">
        <f t="shared" si="33"/>
        <v>0</v>
      </c>
      <c r="X36" s="72">
        <f t="shared" si="33"/>
        <v>0</v>
      </c>
      <c r="Z36" s="72">
        <f t="shared" si="6"/>
        <v>0</v>
      </c>
      <c r="AA36" s="72">
        <f t="shared" si="7"/>
        <v>0</v>
      </c>
      <c r="AB36" s="72">
        <f t="shared" si="8"/>
        <v>0</v>
      </c>
      <c r="AC36" s="72">
        <f t="shared" si="9"/>
        <v>0</v>
      </c>
      <c r="AD36" s="72">
        <f t="shared" si="10"/>
        <v>0</v>
      </c>
      <c r="AE36" s="72">
        <f t="shared" si="11"/>
        <v>0</v>
      </c>
      <c r="AF36" s="72">
        <f t="shared" si="12"/>
        <v>0</v>
      </c>
      <c r="AG36" s="72">
        <f t="shared" si="13"/>
        <v>0</v>
      </c>
      <c r="AH36" s="72">
        <f t="shared" si="14"/>
        <v>0</v>
      </c>
      <c r="AI36" s="72">
        <f t="shared" si="15"/>
        <v>0</v>
      </c>
      <c r="AJ36" s="72">
        <f t="shared" si="16"/>
        <v>0</v>
      </c>
      <c r="AK36" s="72">
        <f t="shared" si="17"/>
        <v>0</v>
      </c>
      <c r="AL36" s="72">
        <f t="shared" si="18"/>
        <v>0</v>
      </c>
      <c r="AM36" s="72">
        <f t="shared" si="18"/>
        <v>0</v>
      </c>
      <c r="AN36" s="72">
        <f t="shared" si="18"/>
        <v>0</v>
      </c>
    </row>
    <row r="37" spans="2:52" ht="16.5" hidden="1" customHeight="1">
      <c r="B37" s="60"/>
      <c r="C37" s="62"/>
      <c r="D37" s="79"/>
      <c r="E37" s="56"/>
      <c r="F37" s="76"/>
      <c r="G37" s="77">
        <f t="shared" si="3"/>
        <v>0</v>
      </c>
      <c r="H37" s="78">
        <f t="shared" si="4"/>
        <v>0</v>
      </c>
      <c r="I37" s="481"/>
      <c r="J37" s="72">
        <f t="shared" si="19"/>
        <v>0</v>
      </c>
      <c r="K37" s="72">
        <f t="shared" si="20"/>
        <v>0</v>
      </c>
      <c r="L37" s="72">
        <f t="shared" si="21"/>
        <v>0</v>
      </c>
      <c r="M37" s="72">
        <f t="shared" si="22"/>
        <v>0</v>
      </c>
      <c r="N37" s="72">
        <f t="shared" si="23"/>
        <v>0</v>
      </c>
      <c r="O37" s="72">
        <f t="shared" si="24"/>
        <v>0</v>
      </c>
      <c r="P37" s="72">
        <f t="shared" si="25"/>
        <v>0</v>
      </c>
      <c r="Q37" s="72">
        <f t="shared" si="26"/>
        <v>0</v>
      </c>
      <c r="R37" s="72">
        <f t="shared" si="27"/>
        <v>0</v>
      </c>
      <c r="S37" s="72">
        <f t="shared" si="28"/>
        <v>0</v>
      </c>
      <c r="T37" s="72">
        <f t="shared" si="29"/>
        <v>0</v>
      </c>
      <c r="U37" s="72">
        <f t="shared" si="30"/>
        <v>0</v>
      </c>
      <c r="V37" s="72">
        <f t="shared" si="33"/>
        <v>0</v>
      </c>
      <c r="W37" s="72">
        <f t="shared" si="33"/>
        <v>0</v>
      </c>
      <c r="X37" s="72">
        <f t="shared" si="33"/>
        <v>0</v>
      </c>
      <c r="Z37" s="72">
        <f t="shared" si="6"/>
        <v>0</v>
      </c>
      <c r="AA37" s="72">
        <f t="shared" si="7"/>
        <v>0</v>
      </c>
      <c r="AB37" s="72">
        <f t="shared" si="8"/>
        <v>0</v>
      </c>
      <c r="AC37" s="72">
        <f t="shared" si="9"/>
        <v>0</v>
      </c>
      <c r="AD37" s="72">
        <f t="shared" si="10"/>
        <v>0</v>
      </c>
      <c r="AE37" s="72">
        <f t="shared" si="11"/>
        <v>0</v>
      </c>
      <c r="AF37" s="72">
        <f t="shared" si="12"/>
        <v>0</v>
      </c>
      <c r="AG37" s="72">
        <f t="shared" si="13"/>
        <v>0</v>
      </c>
      <c r="AH37" s="72">
        <f t="shared" si="14"/>
        <v>0</v>
      </c>
      <c r="AI37" s="72">
        <f t="shared" si="15"/>
        <v>0</v>
      </c>
      <c r="AJ37" s="72">
        <f t="shared" si="16"/>
        <v>0</v>
      </c>
      <c r="AK37" s="72">
        <f t="shared" si="17"/>
        <v>0</v>
      </c>
      <c r="AL37" s="72">
        <f t="shared" si="18"/>
        <v>0</v>
      </c>
      <c r="AM37" s="72">
        <f t="shared" si="18"/>
        <v>0</v>
      </c>
      <c r="AN37" s="72">
        <f t="shared" si="18"/>
        <v>0</v>
      </c>
    </row>
    <row r="38" spans="2:52" ht="16.5" hidden="1" customHeight="1">
      <c r="B38" s="60"/>
      <c r="C38" s="62"/>
      <c r="D38" s="79"/>
      <c r="E38" s="56"/>
      <c r="F38" s="76"/>
      <c r="G38" s="77">
        <f t="shared" si="3"/>
        <v>0</v>
      </c>
      <c r="H38" s="78">
        <f t="shared" si="4"/>
        <v>0</v>
      </c>
      <c r="I38" s="481"/>
      <c r="J38" s="72">
        <f t="shared" si="19"/>
        <v>0</v>
      </c>
      <c r="K38" s="72">
        <f t="shared" si="20"/>
        <v>0</v>
      </c>
      <c r="L38" s="72">
        <f t="shared" si="21"/>
        <v>0</v>
      </c>
      <c r="M38" s="72">
        <f t="shared" si="22"/>
        <v>0</v>
      </c>
      <c r="N38" s="72">
        <f t="shared" si="23"/>
        <v>0</v>
      </c>
      <c r="O38" s="72">
        <f t="shared" si="24"/>
        <v>0</v>
      </c>
      <c r="P38" s="72">
        <f t="shared" si="25"/>
        <v>0</v>
      </c>
      <c r="Q38" s="72">
        <f t="shared" si="26"/>
        <v>0</v>
      </c>
      <c r="R38" s="72">
        <f t="shared" si="27"/>
        <v>0</v>
      </c>
      <c r="S38" s="72">
        <f t="shared" si="28"/>
        <v>0</v>
      </c>
      <c r="T38" s="72">
        <f t="shared" si="29"/>
        <v>0</v>
      </c>
      <c r="U38" s="72">
        <f t="shared" si="30"/>
        <v>0</v>
      </c>
      <c r="V38" s="72">
        <f t="shared" si="33"/>
        <v>0</v>
      </c>
      <c r="W38" s="72">
        <f t="shared" si="33"/>
        <v>0</v>
      </c>
      <c r="X38" s="72">
        <f t="shared" si="33"/>
        <v>0</v>
      </c>
      <c r="Z38" s="72">
        <f t="shared" si="6"/>
        <v>0</v>
      </c>
      <c r="AA38" s="72">
        <f t="shared" si="7"/>
        <v>0</v>
      </c>
      <c r="AB38" s="72">
        <f t="shared" si="8"/>
        <v>0</v>
      </c>
      <c r="AC38" s="72">
        <f t="shared" si="9"/>
        <v>0</v>
      </c>
      <c r="AD38" s="72">
        <f t="shared" si="10"/>
        <v>0</v>
      </c>
      <c r="AE38" s="72">
        <f t="shared" si="11"/>
        <v>0</v>
      </c>
      <c r="AF38" s="72">
        <f t="shared" si="12"/>
        <v>0</v>
      </c>
      <c r="AG38" s="72">
        <f t="shared" si="13"/>
        <v>0</v>
      </c>
      <c r="AH38" s="72">
        <f t="shared" si="14"/>
        <v>0</v>
      </c>
      <c r="AI38" s="72">
        <f t="shared" si="15"/>
        <v>0</v>
      </c>
      <c r="AJ38" s="72">
        <f t="shared" si="16"/>
        <v>0</v>
      </c>
      <c r="AK38" s="72">
        <f t="shared" si="17"/>
        <v>0</v>
      </c>
      <c r="AL38" s="72">
        <f t="shared" si="18"/>
        <v>0</v>
      </c>
      <c r="AM38" s="72">
        <f t="shared" si="18"/>
        <v>0</v>
      </c>
      <c r="AN38" s="72">
        <f t="shared" si="18"/>
        <v>0</v>
      </c>
    </row>
    <row r="39" spans="2:52" ht="16.5" hidden="1" customHeight="1">
      <c r="B39" s="60"/>
      <c r="C39" s="62"/>
      <c r="D39" s="79"/>
      <c r="E39" s="56"/>
      <c r="F39" s="76"/>
      <c r="G39" s="77">
        <f t="shared" si="3"/>
        <v>0</v>
      </c>
      <c r="H39" s="78">
        <f t="shared" si="4"/>
        <v>0</v>
      </c>
      <c r="I39" s="481"/>
      <c r="J39" s="72">
        <f t="shared" si="19"/>
        <v>0</v>
      </c>
      <c r="K39" s="72">
        <f t="shared" si="20"/>
        <v>0</v>
      </c>
      <c r="L39" s="72">
        <f t="shared" si="21"/>
        <v>0</v>
      </c>
      <c r="M39" s="72">
        <f t="shared" si="22"/>
        <v>0</v>
      </c>
      <c r="N39" s="72">
        <f t="shared" si="23"/>
        <v>0</v>
      </c>
      <c r="O39" s="72">
        <f t="shared" si="24"/>
        <v>0</v>
      </c>
      <c r="P39" s="72">
        <f t="shared" si="25"/>
        <v>0</v>
      </c>
      <c r="Q39" s="72">
        <f t="shared" si="26"/>
        <v>0</v>
      </c>
      <c r="R39" s="72">
        <f t="shared" si="27"/>
        <v>0</v>
      </c>
      <c r="S39" s="72">
        <f t="shared" si="28"/>
        <v>0</v>
      </c>
      <c r="T39" s="72">
        <f t="shared" si="29"/>
        <v>0</v>
      </c>
      <c r="U39" s="72">
        <f t="shared" si="30"/>
        <v>0</v>
      </c>
      <c r="V39" s="72">
        <f t="shared" si="33"/>
        <v>0</v>
      </c>
      <c r="W39" s="72">
        <f t="shared" si="33"/>
        <v>0</v>
      </c>
      <c r="X39" s="72">
        <f t="shared" si="33"/>
        <v>0</v>
      </c>
      <c r="Z39" s="72">
        <f t="shared" si="6"/>
        <v>0</v>
      </c>
      <c r="AA39" s="72">
        <f t="shared" si="7"/>
        <v>0</v>
      </c>
      <c r="AB39" s="72">
        <f t="shared" si="8"/>
        <v>0</v>
      </c>
      <c r="AC39" s="72">
        <f t="shared" si="9"/>
        <v>0</v>
      </c>
      <c r="AD39" s="72">
        <f t="shared" si="10"/>
        <v>0</v>
      </c>
      <c r="AE39" s="72">
        <f t="shared" si="11"/>
        <v>0</v>
      </c>
      <c r="AF39" s="72">
        <f t="shared" si="12"/>
        <v>0</v>
      </c>
      <c r="AG39" s="72">
        <f t="shared" si="13"/>
        <v>0</v>
      </c>
      <c r="AH39" s="72">
        <f t="shared" si="14"/>
        <v>0</v>
      </c>
      <c r="AI39" s="72">
        <f t="shared" si="15"/>
        <v>0</v>
      </c>
      <c r="AJ39" s="72">
        <f t="shared" si="16"/>
        <v>0</v>
      </c>
      <c r="AK39" s="72">
        <f t="shared" si="17"/>
        <v>0</v>
      </c>
      <c r="AL39" s="72">
        <f t="shared" si="18"/>
        <v>0</v>
      </c>
      <c r="AM39" s="72">
        <f t="shared" si="18"/>
        <v>0</v>
      </c>
      <c r="AN39" s="72">
        <f t="shared" si="18"/>
        <v>0</v>
      </c>
      <c r="AZ39" s="55">
        <v>1834.19</v>
      </c>
    </row>
    <row r="40" spans="2:52" hidden="1">
      <c r="B40" s="60"/>
      <c r="C40" s="62"/>
      <c r="D40" s="79"/>
      <c r="E40" s="56"/>
      <c r="F40" s="76"/>
      <c r="G40" s="77">
        <f t="shared" si="3"/>
        <v>0</v>
      </c>
      <c r="H40" s="78">
        <f t="shared" si="4"/>
        <v>0</v>
      </c>
      <c r="I40" s="481"/>
      <c r="J40" s="72">
        <f>IF($D40="ALIMENTAÇÃO",$H40,0)</f>
        <v>0</v>
      </c>
      <c r="K40" s="72">
        <f>IF($D40="ANIMAIS",$H40,0)</f>
        <v>0</v>
      </c>
      <c r="L40" s="72">
        <f>IF($D40="FILHO",$H40,0)</f>
        <v>0</v>
      </c>
      <c r="M40" s="72">
        <f>IF($D40="GASOLINA",$H40,0)</f>
        <v>0</v>
      </c>
      <c r="N40" s="72">
        <f>IF($D40="LAZER",$H40,0)</f>
        <v>0</v>
      </c>
      <c r="O40" s="72">
        <f>IF($D40="MANUT. IMÓVEL",$H40,0)</f>
        <v>0</v>
      </c>
      <c r="P40" s="72">
        <f>IF($D40="MANUT. VEICULAR",$H40,0)</f>
        <v>0</v>
      </c>
      <c r="Q40" s="72">
        <f>IF($D40="MÓVEIS",$H40,0)</f>
        <v>0</v>
      </c>
      <c r="R40" s="72">
        <f>IF($D40="OUTROS",$H40,0)</f>
        <v>0</v>
      </c>
      <c r="S40" s="72">
        <f>IF($D40="PLANOS",$H40,0)</f>
        <v>0</v>
      </c>
      <c r="T40" s="72">
        <f>IF($D40="SAÚDE",$H40,0)</f>
        <v>0</v>
      </c>
      <c r="U40" s="72">
        <f>IF($D40="TRANSPORTE",$H40,0)</f>
        <v>0</v>
      </c>
      <c r="V40" s="72">
        <f>IF($D40=V$2,$H40,0)</f>
        <v>0</v>
      </c>
      <c r="W40" s="72">
        <f>IF($D40=W$2,$H40,0)</f>
        <v>0</v>
      </c>
      <c r="X40" s="72">
        <f>IF($D40=X$2,$H40,0)</f>
        <v>0</v>
      </c>
      <c r="Z40" s="72">
        <f>IF($D40="ALIMENTAÇÃO",$G40,0)</f>
        <v>0</v>
      </c>
      <c r="AA40" s="72">
        <f>IF($D40="ANIMAIS",$G40,0)</f>
        <v>0</v>
      </c>
      <c r="AB40" s="72">
        <f>IF($D40="FILHO",$G40,0)</f>
        <v>0</v>
      </c>
      <c r="AC40" s="72">
        <f>IF($D40="GASOLINA",$G40,0)</f>
        <v>0</v>
      </c>
      <c r="AD40" s="72">
        <f>IF($D40="LAZER",$G40,0)</f>
        <v>0</v>
      </c>
      <c r="AE40" s="72">
        <f>IF($D40="MANUT. IMÓVEL",$G40,0)</f>
        <v>0</v>
      </c>
      <c r="AF40" s="72">
        <f>IF($D40="MANUT. VEICULAR",$G40,0)</f>
        <v>0</v>
      </c>
      <c r="AG40" s="72">
        <f>IF($D40="MÓVEIS",$G40,0)</f>
        <v>0</v>
      </c>
      <c r="AH40" s="72">
        <f>IF($D40="OUTROS",$G40,0)</f>
        <v>0</v>
      </c>
      <c r="AI40" s="72">
        <f>IF($D40="PLANOS",$G40,0)</f>
        <v>0</v>
      </c>
      <c r="AJ40" s="72">
        <f>IF($D40="SAÚDE",$G40,0)</f>
        <v>0</v>
      </c>
      <c r="AK40" s="72">
        <f>IF($D40="TRANSPORTE",$G40,0)</f>
        <v>0</v>
      </c>
      <c r="AL40" s="72">
        <f>IF($D40=AL$2,$G40,0)</f>
        <v>0</v>
      </c>
      <c r="AM40" s="72">
        <f>IF($D40=AM$2,$G40,0)</f>
        <v>0</v>
      </c>
      <c r="AN40" s="72">
        <f>IF($D40=AN$2,$G40,0)</f>
        <v>0</v>
      </c>
    </row>
    <row r="41" spans="2:52" hidden="1">
      <c r="B41" s="60"/>
      <c r="C41" s="62"/>
      <c r="D41" s="79"/>
      <c r="E41" s="56"/>
      <c r="F41" s="76"/>
      <c r="G41" s="77">
        <f t="shared" si="3"/>
        <v>0</v>
      </c>
      <c r="H41" s="78">
        <f t="shared" si="4"/>
        <v>0</v>
      </c>
      <c r="I41" s="481"/>
      <c r="J41" s="72">
        <f t="shared" si="19"/>
        <v>0</v>
      </c>
      <c r="K41" s="72">
        <f t="shared" si="20"/>
        <v>0</v>
      </c>
      <c r="L41" s="72">
        <f t="shared" si="21"/>
        <v>0</v>
      </c>
      <c r="M41" s="72">
        <f t="shared" si="22"/>
        <v>0</v>
      </c>
      <c r="N41" s="72">
        <f t="shared" si="23"/>
        <v>0</v>
      </c>
      <c r="O41" s="72">
        <f t="shared" si="24"/>
        <v>0</v>
      </c>
      <c r="P41" s="72">
        <f t="shared" si="25"/>
        <v>0</v>
      </c>
      <c r="Q41" s="72">
        <f t="shared" si="26"/>
        <v>0</v>
      </c>
      <c r="R41" s="72">
        <f t="shared" si="27"/>
        <v>0</v>
      </c>
      <c r="S41" s="72">
        <f t="shared" si="28"/>
        <v>0</v>
      </c>
      <c r="T41" s="72">
        <f t="shared" si="29"/>
        <v>0</v>
      </c>
      <c r="U41" s="72">
        <f t="shared" si="30"/>
        <v>0</v>
      </c>
      <c r="V41" s="72">
        <f t="shared" si="33"/>
        <v>0</v>
      </c>
      <c r="W41" s="72">
        <f t="shared" si="33"/>
        <v>0</v>
      </c>
      <c r="X41" s="72">
        <f t="shared" si="33"/>
        <v>0</v>
      </c>
      <c r="Z41" s="72">
        <f t="shared" si="6"/>
        <v>0</v>
      </c>
      <c r="AA41" s="72">
        <f t="shared" si="7"/>
        <v>0</v>
      </c>
      <c r="AB41" s="72">
        <f t="shared" si="8"/>
        <v>0</v>
      </c>
      <c r="AC41" s="72">
        <f t="shared" si="9"/>
        <v>0</v>
      </c>
      <c r="AD41" s="72">
        <f t="shared" si="10"/>
        <v>0</v>
      </c>
      <c r="AE41" s="72">
        <f t="shared" si="11"/>
        <v>0</v>
      </c>
      <c r="AF41" s="72">
        <f t="shared" si="12"/>
        <v>0</v>
      </c>
      <c r="AG41" s="72">
        <f t="shared" si="13"/>
        <v>0</v>
      </c>
      <c r="AH41" s="72">
        <f t="shared" si="14"/>
        <v>0</v>
      </c>
      <c r="AI41" s="72">
        <f t="shared" si="15"/>
        <v>0</v>
      </c>
      <c r="AJ41" s="72">
        <f t="shared" si="16"/>
        <v>0</v>
      </c>
      <c r="AK41" s="72">
        <f t="shared" si="17"/>
        <v>0</v>
      </c>
      <c r="AL41" s="72">
        <f t="shared" si="18"/>
        <v>0</v>
      </c>
      <c r="AM41" s="72">
        <f t="shared" si="18"/>
        <v>0</v>
      </c>
      <c r="AN41" s="72">
        <f t="shared" si="18"/>
        <v>0</v>
      </c>
    </row>
    <row r="42" spans="2:52" hidden="1">
      <c r="B42" s="60"/>
      <c r="C42" s="62"/>
      <c r="D42" s="79"/>
      <c r="E42" s="56"/>
      <c r="F42" s="76"/>
      <c r="G42" s="77">
        <f t="shared" si="3"/>
        <v>0</v>
      </c>
      <c r="H42" s="78">
        <f t="shared" si="4"/>
        <v>0</v>
      </c>
      <c r="I42" s="481"/>
      <c r="J42" s="72">
        <f t="shared" si="19"/>
        <v>0</v>
      </c>
      <c r="K42" s="72">
        <f t="shared" si="20"/>
        <v>0</v>
      </c>
      <c r="L42" s="72">
        <f t="shared" si="21"/>
        <v>0</v>
      </c>
      <c r="M42" s="72">
        <f t="shared" si="22"/>
        <v>0</v>
      </c>
      <c r="N42" s="72">
        <f t="shared" si="23"/>
        <v>0</v>
      </c>
      <c r="O42" s="72">
        <f t="shared" si="24"/>
        <v>0</v>
      </c>
      <c r="P42" s="72">
        <f t="shared" si="25"/>
        <v>0</v>
      </c>
      <c r="Q42" s="72">
        <f t="shared" si="26"/>
        <v>0</v>
      </c>
      <c r="R42" s="72">
        <f t="shared" si="27"/>
        <v>0</v>
      </c>
      <c r="S42" s="72">
        <f t="shared" si="28"/>
        <v>0</v>
      </c>
      <c r="T42" s="72">
        <f t="shared" si="29"/>
        <v>0</v>
      </c>
      <c r="U42" s="72">
        <f t="shared" si="30"/>
        <v>0</v>
      </c>
      <c r="V42" s="72">
        <f t="shared" si="33"/>
        <v>0</v>
      </c>
      <c r="W42" s="72">
        <f t="shared" si="33"/>
        <v>0</v>
      </c>
      <c r="X42" s="72">
        <f t="shared" si="33"/>
        <v>0</v>
      </c>
      <c r="Z42" s="72">
        <f t="shared" si="6"/>
        <v>0</v>
      </c>
      <c r="AA42" s="72">
        <f t="shared" si="7"/>
        <v>0</v>
      </c>
      <c r="AB42" s="72">
        <f t="shared" si="8"/>
        <v>0</v>
      </c>
      <c r="AC42" s="72">
        <f t="shared" si="9"/>
        <v>0</v>
      </c>
      <c r="AD42" s="72">
        <f t="shared" si="10"/>
        <v>0</v>
      </c>
      <c r="AE42" s="72">
        <f t="shared" si="11"/>
        <v>0</v>
      </c>
      <c r="AF42" s="72">
        <f t="shared" si="12"/>
        <v>0</v>
      </c>
      <c r="AG42" s="72">
        <f t="shared" si="13"/>
        <v>0</v>
      </c>
      <c r="AH42" s="72">
        <f t="shared" si="14"/>
        <v>0</v>
      </c>
      <c r="AI42" s="72">
        <f t="shared" si="15"/>
        <v>0</v>
      </c>
      <c r="AJ42" s="72">
        <f t="shared" si="16"/>
        <v>0</v>
      </c>
      <c r="AK42" s="72">
        <f t="shared" si="17"/>
        <v>0</v>
      </c>
      <c r="AL42" s="72">
        <f t="shared" si="18"/>
        <v>0</v>
      </c>
      <c r="AM42" s="72">
        <f t="shared" si="18"/>
        <v>0</v>
      </c>
      <c r="AN42" s="72">
        <f t="shared" si="18"/>
        <v>0</v>
      </c>
    </row>
    <row r="43" spans="2:52" hidden="1">
      <c r="B43" s="60"/>
      <c r="C43" s="62"/>
      <c r="D43" s="79"/>
      <c r="E43" s="56"/>
      <c r="F43" s="76"/>
      <c r="G43" s="77">
        <f t="shared" si="3"/>
        <v>0</v>
      </c>
      <c r="H43" s="78">
        <f t="shared" si="4"/>
        <v>0</v>
      </c>
      <c r="I43" s="481"/>
      <c r="J43" s="72">
        <f t="shared" si="19"/>
        <v>0</v>
      </c>
      <c r="K43" s="72">
        <f t="shared" si="20"/>
        <v>0</v>
      </c>
      <c r="L43" s="72">
        <f t="shared" si="21"/>
        <v>0</v>
      </c>
      <c r="M43" s="72">
        <f t="shared" si="22"/>
        <v>0</v>
      </c>
      <c r="N43" s="72">
        <f t="shared" si="23"/>
        <v>0</v>
      </c>
      <c r="O43" s="72">
        <f t="shared" si="24"/>
        <v>0</v>
      </c>
      <c r="P43" s="72">
        <f t="shared" si="25"/>
        <v>0</v>
      </c>
      <c r="Q43" s="72">
        <f t="shared" si="26"/>
        <v>0</v>
      </c>
      <c r="R43" s="72">
        <f t="shared" si="27"/>
        <v>0</v>
      </c>
      <c r="S43" s="72">
        <f t="shared" si="28"/>
        <v>0</v>
      </c>
      <c r="T43" s="72">
        <f t="shared" si="29"/>
        <v>0</v>
      </c>
      <c r="U43" s="72">
        <f t="shared" si="30"/>
        <v>0</v>
      </c>
      <c r="V43" s="72">
        <f t="shared" si="33"/>
        <v>0</v>
      </c>
      <c r="W43" s="72">
        <f t="shared" si="33"/>
        <v>0</v>
      </c>
      <c r="X43" s="72">
        <f t="shared" si="33"/>
        <v>0</v>
      </c>
      <c r="Z43" s="72">
        <f t="shared" si="6"/>
        <v>0</v>
      </c>
      <c r="AA43" s="72">
        <f t="shared" si="7"/>
        <v>0</v>
      </c>
      <c r="AB43" s="72">
        <f t="shared" si="8"/>
        <v>0</v>
      </c>
      <c r="AC43" s="72">
        <f t="shared" si="9"/>
        <v>0</v>
      </c>
      <c r="AD43" s="72">
        <f t="shared" si="10"/>
        <v>0</v>
      </c>
      <c r="AE43" s="72">
        <f t="shared" si="11"/>
        <v>0</v>
      </c>
      <c r="AF43" s="72">
        <f t="shared" si="12"/>
        <v>0</v>
      </c>
      <c r="AG43" s="72">
        <f t="shared" si="13"/>
        <v>0</v>
      </c>
      <c r="AH43" s="72">
        <f t="shared" si="14"/>
        <v>0</v>
      </c>
      <c r="AI43" s="72">
        <f t="shared" si="15"/>
        <v>0</v>
      </c>
      <c r="AJ43" s="72">
        <f t="shared" si="16"/>
        <v>0</v>
      </c>
      <c r="AK43" s="72">
        <f t="shared" si="17"/>
        <v>0</v>
      </c>
      <c r="AL43" s="72">
        <f t="shared" si="18"/>
        <v>0</v>
      </c>
      <c r="AM43" s="72">
        <f t="shared" si="18"/>
        <v>0</v>
      </c>
      <c r="AN43" s="72">
        <f t="shared" si="18"/>
        <v>0</v>
      </c>
    </row>
    <row r="44" spans="2:52" hidden="1">
      <c r="B44" s="60"/>
      <c r="C44" s="62"/>
      <c r="D44" s="79"/>
      <c r="E44" s="56"/>
      <c r="F44" s="76"/>
      <c r="G44" s="77">
        <f t="shared" si="3"/>
        <v>0</v>
      </c>
      <c r="H44" s="78">
        <f t="shared" si="4"/>
        <v>0</v>
      </c>
      <c r="I44" s="481"/>
      <c r="J44" s="72">
        <f t="shared" si="19"/>
        <v>0</v>
      </c>
      <c r="K44" s="72">
        <f t="shared" si="20"/>
        <v>0</v>
      </c>
      <c r="L44" s="72">
        <f t="shared" si="21"/>
        <v>0</v>
      </c>
      <c r="M44" s="72">
        <f t="shared" si="22"/>
        <v>0</v>
      </c>
      <c r="N44" s="72">
        <f t="shared" si="23"/>
        <v>0</v>
      </c>
      <c r="O44" s="72">
        <f t="shared" si="24"/>
        <v>0</v>
      </c>
      <c r="P44" s="72">
        <f t="shared" si="25"/>
        <v>0</v>
      </c>
      <c r="Q44" s="72">
        <f t="shared" si="26"/>
        <v>0</v>
      </c>
      <c r="R44" s="72">
        <f t="shared" si="27"/>
        <v>0</v>
      </c>
      <c r="S44" s="72">
        <f t="shared" si="28"/>
        <v>0</v>
      </c>
      <c r="T44" s="72">
        <f t="shared" si="29"/>
        <v>0</v>
      </c>
      <c r="U44" s="72">
        <f t="shared" si="30"/>
        <v>0</v>
      </c>
      <c r="V44" s="72">
        <f t="shared" si="33"/>
        <v>0</v>
      </c>
      <c r="W44" s="72">
        <f t="shared" si="33"/>
        <v>0</v>
      </c>
      <c r="X44" s="72">
        <f t="shared" si="33"/>
        <v>0</v>
      </c>
      <c r="Z44" s="72">
        <f t="shared" si="6"/>
        <v>0</v>
      </c>
      <c r="AA44" s="72">
        <f t="shared" si="7"/>
        <v>0</v>
      </c>
      <c r="AB44" s="72">
        <f t="shared" si="8"/>
        <v>0</v>
      </c>
      <c r="AC44" s="72">
        <f t="shared" si="9"/>
        <v>0</v>
      </c>
      <c r="AD44" s="72">
        <f t="shared" si="10"/>
        <v>0</v>
      </c>
      <c r="AE44" s="72">
        <f t="shared" si="11"/>
        <v>0</v>
      </c>
      <c r="AF44" s="72">
        <f t="shared" si="12"/>
        <v>0</v>
      </c>
      <c r="AG44" s="72">
        <f t="shared" si="13"/>
        <v>0</v>
      </c>
      <c r="AH44" s="72">
        <f t="shared" si="14"/>
        <v>0</v>
      </c>
      <c r="AI44" s="72">
        <f t="shared" si="15"/>
        <v>0</v>
      </c>
      <c r="AJ44" s="72">
        <f t="shared" si="16"/>
        <v>0</v>
      </c>
      <c r="AK44" s="72">
        <f t="shared" si="17"/>
        <v>0</v>
      </c>
      <c r="AL44" s="72">
        <f t="shared" si="18"/>
        <v>0</v>
      </c>
      <c r="AM44" s="72">
        <f t="shared" si="18"/>
        <v>0</v>
      </c>
      <c r="AN44" s="72">
        <f t="shared" si="18"/>
        <v>0</v>
      </c>
    </row>
    <row r="45" spans="2:52" hidden="1">
      <c r="B45" s="60"/>
      <c r="C45" s="62"/>
      <c r="D45" s="79"/>
      <c r="E45" s="56"/>
      <c r="F45" s="76"/>
      <c r="G45" s="77">
        <f t="shared" si="3"/>
        <v>0</v>
      </c>
      <c r="H45" s="78">
        <f t="shared" si="4"/>
        <v>0</v>
      </c>
      <c r="I45" s="481"/>
      <c r="J45" s="72">
        <f t="shared" si="19"/>
        <v>0</v>
      </c>
      <c r="K45" s="72">
        <f t="shared" si="20"/>
        <v>0</v>
      </c>
      <c r="L45" s="72">
        <f t="shared" si="21"/>
        <v>0</v>
      </c>
      <c r="M45" s="72">
        <f t="shared" si="22"/>
        <v>0</v>
      </c>
      <c r="N45" s="72">
        <f t="shared" si="23"/>
        <v>0</v>
      </c>
      <c r="O45" s="72">
        <f t="shared" si="24"/>
        <v>0</v>
      </c>
      <c r="P45" s="72">
        <f t="shared" si="25"/>
        <v>0</v>
      </c>
      <c r="Q45" s="72">
        <f t="shared" si="26"/>
        <v>0</v>
      </c>
      <c r="R45" s="72">
        <f t="shared" si="27"/>
        <v>0</v>
      </c>
      <c r="S45" s="72">
        <f t="shared" si="28"/>
        <v>0</v>
      </c>
      <c r="T45" s="72">
        <f t="shared" si="29"/>
        <v>0</v>
      </c>
      <c r="U45" s="72">
        <f t="shared" si="30"/>
        <v>0</v>
      </c>
      <c r="V45" s="72">
        <f t="shared" si="33"/>
        <v>0</v>
      </c>
      <c r="W45" s="72">
        <f t="shared" si="33"/>
        <v>0</v>
      </c>
      <c r="X45" s="72">
        <f t="shared" si="33"/>
        <v>0</v>
      </c>
      <c r="Z45" s="72">
        <f t="shared" si="6"/>
        <v>0</v>
      </c>
      <c r="AA45" s="72">
        <f t="shared" si="7"/>
        <v>0</v>
      </c>
      <c r="AB45" s="72">
        <f t="shared" si="8"/>
        <v>0</v>
      </c>
      <c r="AC45" s="72">
        <f t="shared" si="9"/>
        <v>0</v>
      </c>
      <c r="AD45" s="72">
        <f t="shared" si="10"/>
        <v>0</v>
      </c>
      <c r="AE45" s="72">
        <f t="shared" si="11"/>
        <v>0</v>
      </c>
      <c r="AF45" s="72">
        <f t="shared" si="12"/>
        <v>0</v>
      </c>
      <c r="AG45" s="72">
        <f t="shared" si="13"/>
        <v>0</v>
      </c>
      <c r="AH45" s="72">
        <f t="shared" si="14"/>
        <v>0</v>
      </c>
      <c r="AI45" s="72">
        <f t="shared" si="15"/>
        <v>0</v>
      </c>
      <c r="AJ45" s="72">
        <f t="shared" si="16"/>
        <v>0</v>
      </c>
      <c r="AK45" s="72">
        <f t="shared" si="17"/>
        <v>0</v>
      </c>
      <c r="AL45" s="72">
        <f t="shared" si="18"/>
        <v>0</v>
      </c>
      <c r="AM45" s="72">
        <f t="shared" si="18"/>
        <v>0</v>
      </c>
      <c r="AN45" s="72">
        <f t="shared" si="18"/>
        <v>0</v>
      </c>
    </row>
    <row r="46" spans="2:52" hidden="1">
      <c r="B46" s="60"/>
      <c r="C46" s="62"/>
      <c r="D46" s="79"/>
      <c r="E46" s="56"/>
      <c r="F46" s="76"/>
      <c r="G46" s="77">
        <f t="shared" si="3"/>
        <v>0</v>
      </c>
      <c r="H46" s="78">
        <f t="shared" si="4"/>
        <v>0</v>
      </c>
      <c r="I46" s="481"/>
      <c r="J46" s="72">
        <f t="shared" si="19"/>
        <v>0</v>
      </c>
      <c r="K46" s="72">
        <f t="shared" si="20"/>
        <v>0</v>
      </c>
      <c r="L46" s="72">
        <f t="shared" si="21"/>
        <v>0</v>
      </c>
      <c r="M46" s="72">
        <f t="shared" si="22"/>
        <v>0</v>
      </c>
      <c r="N46" s="72">
        <f t="shared" si="23"/>
        <v>0</v>
      </c>
      <c r="O46" s="72">
        <f t="shared" si="24"/>
        <v>0</v>
      </c>
      <c r="P46" s="72">
        <f t="shared" si="25"/>
        <v>0</v>
      </c>
      <c r="Q46" s="72">
        <f t="shared" si="26"/>
        <v>0</v>
      </c>
      <c r="R46" s="72">
        <f t="shared" si="27"/>
        <v>0</v>
      </c>
      <c r="S46" s="72">
        <f t="shared" si="28"/>
        <v>0</v>
      </c>
      <c r="T46" s="72">
        <f t="shared" si="29"/>
        <v>0</v>
      </c>
      <c r="U46" s="72">
        <f t="shared" si="30"/>
        <v>0</v>
      </c>
      <c r="V46" s="72">
        <f t="shared" si="33"/>
        <v>0</v>
      </c>
      <c r="W46" s="72">
        <f t="shared" si="33"/>
        <v>0</v>
      </c>
      <c r="X46" s="72">
        <f t="shared" si="33"/>
        <v>0</v>
      </c>
      <c r="Z46" s="72">
        <f t="shared" si="6"/>
        <v>0</v>
      </c>
      <c r="AA46" s="72">
        <f t="shared" si="7"/>
        <v>0</v>
      </c>
      <c r="AB46" s="72">
        <f t="shared" si="8"/>
        <v>0</v>
      </c>
      <c r="AC46" s="72">
        <f t="shared" si="9"/>
        <v>0</v>
      </c>
      <c r="AD46" s="72">
        <f t="shared" si="10"/>
        <v>0</v>
      </c>
      <c r="AE46" s="72">
        <f t="shared" si="11"/>
        <v>0</v>
      </c>
      <c r="AF46" s="72">
        <f t="shared" si="12"/>
        <v>0</v>
      </c>
      <c r="AG46" s="72">
        <f t="shared" si="13"/>
        <v>0</v>
      </c>
      <c r="AH46" s="72">
        <f t="shared" si="14"/>
        <v>0</v>
      </c>
      <c r="AI46" s="72">
        <f t="shared" si="15"/>
        <v>0</v>
      </c>
      <c r="AJ46" s="72">
        <f t="shared" si="16"/>
        <v>0</v>
      </c>
      <c r="AK46" s="72">
        <f t="shared" si="17"/>
        <v>0</v>
      </c>
      <c r="AL46" s="72">
        <f t="shared" si="18"/>
        <v>0</v>
      </c>
      <c r="AM46" s="72">
        <f t="shared" si="18"/>
        <v>0</v>
      </c>
      <c r="AN46" s="72">
        <f t="shared" si="18"/>
        <v>0</v>
      </c>
    </row>
    <row r="47" spans="2:52" hidden="1">
      <c r="B47" s="60"/>
      <c r="C47" s="62"/>
      <c r="D47" s="79"/>
      <c r="E47" s="56"/>
      <c r="F47" s="76"/>
      <c r="G47" s="77">
        <f t="shared" si="3"/>
        <v>0</v>
      </c>
      <c r="H47" s="78">
        <f t="shared" si="4"/>
        <v>0</v>
      </c>
      <c r="I47" s="481"/>
      <c r="J47" s="72">
        <f t="shared" si="19"/>
        <v>0</v>
      </c>
      <c r="K47" s="72">
        <f t="shared" si="20"/>
        <v>0</v>
      </c>
      <c r="L47" s="72">
        <f t="shared" si="21"/>
        <v>0</v>
      </c>
      <c r="M47" s="72">
        <f t="shared" si="22"/>
        <v>0</v>
      </c>
      <c r="N47" s="72">
        <f t="shared" si="23"/>
        <v>0</v>
      </c>
      <c r="O47" s="72">
        <f t="shared" si="24"/>
        <v>0</v>
      </c>
      <c r="P47" s="72">
        <f t="shared" si="25"/>
        <v>0</v>
      </c>
      <c r="Q47" s="72">
        <f t="shared" si="26"/>
        <v>0</v>
      </c>
      <c r="R47" s="72">
        <f t="shared" si="27"/>
        <v>0</v>
      </c>
      <c r="S47" s="72">
        <f t="shared" si="28"/>
        <v>0</v>
      </c>
      <c r="T47" s="72">
        <f t="shared" si="29"/>
        <v>0</v>
      </c>
      <c r="U47" s="72">
        <f t="shared" si="30"/>
        <v>0</v>
      </c>
      <c r="V47" s="72">
        <f t="shared" si="33"/>
        <v>0</v>
      </c>
      <c r="W47" s="72">
        <f t="shared" si="33"/>
        <v>0</v>
      </c>
      <c r="X47" s="72">
        <f t="shared" si="33"/>
        <v>0</v>
      </c>
      <c r="Z47" s="72">
        <f t="shared" si="6"/>
        <v>0</v>
      </c>
      <c r="AA47" s="72">
        <f t="shared" si="7"/>
        <v>0</v>
      </c>
      <c r="AB47" s="72">
        <f t="shared" si="8"/>
        <v>0</v>
      </c>
      <c r="AC47" s="72">
        <f t="shared" si="9"/>
        <v>0</v>
      </c>
      <c r="AD47" s="72">
        <f t="shared" si="10"/>
        <v>0</v>
      </c>
      <c r="AE47" s="72">
        <f t="shared" si="11"/>
        <v>0</v>
      </c>
      <c r="AF47" s="72">
        <f t="shared" si="12"/>
        <v>0</v>
      </c>
      <c r="AG47" s="72">
        <f t="shared" si="13"/>
        <v>0</v>
      </c>
      <c r="AH47" s="72">
        <f t="shared" si="14"/>
        <v>0</v>
      </c>
      <c r="AI47" s="72">
        <f t="shared" si="15"/>
        <v>0</v>
      </c>
      <c r="AJ47" s="72">
        <f t="shared" si="16"/>
        <v>0</v>
      </c>
      <c r="AK47" s="72">
        <f t="shared" si="17"/>
        <v>0</v>
      </c>
      <c r="AL47" s="72">
        <f t="shared" si="18"/>
        <v>0</v>
      </c>
      <c r="AM47" s="72">
        <f t="shared" si="18"/>
        <v>0</v>
      </c>
      <c r="AN47" s="72">
        <f t="shared" si="18"/>
        <v>0</v>
      </c>
    </row>
    <row r="48" spans="2:52" hidden="1">
      <c r="B48" s="60"/>
      <c r="C48" s="62"/>
      <c r="D48" s="79"/>
      <c r="E48" s="56"/>
      <c r="F48" s="76"/>
      <c r="G48" s="77">
        <f t="shared" si="3"/>
        <v>0</v>
      </c>
      <c r="H48" s="78">
        <f t="shared" si="4"/>
        <v>0</v>
      </c>
      <c r="I48" s="481"/>
      <c r="J48" s="72">
        <f t="shared" si="19"/>
        <v>0</v>
      </c>
      <c r="K48" s="72">
        <f t="shared" si="20"/>
        <v>0</v>
      </c>
      <c r="L48" s="72">
        <f t="shared" si="21"/>
        <v>0</v>
      </c>
      <c r="M48" s="72">
        <f t="shared" si="22"/>
        <v>0</v>
      </c>
      <c r="N48" s="72">
        <f t="shared" si="23"/>
        <v>0</v>
      </c>
      <c r="O48" s="72">
        <f t="shared" si="24"/>
        <v>0</v>
      </c>
      <c r="P48" s="72">
        <f t="shared" si="25"/>
        <v>0</v>
      </c>
      <c r="Q48" s="72">
        <f t="shared" si="26"/>
        <v>0</v>
      </c>
      <c r="R48" s="72">
        <f t="shared" si="27"/>
        <v>0</v>
      </c>
      <c r="S48" s="72">
        <f t="shared" si="28"/>
        <v>0</v>
      </c>
      <c r="T48" s="72">
        <f t="shared" si="29"/>
        <v>0</v>
      </c>
      <c r="U48" s="72">
        <f t="shared" si="30"/>
        <v>0</v>
      </c>
      <c r="V48" s="72">
        <f t="shared" si="33"/>
        <v>0</v>
      </c>
      <c r="W48" s="72">
        <f t="shared" si="33"/>
        <v>0</v>
      </c>
      <c r="X48" s="72">
        <f t="shared" si="33"/>
        <v>0</v>
      </c>
      <c r="Z48" s="72">
        <f t="shared" si="6"/>
        <v>0</v>
      </c>
      <c r="AA48" s="72">
        <f t="shared" si="7"/>
        <v>0</v>
      </c>
      <c r="AB48" s="72">
        <f t="shared" si="8"/>
        <v>0</v>
      </c>
      <c r="AC48" s="72">
        <f t="shared" si="9"/>
        <v>0</v>
      </c>
      <c r="AD48" s="72">
        <f t="shared" si="10"/>
        <v>0</v>
      </c>
      <c r="AE48" s="72">
        <f t="shared" si="11"/>
        <v>0</v>
      </c>
      <c r="AF48" s="72">
        <f t="shared" si="12"/>
        <v>0</v>
      </c>
      <c r="AG48" s="72">
        <f t="shared" si="13"/>
        <v>0</v>
      </c>
      <c r="AH48" s="72">
        <f t="shared" si="14"/>
        <v>0</v>
      </c>
      <c r="AI48" s="72">
        <f t="shared" si="15"/>
        <v>0</v>
      </c>
      <c r="AJ48" s="72">
        <f t="shared" si="16"/>
        <v>0</v>
      </c>
      <c r="AK48" s="72">
        <f t="shared" si="17"/>
        <v>0</v>
      </c>
      <c r="AL48" s="72">
        <f t="shared" si="18"/>
        <v>0</v>
      </c>
      <c r="AM48" s="72">
        <f t="shared" si="18"/>
        <v>0</v>
      </c>
      <c r="AN48" s="72">
        <f t="shared" si="18"/>
        <v>0</v>
      </c>
    </row>
    <row r="49" spans="2:52" hidden="1">
      <c r="B49" s="60"/>
      <c r="C49" s="62"/>
      <c r="D49" s="79"/>
      <c r="E49" s="56"/>
      <c r="F49" s="76"/>
      <c r="G49" s="77">
        <f t="shared" si="3"/>
        <v>0</v>
      </c>
      <c r="H49" s="78">
        <f t="shared" si="4"/>
        <v>0</v>
      </c>
      <c r="I49" s="481"/>
      <c r="J49" s="72">
        <f t="shared" si="19"/>
        <v>0</v>
      </c>
      <c r="K49" s="72">
        <f t="shared" si="20"/>
        <v>0</v>
      </c>
      <c r="L49" s="72">
        <f t="shared" si="21"/>
        <v>0</v>
      </c>
      <c r="M49" s="72">
        <f t="shared" si="22"/>
        <v>0</v>
      </c>
      <c r="N49" s="72">
        <f t="shared" si="23"/>
        <v>0</v>
      </c>
      <c r="O49" s="72">
        <f t="shared" si="24"/>
        <v>0</v>
      </c>
      <c r="P49" s="72">
        <f t="shared" si="25"/>
        <v>0</v>
      </c>
      <c r="Q49" s="72">
        <f t="shared" si="26"/>
        <v>0</v>
      </c>
      <c r="R49" s="72">
        <f t="shared" si="27"/>
        <v>0</v>
      </c>
      <c r="S49" s="72">
        <f t="shared" si="28"/>
        <v>0</v>
      </c>
      <c r="T49" s="72">
        <f t="shared" si="29"/>
        <v>0</v>
      </c>
      <c r="U49" s="72">
        <f t="shared" si="30"/>
        <v>0</v>
      </c>
      <c r="V49" s="72">
        <f t="shared" si="33"/>
        <v>0</v>
      </c>
      <c r="W49" s="72">
        <f t="shared" si="33"/>
        <v>0</v>
      </c>
      <c r="X49" s="72">
        <f t="shared" si="33"/>
        <v>0</v>
      </c>
      <c r="Z49" s="72">
        <f t="shared" si="6"/>
        <v>0</v>
      </c>
      <c r="AA49" s="72">
        <f t="shared" si="7"/>
        <v>0</v>
      </c>
      <c r="AB49" s="72">
        <f t="shared" si="8"/>
        <v>0</v>
      </c>
      <c r="AC49" s="72">
        <f t="shared" si="9"/>
        <v>0</v>
      </c>
      <c r="AD49" s="72">
        <f t="shared" si="10"/>
        <v>0</v>
      </c>
      <c r="AE49" s="72">
        <f t="shared" si="11"/>
        <v>0</v>
      </c>
      <c r="AF49" s="72">
        <f t="shared" si="12"/>
        <v>0</v>
      </c>
      <c r="AG49" s="72">
        <f t="shared" si="13"/>
        <v>0</v>
      </c>
      <c r="AH49" s="72">
        <f t="shared" si="14"/>
        <v>0</v>
      </c>
      <c r="AI49" s="72">
        <f t="shared" si="15"/>
        <v>0</v>
      </c>
      <c r="AJ49" s="72">
        <f t="shared" si="16"/>
        <v>0</v>
      </c>
      <c r="AK49" s="72">
        <f t="shared" si="17"/>
        <v>0</v>
      </c>
      <c r="AL49" s="72">
        <f t="shared" si="18"/>
        <v>0</v>
      </c>
      <c r="AM49" s="72">
        <f t="shared" si="18"/>
        <v>0</v>
      </c>
      <c r="AN49" s="72">
        <f t="shared" si="18"/>
        <v>0</v>
      </c>
      <c r="AZ49" s="621">
        <f>AR28-AZ39</f>
        <v>373.47000000000025</v>
      </c>
    </row>
    <row r="50" spans="2:52" hidden="1">
      <c r="B50" s="60"/>
      <c r="C50" s="62"/>
      <c r="D50" s="79"/>
      <c r="E50" s="56"/>
      <c r="F50" s="76"/>
      <c r="G50" s="77">
        <f t="shared" si="3"/>
        <v>0</v>
      </c>
      <c r="H50" s="78">
        <f t="shared" si="4"/>
        <v>0</v>
      </c>
      <c r="I50" s="481"/>
      <c r="J50" s="72">
        <f t="shared" si="19"/>
        <v>0</v>
      </c>
      <c r="K50" s="72">
        <f t="shared" si="20"/>
        <v>0</v>
      </c>
      <c r="L50" s="72">
        <f t="shared" si="21"/>
        <v>0</v>
      </c>
      <c r="M50" s="72">
        <f t="shared" si="22"/>
        <v>0</v>
      </c>
      <c r="N50" s="72">
        <f t="shared" si="23"/>
        <v>0</v>
      </c>
      <c r="O50" s="72">
        <f t="shared" si="24"/>
        <v>0</v>
      </c>
      <c r="P50" s="72">
        <f t="shared" si="25"/>
        <v>0</v>
      </c>
      <c r="Q50" s="72">
        <f t="shared" si="26"/>
        <v>0</v>
      </c>
      <c r="R50" s="72">
        <f t="shared" si="27"/>
        <v>0</v>
      </c>
      <c r="S50" s="72">
        <f t="shared" si="28"/>
        <v>0</v>
      </c>
      <c r="T50" s="72">
        <f t="shared" si="29"/>
        <v>0</v>
      </c>
      <c r="U50" s="72">
        <f t="shared" si="30"/>
        <v>0</v>
      </c>
      <c r="V50" s="72">
        <f t="shared" si="33"/>
        <v>0</v>
      </c>
      <c r="W50" s="72">
        <f t="shared" si="33"/>
        <v>0</v>
      </c>
      <c r="X50" s="72">
        <f t="shared" si="33"/>
        <v>0</v>
      </c>
      <c r="Z50" s="72">
        <f t="shared" si="6"/>
        <v>0</v>
      </c>
      <c r="AA50" s="72">
        <f t="shared" si="7"/>
        <v>0</v>
      </c>
      <c r="AB50" s="72">
        <f t="shared" si="8"/>
        <v>0</v>
      </c>
      <c r="AC50" s="72">
        <f t="shared" si="9"/>
        <v>0</v>
      </c>
      <c r="AD50" s="72">
        <f t="shared" si="10"/>
        <v>0</v>
      </c>
      <c r="AE50" s="72">
        <f t="shared" si="11"/>
        <v>0</v>
      </c>
      <c r="AF50" s="72">
        <f t="shared" si="12"/>
        <v>0</v>
      </c>
      <c r="AG50" s="72">
        <f t="shared" si="13"/>
        <v>0</v>
      </c>
      <c r="AH50" s="72">
        <f t="shared" si="14"/>
        <v>0</v>
      </c>
      <c r="AI50" s="72">
        <f t="shared" si="15"/>
        <v>0</v>
      </c>
      <c r="AJ50" s="72">
        <f t="shared" si="16"/>
        <v>0</v>
      </c>
      <c r="AK50" s="72">
        <f t="shared" si="17"/>
        <v>0</v>
      </c>
      <c r="AL50" s="72">
        <f t="shared" si="18"/>
        <v>0</v>
      </c>
      <c r="AM50" s="72">
        <f t="shared" si="18"/>
        <v>0</v>
      </c>
      <c r="AN50" s="72">
        <f t="shared" si="18"/>
        <v>0</v>
      </c>
    </row>
    <row r="51" spans="2:52" hidden="1">
      <c r="B51" s="60"/>
      <c r="C51" s="62"/>
      <c r="D51" s="79"/>
      <c r="E51" s="56"/>
      <c r="F51" s="76"/>
      <c r="G51" s="77">
        <f t="shared" si="3"/>
        <v>0</v>
      </c>
      <c r="H51" s="78">
        <f t="shared" si="4"/>
        <v>0</v>
      </c>
      <c r="I51" s="481"/>
      <c r="J51" s="72">
        <f t="shared" si="19"/>
        <v>0</v>
      </c>
      <c r="K51" s="72">
        <f t="shared" si="20"/>
        <v>0</v>
      </c>
      <c r="L51" s="72">
        <f t="shared" si="21"/>
        <v>0</v>
      </c>
      <c r="M51" s="72">
        <f t="shared" si="22"/>
        <v>0</v>
      </c>
      <c r="N51" s="72">
        <f t="shared" si="23"/>
        <v>0</v>
      </c>
      <c r="O51" s="72">
        <f t="shared" si="24"/>
        <v>0</v>
      </c>
      <c r="P51" s="72">
        <f t="shared" si="25"/>
        <v>0</v>
      </c>
      <c r="Q51" s="72">
        <f t="shared" si="26"/>
        <v>0</v>
      </c>
      <c r="R51" s="72">
        <f t="shared" si="27"/>
        <v>0</v>
      </c>
      <c r="S51" s="72">
        <f t="shared" si="28"/>
        <v>0</v>
      </c>
      <c r="T51" s="72">
        <f t="shared" si="29"/>
        <v>0</v>
      </c>
      <c r="U51" s="72">
        <f t="shared" si="30"/>
        <v>0</v>
      </c>
      <c r="V51" s="72">
        <f t="shared" si="33"/>
        <v>0</v>
      </c>
      <c r="W51" s="72">
        <f t="shared" si="33"/>
        <v>0</v>
      </c>
      <c r="X51" s="72">
        <f t="shared" si="33"/>
        <v>0</v>
      </c>
      <c r="Z51" s="72">
        <f t="shared" si="6"/>
        <v>0</v>
      </c>
      <c r="AA51" s="72">
        <f t="shared" si="7"/>
        <v>0</v>
      </c>
      <c r="AB51" s="72">
        <f t="shared" si="8"/>
        <v>0</v>
      </c>
      <c r="AC51" s="72">
        <f t="shared" si="9"/>
        <v>0</v>
      </c>
      <c r="AD51" s="72">
        <f t="shared" si="10"/>
        <v>0</v>
      </c>
      <c r="AE51" s="72">
        <f t="shared" si="11"/>
        <v>0</v>
      </c>
      <c r="AF51" s="72">
        <f t="shared" si="12"/>
        <v>0</v>
      </c>
      <c r="AG51" s="72">
        <f t="shared" si="13"/>
        <v>0</v>
      </c>
      <c r="AH51" s="72">
        <f t="shared" si="14"/>
        <v>0</v>
      </c>
      <c r="AI51" s="72">
        <f t="shared" si="15"/>
        <v>0</v>
      </c>
      <c r="AJ51" s="72">
        <f t="shared" si="16"/>
        <v>0</v>
      </c>
      <c r="AK51" s="72">
        <f t="shared" si="17"/>
        <v>0</v>
      </c>
      <c r="AL51" s="72">
        <f t="shared" si="18"/>
        <v>0</v>
      </c>
      <c r="AM51" s="72">
        <f t="shared" si="18"/>
        <v>0</v>
      </c>
      <c r="AN51" s="72">
        <f t="shared" si="18"/>
        <v>0</v>
      </c>
    </row>
    <row r="52" spans="2:52" hidden="1">
      <c r="B52" s="60"/>
      <c r="C52" s="62"/>
      <c r="D52" s="79"/>
      <c r="E52" s="56"/>
      <c r="F52" s="76"/>
      <c r="G52" s="77">
        <f t="shared" si="3"/>
        <v>0</v>
      </c>
      <c r="H52" s="78">
        <f t="shared" si="4"/>
        <v>0</v>
      </c>
      <c r="I52" s="481"/>
      <c r="J52" s="72">
        <f t="shared" si="19"/>
        <v>0</v>
      </c>
      <c r="K52" s="72">
        <f t="shared" si="20"/>
        <v>0</v>
      </c>
      <c r="L52" s="72">
        <f t="shared" si="21"/>
        <v>0</v>
      </c>
      <c r="M52" s="72">
        <f t="shared" si="22"/>
        <v>0</v>
      </c>
      <c r="N52" s="72">
        <f t="shared" si="23"/>
        <v>0</v>
      </c>
      <c r="O52" s="72">
        <f t="shared" si="24"/>
        <v>0</v>
      </c>
      <c r="P52" s="72">
        <f t="shared" si="25"/>
        <v>0</v>
      </c>
      <c r="Q52" s="72">
        <f t="shared" si="26"/>
        <v>0</v>
      </c>
      <c r="R52" s="72">
        <f t="shared" si="27"/>
        <v>0</v>
      </c>
      <c r="S52" s="72">
        <f t="shared" si="28"/>
        <v>0</v>
      </c>
      <c r="T52" s="72">
        <f t="shared" si="29"/>
        <v>0</v>
      </c>
      <c r="U52" s="72">
        <f t="shared" si="30"/>
        <v>0</v>
      </c>
      <c r="V52" s="72">
        <f t="shared" si="33"/>
        <v>0</v>
      </c>
      <c r="W52" s="72">
        <f t="shared" si="33"/>
        <v>0</v>
      </c>
      <c r="X52" s="72">
        <f t="shared" si="33"/>
        <v>0</v>
      </c>
      <c r="Z52" s="72">
        <f t="shared" si="6"/>
        <v>0</v>
      </c>
      <c r="AA52" s="72">
        <f t="shared" si="7"/>
        <v>0</v>
      </c>
      <c r="AB52" s="72">
        <f t="shared" si="8"/>
        <v>0</v>
      </c>
      <c r="AC52" s="72">
        <f t="shared" si="9"/>
        <v>0</v>
      </c>
      <c r="AD52" s="72">
        <f t="shared" si="10"/>
        <v>0</v>
      </c>
      <c r="AE52" s="72">
        <f t="shared" si="11"/>
        <v>0</v>
      </c>
      <c r="AF52" s="72">
        <f t="shared" si="12"/>
        <v>0</v>
      </c>
      <c r="AG52" s="72">
        <f t="shared" si="13"/>
        <v>0</v>
      </c>
      <c r="AH52" s="72">
        <f t="shared" si="14"/>
        <v>0</v>
      </c>
      <c r="AI52" s="72">
        <f t="shared" si="15"/>
        <v>0</v>
      </c>
      <c r="AJ52" s="72">
        <f t="shared" si="16"/>
        <v>0</v>
      </c>
      <c r="AK52" s="72">
        <f t="shared" si="17"/>
        <v>0</v>
      </c>
      <c r="AL52" s="72">
        <f t="shared" si="18"/>
        <v>0</v>
      </c>
      <c r="AM52" s="72">
        <f t="shared" si="18"/>
        <v>0</v>
      </c>
      <c r="AN52" s="72">
        <f t="shared" si="18"/>
        <v>0</v>
      </c>
    </row>
    <row r="53" spans="2:52" hidden="1">
      <c r="B53" s="60"/>
      <c r="C53" s="62"/>
      <c r="D53" s="79"/>
      <c r="E53" s="56"/>
      <c r="F53" s="76"/>
      <c r="G53" s="77">
        <f t="shared" si="3"/>
        <v>0</v>
      </c>
      <c r="H53" s="78">
        <f t="shared" si="4"/>
        <v>0</v>
      </c>
      <c r="I53" s="481"/>
      <c r="J53" s="72">
        <f t="shared" si="19"/>
        <v>0</v>
      </c>
      <c r="K53" s="72">
        <f t="shared" si="20"/>
        <v>0</v>
      </c>
      <c r="L53" s="72">
        <f t="shared" si="21"/>
        <v>0</v>
      </c>
      <c r="M53" s="72">
        <f t="shared" si="22"/>
        <v>0</v>
      </c>
      <c r="N53" s="72">
        <f t="shared" si="23"/>
        <v>0</v>
      </c>
      <c r="O53" s="72">
        <f t="shared" si="24"/>
        <v>0</v>
      </c>
      <c r="P53" s="72">
        <f t="shared" si="25"/>
        <v>0</v>
      </c>
      <c r="Q53" s="72">
        <f t="shared" si="26"/>
        <v>0</v>
      </c>
      <c r="R53" s="72">
        <f t="shared" si="27"/>
        <v>0</v>
      </c>
      <c r="S53" s="72">
        <f t="shared" si="28"/>
        <v>0</v>
      </c>
      <c r="T53" s="72">
        <f t="shared" si="29"/>
        <v>0</v>
      </c>
      <c r="U53" s="72">
        <f t="shared" si="30"/>
        <v>0</v>
      </c>
      <c r="V53" s="72">
        <f t="shared" si="33"/>
        <v>0</v>
      </c>
      <c r="W53" s="72">
        <f t="shared" si="33"/>
        <v>0</v>
      </c>
      <c r="X53" s="72">
        <f t="shared" si="33"/>
        <v>0</v>
      </c>
      <c r="Z53" s="72">
        <f t="shared" si="6"/>
        <v>0</v>
      </c>
      <c r="AA53" s="72">
        <f t="shared" si="7"/>
        <v>0</v>
      </c>
      <c r="AB53" s="72">
        <f t="shared" si="8"/>
        <v>0</v>
      </c>
      <c r="AC53" s="72">
        <f t="shared" si="9"/>
        <v>0</v>
      </c>
      <c r="AD53" s="72">
        <f t="shared" si="10"/>
        <v>0</v>
      </c>
      <c r="AE53" s="72">
        <f t="shared" si="11"/>
        <v>0</v>
      </c>
      <c r="AF53" s="72">
        <f t="shared" si="12"/>
        <v>0</v>
      </c>
      <c r="AG53" s="72">
        <f t="shared" si="13"/>
        <v>0</v>
      </c>
      <c r="AH53" s="72">
        <f t="shared" si="14"/>
        <v>0</v>
      </c>
      <c r="AI53" s="72">
        <f t="shared" si="15"/>
        <v>0</v>
      </c>
      <c r="AJ53" s="72">
        <f t="shared" si="16"/>
        <v>0</v>
      </c>
      <c r="AK53" s="72">
        <f t="shared" si="17"/>
        <v>0</v>
      </c>
      <c r="AL53" s="72">
        <f t="shared" si="18"/>
        <v>0</v>
      </c>
      <c r="AM53" s="72">
        <f t="shared" si="18"/>
        <v>0</v>
      </c>
      <c r="AN53" s="72">
        <f t="shared" si="18"/>
        <v>0</v>
      </c>
    </row>
    <row r="54" spans="2:52" hidden="1">
      <c r="B54" s="60"/>
      <c r="C54" s="62"/>
      <c r="D54" s="79"/>
      <c r="E54" s="56"/>
      <c r="F54" s="76"/>
      <c r="G54" s="77">
        <f t="shared" si="3"/>
        <v>0</v>
      </c>
      <c r="H54" s="78">
        <f t="shared" si="4"/>
        <v>0</v>
      </c>
      <c r="I54" s="481"/>
      <c r="J54" s="72">
        <f t="shared" si="19"/>
        <v>0</v>
      </c>
      <c r="K54" s="72">
        <f t="shared" si="20"/>
        <v>0</v>
      </c>
      <c r="L54" s="72">
        <f t="shared" si="21"/>
        <v>0</v>
      </c>
      <c r="M54" s="72">
        <f t="shared" si="22"/>
        <v>0</v>
      </c>
      <c r="N54" s="72">
        <f t="shared" si="23"/>
        <v>0</v>
      </c>
      <c r="O54" s="72">
        <f t="shared" si="24"/>
        <v>0</v>
      </c>
      <c r="P54" s="72">
        <f t="shared" si="25"/>
        <v>0</v>
      </c>
      <c r="Q54" s="72">
        <f t="shared" si="26"/>
        <v>0</v>
      </c>
      <c r="R54" s="72">
        <f t="shared" si="27"/>
        <v>0</v>
      </c>
      <c r="S54" s="72">
        <f t="shared" si="28"/>
        <v>0</v>
      </c>
      <c r="T54" s="72">
        <f t="shared" si="29"/>
        <v>0</v>
      </c>
      <c r="U54" s="72">
        <f t="shared" si="30"/>
        <v>0</v>
      </c>
      <c r="V54" s="72">
        <f t="shared" si="33"/>
        <v>0</v>
      </c>
      <c r="W54" s="72">
        <f t="shared" si="33"/>
        <v>0</v>
      </c>
      <c r="X54" s="72">
        <f t="shared" si="33"/>
        <v>0</v>
      </c>
      <c r="Z54" s="72">
        <f t="shared" si="6"/>
        <v>0</v>
      </c>
      <c r="AA54" s="72">
        <f t="shared" si="7"/>
        <v>0</v>
      </c>
      <c r="AB54" s="72">
        <f t="shared" si="8"/>
        <v>0</v>
      </c>
      <c r="AC54" s="72">
        <f t="shared" si="9"/>
        <v>0</v>
      </c>
      <c r="AD54" s="72">
        <f t="shared" si="10"/>
        <v>0</v>
      </c>
      <c r="AE54" s="72">
        <f t="shared" si="11"/>
        <v>0</v>
      </c>
      <c r="AF54" s="72">
        <f t="shared" si="12"/>
        <v>0</v>
      </c>
      <c r="AG54" s="72">
        <f t="shared" si="13"/>
        <v>0</v>
      </c>
      <c r="AH54" s="72">
        <f t="shared" si="14"/>
        <v>0</v>
      </c>
      <c r="AI54" s="72">
        <f t="shared" si="15"/>
        <v>0</v>
      </c>
      <c r="AJ54" s="72">
        <f t="shared" si="16"/>
        <v>0</v>
      </c>
      <c r="AK54" s="72">
        <f t="shared" si="17"/>
        <v>0</v>
      </c>
      <c r="AL54" s="72">
        <f t="shared" si="18"/>
        <v>0</v>
      </c>
      <c r="AM54" s="72">
        <f t="shared" si="18"/>
        <v>0</v>
      </c>
      <c r="AN54" s="72">
        <f t="shared" si="18"/>
        <v>0</v>
      </c>
    </row>
    <row r="55" spans="2:52" hidden="1">
      <c r="B55" s="60"/>
      <c r="C55" s="62"/>
      <c r="D55" s="79"/>
      <c r="E55" s="56"/>
      <c r="F55" s="76"/>
      <c r="G55" s="77">
        <f t="shared" si="3"/>
        <v>0</v>
      </c>
      <c r="H55" s="78">
        <f t="shared" si="4"/>
        <v>0</v>
      </c>
      <c r="I55" s="481"/>
      <c r="J55" s="72">
        <f t="shared" si="19"/>
        <v>0</v>
      </c>
      <c r="K55" s="72">
        <f t="shared" si="20"/>
        <v>0</v>
      </c>
      <c r="L55" s="72">
        <f t="shared" si="21"/>
        <v>0</v>
      </c>
      <c r="M55" s="72">
        <f t="shared" si="22"/>
        <v>0</v>
      </c>
      <c r="N55" s="72">
        <f t="shared" si="23"/>
        <v>0</v>
      </c>
      <c r="O55" s="72">
        <f t="shared" si="24"/>
        <v>0</v>
      </c>
      <c r="P55" s="72">
        <f t="shared" si="25"/>
        <v>0</v>
      </c>
      <c r="Q55" s="72">
        <f t="shared" si="26"/>
        <v>0</v>
      </c>
      <c r="R55" s="72">
        <f t="shared" si="27"/>
        <v>0</v>
      </c>
      <c r="S55" s="72">
        <f t="shared" si="28"/>
        <v>0</v>
      </c>
      <c r="T55" s="72">
        <f t="shared" si="29"/>
        <v>0</v>
      </c>
      <c r="U55" s="72">
        <f t="shared" si="30"/>
        <v>0</v>
      </c>
      <c r="V55" s="72">
        <f t="shared" si="33"/>
        <v>0</v>
      </c>
      <c r="W55" s="72">
        <f t="shared" si="33"/>
        <v>0</v>
      </c>
      <c r="X55" s="72">
        <f t="shared" si="33"/>
        <v>0</v>
      </c>
      <c r="Z55" s="72">
        <f t="shared" si="6"/>
        <v>0</v>
      </c>
      <c r="AA55" s="72">
        <f t="shared" si="7"/>
        <v>0</v>
      </c>
      <c r="AB55" s="72">
        <f t="shared" si="8"/>
        <v>0</v>
      </c>
      <c r="AC55" s="72">
        <f t="shared" si="9"/>
        <v>0</v>
      </c>
      <c r="AD55" s="72">
        <f t="shared" si="10"/>
        <v>0</v>
      </c>
      <c r="AE55" s="72">
        <f t="shared" si="11"/>
        <v>0</v>
      </c>
      <c r="AF55" s="72">
        <f t="shared" si="12"/>
        <v>0</v>
      </c>
      <c r="AG55" s="72">
        <f t="shared" si="13"/>
        <v>0</v>
      </c>
      <c r="AH55" s="72">
        <f t="shared" si="14"/>
        <v>0</v>
      </c>
      <c r="AI55" s="72">
        <f t="shared" si="15"/>
        <v>0</v>
      </c>
      <c r="AJ55" s="72">
        <f t="shared" si="16"/>
        <v>0</v>
      </c>
      <c r="AK55" s="72">
        <f t="shared" si="17"/>
        <v>0</v>
      </c>
      <c r="AL55" s="72">
        <f t="shared" si="18"/>
        <v>0</v>
      </c>
      <c r="AM55" s="72">
        <f t="shared" si="18"/>
        <v>0</v>
      </c>
      <c r="AN55" s="72">
        <f t="shared" si="18"/>
        <v>0</v>
      </c>
    </row>
    <row r="56" spans="2:52" hidden="1">
      <c r="B56" s="60"/>
      <c r="C56" s="62"/>
      <c r="D56" s="79"/>
      <c r="E56" s="56"/>
      <c r="F56" s="76"/>
      <c r="G56" s="77">
        <f t="shared" si="3"/>
        <v>0</v>
      </c>
      <c r="H56" s="78">
        <f t="shared" si="4"/>
        <v>0</v>
      </c>
      <c r="I56" s="481"/>
      <c r="J56" s="72">
        <f t="shared" si="19"/>
        <v>0</v>
      </c>
      <c r="K56" s="72">
        <f t="shared" si="20"/>
        <v>0</v>
      </c>
      <c r="L56" s="72">
        <f t="shared" si="21"/>
        <v>0</v>
      </c>
      <c r="M56" s="72">
        <f t="shared" si="22"/>
        <v>0</v>
      </c>
      <c r="N56" s="72">
        <f t="shared" si="23"/>
        <v>0</v>
      </c>
      <c r="O56" s="72">
        <f t="shared" si="24"/>
        <v>0</v>
      </c>
      <c r="P56" s="72">
        <f t="shared" si="25"/>
        <v>0</v>
      </c>
      <c r="Q56" s="72">
        <f t="shared" si="26"/>
        <v>0</v>
      </c>
      <c r="R56" s="72">
        <f t="shared" si="27"/>
        <v>0</v>
      </c>
      <c r="S56" s="72">
        <f t="shared" si="28"/>
        <v>0</v>
      </c>
      <c r="T56" s="72">
        <f t="shared" si="29"/>
        <v>0</v>
      </c>
      <c r="U56" s="72">
        <f t="shared" si="30"/>
        <v>0</v>
      </c>
      <c r="V56" s="72">
        <f t="shared" si="33"/>
        <v>0</v>
      </c>
      <c r="W56" s="72">
        <f t="shared" si="33"/>
        <v>0</v>
      </c>
      <c r="X56" s="72">
        <f t="shared" si="33"/>
        <v>0</v>
      </c>
      <c r="Z56" s="72">
        <f t="shared" si="6"/>
        <v>0</v>
      </c>
      <c r="AA56" s="72">
        <f t="shared" si="7"/>
        <v>0</v>
      </c>
      <c r="AB56" s="72">
        <f t="shared" si="8"/>
        <v>0</v>
      </c>
      <c r="AC56" s="72">
        <f t="shared" si="9"/>
        <v>0</v>
      </c>
      <c r="AD56" s="72">
        <f t="shared" si="10"/>
        <v>0</v>
      </c>
      <c r="AE56" s="72">
        <f t="shared" si="11"/>
        <v>0</v>
      </c>
      <c r="AF56" s="72">
        <f t="shared" si="12"/>
        <v>0</v>
      </c>
      <c r="AG56" s="72">
        <f t="shared" si="13"/>
        <v>0</v>
      </c>
      <c r="AH56" s="72">
        <f t="shared" si="14"/>
        <v>0</v>
      </c>
      <c r="AI56" s="72">
        <f t="shared" si="15"/>
        <v>0</v>
      </c>
      <c r="AJ56" s="72">
        <f t="shared" si="16"/>
        <v>0</v>
      </c>
      <c r="AK56" s="72">
        <f t="shared" si="17"/>
        <v>0</v>
      </c>
      <c r="AL56" s="72">
        <f t="shared" si="18"/>
        <v>0</v>
      </c>
      <c r="AM56" s="72">
        <f t="shared" si="18"/>
        <v>0</v>
      </c>
      <c r="AN56" s="72">
        <f t="shared" si="18"/>
        <v>0</v>
      </c>
    </row>
    <row r="57" spans="2:52" hidden="1">
      <c r="B57" s="60"/>
      <c r="C57" s="62"/>
      <c r="D57" s="79"/>
      <c r="E57" s="56"/>
      <c r="F57" s="76"/>
      <c r="G57" s="77">
        <f t="shared" si="3"/>
        <v>0</v>
      </c>
      <c r="H57" s="78">
        <f t="shared" si="4"/>
        <v>0</v>
      </c>
      <c r="I57" s="481"/>
      <c r="J57" s="72">
        <f t="shared" si="19"/>
        <v>0</v>
      </c>
      <c r="K57" s="72">
        <f t="shared" si="20"/>
        <v>0</v>
      </c>
      <c r="L57" s="72">
        <f t="shared" si="21"/>
        <v>0</v>
      </c>
      <c r="M57" s="72">
        <f t="shared" si="22"/>
        <v>0</v>
      </c>
      <c r="N57" s="72">
        <f t="shared" si="23"/>
        <v>0</v>
      </c>
      <c r="O57" s="72">
        <f t="shared" si="24"/>
        <v>0</v>
      </c>
      <c r="P57" s="72">
        <f t="shared" si="25"/>
        <v>0</v>
      </c>
      <c r="Q57" s="72">
        <f t="shared" si="26"/>
        <v>0</v>
      </c>
      <c r="R57" s="72">
        <f t="shared" si="27"/>
        <v>0</v>
      </c>
      <c r="S57" s="72">
        <f t="shared" si="28"/>
        <v>0</v>
      </c>
      <c r="T57" s="72">
        <f t="shared" si="29"/>
        <v>0</v>
      </c>
      <c r="U57" s="72">
        <f t="shared" si="30"/>
        <v>0</v>
      </c>
      <c r="V57" s="72">
        <f t="shared" si="33"/>
        <v>0</v>
      </c>
      <c r="W57" s="72">
        <f t="shared" si="33"/>
        <v>0</v>
      </c>
      <c r="X57" s="72">
        <f t="shared" si="33"/>
        <v>0</v>
      </c>
      <c r="Z57" s="72">
        <f t="shared" si="6"/>
        <v>0</v>
      </c>
      <c r="AA57" s="72">
        <f t="shared" si="7"/>
        <v>0</v>
      </c>
      <c r="AB57" s="72">
        <f t="shared" si="8"/>
        <v>0</v>
      </c>
      <c r="AC57" s="72">
        <f t="shared" si="9"/>
        <v>0</v>
      </c>
      <c r="AD57" s="72">
        <f t="shared" si="10"/>
        <v>0</v>
      </c>
      <c r="AE57" s="72">
        <f t="shared" si="11"/>
        <v>0</v>
      </c>
      <c r="AF57" s="72">
        <f t="shared" si="12"/>
        <v>0</v>
      </c>
      <c r="AG57" s="72">
        <f t="shared" si="13"/>
        <v>0</v>
      </c>
      <c r="AH57" s="72">
        <f t="shared" si="14"/>
        <v>0</v>
      </c>
      <c r="AI57" s="72">
        <f t="shared" si="15"/>
        <v>0</v>
      </c>
      <c r="AJ57" s="72">
        <f t="shared" si="16"/>
        <v>0</v>
      </c>
      <c r="AK57" s="72">
        <f t="shared" si="17"/>
        <v>0</v>
      </c>
      <c r="AL57" s="72">
        <f t="shared" si="18"/>
        <v>0</v>
      </c>
      <c r="AM57" s="72">
        <f t="shared" si="18"/>
        <v>0</v>
      </c>
      <c r="AN57" s="72">
        <f t="shared" si="18"/>
        <v>0</v>
      </c>
    </row>
    <row r="58" spans="2:52" hidden="1">
      <c r="B58" s="60"/>
      <c r="C58" s="62"/>
      <c r="D58" s="79"/>
      <c r="E58" s="56"/>
      <c r="F58" s="76"/>
      <c r="G58" s="77">
        <f t="shared" si="3"/>
        <v>0</v>
      </c>
      <c r="H58" s="78">
        <f t="shared" si="4"/>
        <v>0</v>
      </c>
      <c r="I58" s="481"/>
      <c r="J58" s="72">
        <f t="shared" si="19"/>
        <v>0</v>
      </c>
      <c r="K58" s="72">
        <f t="shared" si="20"/>
        <v>0</v>
      </c>
      <c r="L58" s="72">
        <f t="shared" si="21"/>
        <v>0</v>
      </c>
      <c r="M58" s="72">
        <f t="shared" si="22"/>
        <v>0</v>
      </c>
      <c r="N58" s="72">
        <f t="shared" si="23"/>
        <v>0</v>
      </c>
      <c r="O58" s="72">
        <f t="shared" si="24"/>
        <v>0</v>
      </c>
      <c r="P58" s="72">
        <f t="shared" si="25"/>
        <v>0</v>
      </c>
      <c r="Q58" s="72">
        <f t="shared" si="26"/>
        <v>0</v>
      </c>
      <c r="R58" s="72">
        <f t="shared" si="27"/>
        <v>0</v>
      </c>
      <c r="S58" s="72">
        <f t="shared" si="28"/>
        <v>0</v>
      </c>
      <c r="T58" s="72">
        <f t="shared" si="29"/>
        <v>0</v>
      </c>
      <c r="U58" s="72">
        <f t="shared" si="30"/>
        <v>0</v>
      </c>
      <c r="V58" s="72">
        <f t="shared" si="33"/>
        <v>0</v>
      </c>
      <c r="W58" s="72">
        <f t="shared" si="33"/>
        <v>0</v>
      </c>
      <c r="X58" s="72">
        <f t="shared" si="33"/>
        <v>0</v>
      </c>
      <c r="Z58" s="72">
        <f t="shared" si="6"/>
        <v>0</v>
      </c>
      <c r="AA58" s="72">
        <f t="shared" si="7"/>
        <v>0</v>
      </c>
      <c r="AB58" s="72">
        <f t="shared" si="8"/>
        <v>0</v>
      </c>
      <c r="AC58" s="72">
        <f t="shared" si="9"/>
        <v>0</v>
      </c>
      <c r="AD58" s="72">
        <f t="shared" si="10"/>
        <v>0</v>
      </c>
      <c r="AE58" s="72">
        <f t="shared" si="11"/>
        <v>0</v>
      </c>
      <c r="AF58" s="72">
        <f t="shared" si="12"/>
        <v>0</v>
      </c>
      <c r="AG58" s="72">
        <f t="shared" si="13"/>
        <v>0</v>
      </c>
      <c r="AH58" s="72">
        <f t="shared" si="14"/>
        <v>0</v>
      </c>
      <c r="AI58" s="72">
        <f t="shared" si="15"/>
        <v>0</v>
      </c>
      <c r="AJ58" s="72">
        <f t="shared" si="16"/>
        <v>0</v>
      </c>
      <c r="AK58" s="72">
        <f t="shared" si="17"/>
        <v>0</v>
      </c>
      <c r="AL58" s="72">
        <f t="shared" si="18"/>
        <v>0</v>
      </c>
      <c r="AM58" s="72">
        <f t="shared" si="18"/>
        <v>0</v>
      </c>
      <c r="AN58" s="72">
        <f t="shared" si="18"/>
        <v>0</v>
      </c>
    </row>
    <row r="59" spans="2:52" hidden="1">
      <c r="B59" s="60"/>
      <c r="C59" s="62"/>
      <c r="D59" s="79"/>
      <c r="E59" s="56"/>
      <c r="F59" s="76"/>
      <c r="G59" s="77">
        <f t="shared" si="3"/>
        <v>0</v>
      </c>
      <c r="H59" s="78">
        <f t="shared" si="4"/>
        <v>0</v>
      </c>
      <c r="I59" s="481"/>
      <c r="J59" s="72">
        <f t="shared" si="19"/>
        <v>0</v>
      </c>
      <c r="K59" s="72">
        <f t="shared" si="20"/>
        <v>0</v>
      </c>
      <c r="L59" s="72">
        <f t="shared" si="21"/>
        <v>0</v>
      </c>
      <c r="M59" s="72">
        <f t="shared" si="22"/>
        <v>0</v>
      </c>
      <c r="N59" s="72">
        <f t="shared" si="23"/>
        <v>0</v>
      </c>
      <c r="O59" s="72">
        <f t="shared" si="24"/>
        <v>0</v>
      </c>
      <c r="P59" s="72">
        <f t="shared" si="25"/>
        <v>0</v>
      </c>
      <c r="Q59" s="72">
        <f t="shared" si="26"/>
        <v>0</v>
      </c>
      <c r="R59" s="72">
        <f t="shared" si="27"/>
        <v>0</v>
      </c>
      <c r="S59" s="72">
        <f t="shared" si="28"/>
        <v>0</v>
      </c>
      <c r="T59" s="72">
        <f t="shared" si="29"/>
        <v>0</v>
      </c>
      <c r="U59" s="72">
        <f t="shared" si="30"/>
        <v>0</v>
      </c>
      <c r="V59" s="72">
        <f t="shared" si="33"/>
        <v>0</v>
      </c>
      <c r="W59" s="72">
        <f t="shared" si="33"/>
        <v>0</v>
      </c>
      <c r="X59" s="72">
        <f t="shared" si="33"/>
        <v>0</v>
      </c>
      <c r="Z59" s="72">
        <f t="shared" si="6"/>
        <v>0</v>
      </c>
      <c r="AA59" s="72">
        <f t="shared" si="7"/>
        <v>0</v>
      </c>
      <c r="AB59" s="72">
        <f t="shared" si="8"/>
        <v>0</v>
      </c>
      <c r="AC59" s="72">
        <f t="shared" si="9"/>
        <v>0</v>
      </c>
      <c r="AD59" s="72">
        <f t="shared" si="10"/>
        <v>0</v>
      </c>
      <c r="AE59" s="72">
        <f t="shared" si="11"/>
        <v>0</v>
      </c>
      <c r="AF59" s="72">
        <f t="shared" si="12"/>
        <v>0</v>
      </c>
      <c r="AG59" s="72">
        <f t="shared" si="13"/>
        <v>0</v>
      </c>
      <c r="AH59" s="72">
        <f t="shared" si="14"/>
        <v>0</v>
      </c>
      <c r="AI59" s="72">
        <f t="shared" si="15"/>
        <v>0</v>
      </c>
      <c r="AJ59" s="72">
        <f t="shared" si="16"/>
        <v>0</v>
      </c>
      <c r="AK59" s="72">
        <f t="shared" si="17"/>
        <v>0</v>
      </c>
      <c r="AL59" s="72">
        <f t="shared" si="18"/>
        <v>0</v>
      </c>
      <c r="AM59" s="72">
        <f t="shared" si="18"/>
        <v>0</v>
      </c>
      <c r="AN59" s="72">
        <f t="shared" si="18"/>
        <v>0</v>
      </c>
    </row>
    <row r="60" spans="2:52" hidden="1">
      <c r="B60" s="60"/>
      <c r="C60" s="62"/>
      <c r="D60" s="79"/>
      <c r="E60" s="56"/>
      <c r="F60" s="76"/>
      <c r="G60" s="77">
        <f t="shared" si="3"/>
        <v>0</v>
      </c>
      <c r="H60" s="78">
        <f t="shared" si="4"/>
        <v>0</v>
      </c>
      <c r="I60" s="481"/>
      <c r="J60" s="72">
        <f t="shared" si="19"/>
        <v>0</v>
      </c>
      <c r="K60" s="72">
        <f t="shared" si="20"/>
        <v>0</v>
      </c>
      <c r="L60" s="72">
        <f t="shared" si="21"/>
        <v>0</v>
      </c>
      <c r="M60" s="72">
        <f t="shared" si="22"/>
        <v>0</v>
      </c>
      <c r="N60" s="72">
        <f t="shared" si="23"/>
        <v>0</v>
      </c>
      <c r="O60" s="72">
        <f t="shared" si="24"/>
        <v>0</v>
      </c>
      <c r="P60" s="72">
        <f t="shared" si="25"/>
        <v>0</v>
      </c>
      <c r="Q60" s="72">
        <f t="shared" si="26"/>
        <v>0</v>
      </c>
      <c r="R60" s="72">
        <f t="shared" si="27"/>
        <v>0</v>
      </c>
      <c r="S60" s="72">
        <f t="shared" si="28"/>
        <v>0</v>
      </c>
      <c r="T60" s="72">
        <f t="shared" si="29"/>
        <v>0</v>
      </c>
      <c r="U60" s="72">
        <f t="shared" si="30"/>
        <v>0</v>
      </c>
      <c r="V60" s="72">
        <f t="shared" si="33"/>
        <v>0</v>
      </c>
      <c r="W60" s="72">
        <f t="shared" si="33"/>
        <v>0</v>
      </c>
      <c r="X60" s="72">
        <f t="shared" si="33"/>
        <v>0</v>
      </c>
      <c r="Z60" s="72">
        <f t="shared" si="6"/>
        <v>0</v>
      </c>
      <c r="AA60" s="72">
        <f t="shared" si="7"/>
        <v>0</v>
      </c>
      <c r="AB60" s="72">
        <f t="shared" si="8"/>
        <v>0</v>
      </c>
      <c r="AC60" s="72">
        <f t="shared" si="9"/>
        <v>0</v>
      </c>
      <c r="AD60" s="72">
        <f t="shared" si="10"/>
        <v>0</v>
      </c>
      <c r="AE60" s="72">
        <f t="shared" si="11"/>
        <v>0</v>
      </c>
      <c r="AF60" s="72">
        <f t="shared" si="12"/>
        <v>0</v>
      </c>
      <c r="AG60" s="72">
        <f t="shared" si="13"/>
        <v>0</v>
      </c>
      <c r="AH60" s="72">
        <f t="shared" si="14"/>
        <v>0</v>
      </c>
      <c r="AI60" s="72">
        <f t="shared" si="15"/>
        <v>0</v>
      </c>
      <c r="AJ60" s="72">
        <f t="shared" si="16"/>
        <v>0</v>
      </c>
      <c r="AK60" s="72">
        <f t="shared" si="17"/>
        <v>0</v>
      </c>
      <c r="AL60" s="72">
        <f t="shared" si="18"/>
        <v>0</v>
      </c>
      <c r="AM60" s="72">
        <f t="shared" si="18"/>
        <v>0</v>
      </c>
      <c r="AN60" s="72">
        <f t="shared" si="18"/>
        <v>0</v>
      </c>
    </row>
    <row r="61" spans="2:52" hidden="1">
      <c r="B61" s="60"/>
      <c r="C61" s="62"/>
      <c r="D61" s="79"/>
      <c r="E61" s="56"/>
      <c r="F61" s="76"/>
      <c r="G61" s="77">
        <f t="shared" si="3"/>
        <v>0</v>
      </c>
      <c r="H61" s="78">
        <f t="shared" si="4"/>
        <v>0</v>
      </c>
      <c r="I61" s="481"/>
      <c r="J61" s="72">
        <f t="shared" si="19"/>
        <v>0</v>
      </c>
      <c r="K61" s="72">
        <f t="shared" si="20"/>
        <v>0</v>
      </c>
      <c r="L61" s="72">
        <f t="shared" si="21"/>
        <v>0</v>
      </c>
      <c r="M61" s="72">
        <f t="shared" si="22"/>
        <v>0</v>
      </c>
      <c r="N61" s="72">
        <f t="shared" si="23"/>
        <v>0</v>
      </c>
      <c r="O61" s="72">
        <f t="shared" si="24"/>
        <v>0</v>
      </c>
      <c r="P61" s="72">
        <f t="shared" si="25"/>
        <v>0</v>
      </c>
      <c r="Q61" s="72">
        <f t="shared" si="26"/>
        <v>0</v>
      </c>
      <c r="R61" s="72">
        <f t="shared" si="27"/>
        <v>0</v>
      </c>
      <c r="S61" s="72">
        <f t="shared" si="28"/>
        <v>0</v>
      </c>
      <c r="T61" s="72">
        <f t="shared" si="29"/>
        <v>0</v>
      </c>
      <c r="U61" s="72">
        <f t="shared" si="30"/>
        <v>0</v>
      </c>
      <c r="V61" s="72">
        <f t="shared" si="33"/>
        <v>0</v>
      </c>
      <c r="W61" s="72">
        <f t="shared" si="33"/>
        <v>0</v>
      </c>
      <c r="X61" s="72">
        <f t="shared" si="33"/>
        <v>0</v>
      </c>
      <c r="Z61" s="72">
        <f t="shared" si="6"/>
        <v>0</v>
      </c>
      <c r="AA61" s="72">
        <f t="shared" si="7"/>
        <v>0</v>
      </c>
      <c r="AB61" s="72">
        <f t="shared" si="8"/>
        <v>0</v>
      </c>
      <c r="AC61" s="72">
        <f t="shared" si="9"/>
        <v>0</v>
      </c>
      <c r="AD61" s="72">
        <f t="shared" si="10"/>
        <v>0</v>
      </c>
      <c r="AE61" s="72">
        <f t="shared" si="11"/>
        <v>0</v>
      </c>
      <c r="AF61" s="72">
        <f t="shared" si="12"/>
        <v>0</v>
      </c>
      <c r="AG61" s="72">
        <f t="shared" si="13"/>
        <v>0</v>
      </c>
      <c r="AH61" s="72">
        <f t="shared" si="14"/>
        <v>0</v>
      </c>
      <c r="AI61" s="72">
        <f t="shared" si="15"/>
        <v>0</v>
      </c>
      <c r="AJ61" s="72">
        <f t="shared" si="16"/>
        <v>0</v>
      </c>
      <c r="AK61" s="72">
        <f t="shared" si="17"/>
        <v>0</v>
      </c>
      <c r="AL61" s="72">
        <f t="shared" si="18"/>
        <v>0</v>
      </c>
      <c r="AM61" s="72">
        <f t="shared" si="18"/>
        <v>0</v>
      </c>
      <c r="AN61" s="72">
        <f t="shared" si="18"/>
        <v>0</v>
      </c>
    </row>
    <row r="62" spans="2:52" ht="17.25" hidden="1" thickBot="1">
      <c r="B62" s="100"/>
      <c r="C62" s="84"/>
      <c r="D62" s="171"/>
      <c r="E62" s="86"/>
      <c r="F62" s="163"/>
      <c r="G62" s="161">
        <f t="shared" si="3"/>
        <v>0</v>
      </c>
      <c r="H62" s="162">
        <f t="shared" si="4"/>
        <v>0</v>
      </c>
      <c r="I62" s="481"/>
      <c r="J62" s="72">
        <f t="shared" si="19"/>
        <v>0</v>
      </c>
      <c r="K62" s="72">
        <f t="shared" si="20"/>
        <v>0</v>
      </c>
      <c r="L62" s="72">
        <f t="shared" si="21"/>
        <v>0</v>
      </c>
      <c r="M62" s="72">
        <f t="shared" si="22"/>
        <v>0</v>
      </c>
      <c r="N62" s="72">
        <f t="shared" si="23"/>
        <v>0</v>
      </c>
      <c r="O62" s="72">
        <f t="shared" si="24"/>
        <v>0</v>
      </c>
      <c r="P62" s="72">
        <f t="shared" si="25"/>
        <v>0</v>
      </c>
      <c r="Q62" s="72">
        <f t="shared" si="26"/>
        <v>0</v>
      </c>
      <c r="R62" s="72">
        <f t="shared" si="27"/>
        <v>0</v>
      </c>
      <c r="S62" s="72">
        <f t="shared" si="28"/>
        <v>0</v>
      </c>
      <c r="T62" s="72">
        <f t="shared" si="29"/>
        <v>0</v>
      </c>
      <c r="U62" s="72">
        <f t="shared" si="30"/>
        <v>0</v>
      </c>
      <c r="V62" s="72">
        <f t="shared" si="33"/>
        <v>0</v>
      </c>
      <c r="W62" s="72">
        <f t="shared" si="33"/>
        <v>0</v>
      </c>
      <c r="X62" s="72">
        <f t="shared" si="33"/>
        <v>0</v>
      </c>
      <c r="Z62" s="72">
        <f t="shared" si="6"/>
        <v>0</v>
      </c>
      <c r="AA62" s="72">
        <f t="shared" si="7"/>
        <v>0</v>
      </c>
      <c r="AB62" s="72">
        <f t="shared" si="8"/>
        <v>0</v>
      </c>
      <c r="AC62" s="72">
        <f t="shared" si="9"/>
        <v>0</v>
      </c>
      <c r="AD62" s="72">
        <f t="shared" si="10"/>
        <v>0</v>
      </c>
      <c r="AE62" s="72">
        <f t="shared" si="11"/>
        <v>0</v>
      </c>
      <c r="AF62" s="72">
        <f t="shared" si="12"/>
        <v>0</v>
      </c>
      <c r="AG62" s="72">
        <f t="shared" si="13"/>
        <v>0</v>
      </c>
      <c r="AH62" s="72">
        <f t="shared" si="14"/>
        <v>0</v>
      </c>
      <c r="AI62" s="72">
        <f t="shared" si="15"/>
        <v>0</v>
      </c>
      <c r="AJ62" s="72">
        <f t="shared" si="16"/>
        <v>0</v>
      </c>
      <c r="AK62" s="72">
        <f t="shared" si="17"/>
        <v>0</v>
      </c>
      <c r="AL62" s="72">
        <f t="shared" si="18"/>
        <v>0</v>
      </c>
      <c r="AM62" s="72">
        <f t="shared" si="18"/>
        <v>0</v>
      </c>
      <c r="AN62" s="72">
        <f t="shared" si="18"/>
        <v>0</v>
      </c>
    </row>
    <row r="63" spans="2:52" ht="17.25" thickBot="1">
      <c r="C63" s="853" t="s">
        <v>45</v>
      </c>
      <c r="D63" s="854"/>
      <c r="E63" s="63">
        <f>SUM(E3:E62)</f>
        <v>2342.67</v>
      </c>
      <c r="F63" s="69"/>
      <c r="G63" s="64">
        <f>SUM(G3:G62)</f>
        <v>252.67500000000001</v>
      </c>
      <c r="H63" s="65">
        <f>SUM(H3:H62)</f>
        <v>2089.9949999999999</v>
      </c>
      <c r="I63" s="483"/>
      <c r="J63" s="73">
        <f>SUM(J3:J62)</f>
        <v>166.5</v>
      </c>
      <c r="K63" s="73">
        <f t="shared" ref="K63:X63" si="34">SUM(K3:K62)</f>
        <v>75</v>
      </c>
      <c r="L63" s="73">
        <f t="shared" si="34"/>
        <v>77</v>
      </c>
      <c r="M63" s="73">
        <f t="shared" si="34"/>
        <v>0</v>
      </c>
      <c r="N63" s="73">
        <f t="shared" si="34"/>
        <v>415.93999999999994</v>
      </c>
      <c r="O63" s="73">
        <f t="shared" si="34"/>
        <v>248.44</v>
      </c>
      <c r="P63" s="73">
        <f t="shared" si="34"/>
        <v>409.03999999999996</v>
      </c>
      <c r="Q63" s="73">
        <f t="shared" si="34"/>
        <v>0</v>
      </c>
      <c r="R63" s="73">
        <f t="shared" si="34"/>
        <v>47.815000000000005</v>
      </c>
      <c r="S63" s="73">
        <f t="shared" si="34"/>
        <v>48.599999999999994</v>
      </c>
      <c r="T63" s="73">
        <f t="shared" si="34"/>
        <v>0</v>
      </c>
      <c r="U63" s="73">
        <f t="shared" si="34"/>
        <v>0</v>
      </c>
      <c r="V63" s="73">
        <f t="shared" si="34"/>
        <v>191.88</v>
      </c>
      <c r="W63" s="73">
        <f t="shared" si="34"/>
        <v>409.78</v>
      </c>
      <c r="X63" s="73">
        <f t="shared" si="34"/>
        <v>0</v>
      </c>
      <c r="Y63" s="73"/>
      <c r="Z63" s="73">
        <f>SUM(Z3:Z62)</f>
        <v>52.5</v>
      </c>
      <c r="AA63" s="73">
        <f t="shared" ref="AA63:AN63" si="35">SUM(AA3:AA62)</f>
        <v>75</v>
      </c>
      <c r="AB63" s="73">
        <f t="shared" si="35"/>
        <v>0</v>
      </c>
      <c r="AC63" s="73">
        <f t="shared" si="35"/>
        <v>0</v>
      </c>
      <c r="AD63" s="73">
        <f t="shared" si="35"/>
        <v>117.31</v>
      </c>
      <c r="AE63" s="73">
        <f t="shared" si="35"/>
        <v>0</v>
      </c>
      <c r="AF63" s="73">
        <f t="shared" si="35"/>
        <v>0</v>
      </c>
      <c r="AG63" s="73">
        <f t="shared" si="35"/>
        <v>0</v>
      </c>
      <c r="AH63" s="73">
        <f t="shared" si="35"/>
        <v>7.8650000000000002</v>
      </c>
      <c r="AI63" s="73">
        <f t="shared" si="35"/>
        <v>0</v>
      </c>
      <c r="AJ63" s="73">
        <f t="shared" si="35"/>
        <v>0</v>
      </c>
      <c r="AK63" s="73">
        <f t="shared" si="35"/>
        <v>0</v>
      </c>
      <c r="AL63" s="73">
        <f t="shared" si="35"/>
        <v>0</v>
      </c>
      <c r="AM63" s="73">
        <f t="shared" si="35"/>
        <v>0</v>
      </c>
      <c r="AN63" s="73">
        <f t="shared" si="35"/>
        <v>0</v>
      </c>
      <c r="AO63" s="73"/>
      <c r="AP63" s="73"/>
    </row>
    <row r="64" spans="2:52">
      <c r="H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Z64" s="59"/>
      <c r="AA64" s="59"/>
      <c r="AB64" s="59"/>
      <c r="AC64" s="59"/>
      <c r="AD64" s="59"/>
      <c r="AE64" s="59"/>
      <c r="AF64" s="59"/>
      <c r="AG64" s="59"/>
      <c r="AH64" s="59"/>
      <c r="AI64" s="59"/>
    </row>
    <row r="70" spans="2:38">
      <c r="B70" s="55"/>
      <c r="E70" s="59"/>
      <c r="F70" s="70"/>
      <c r="I70" s="55"/>
      <c r="AL70" s="55"/>
    </row>
  </sheetData>
  <mergeCells count="7">
    <mergeCell ref="AR18:AT18"/>
    <mergeCell ref="C63:D63"/>
    <mergeCell ref="AV23:AW23"/>
    <mergeCell ref="AY23:AZ23"/>
    <mergeCell ref="AS25:AT25"/>
    <mergeCell ref="AS27:AT28"/>
    <mergeCell ref="B19:H35"/>
  </mergeCells>
  <dataValidations count="4">
    <dataValidation type="list" allowBlank="1" showInputMessage="1" showErrorMessage="1" sqref="F3:F18 F36:F62">
      <formula1>$AQ$17:$AQ$19</formula1>
    </dataValidation>
    <dataValidation type="list" allowBlank="1" showInputMessage="1" showErrorMessage="1" sqref="D3:D5 D9:D18 D36:D62">
      <formula1>$AQ$2:$AQ$16</formula1>
    </dataValidation>
    <dataValidation type="list" allowBlank="1" showInputMessage="1" showErrorMessage="1" sqref="D6:D7">
      <formula1>$AQ$2:$AQ$12</formula1>
    </dataValidation>
    <dataValidation type="list" allowBlank="1" showInputMessage="1" showErrorMessage="1" sqref="D8">
      <formula1>$AH$2:$AH$12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AZ70"/>
  <sheetViews>
    <sheetView workbookViewId="0">
      <selection activeCell="AT2" sqref="AT2:AT16"/>
    </sheetView>
  </sheetViews>
  <sheetFormatPr defaultRowHeight="16.5"/>
  <cols>
    <col min="1" max="1" width="1" style="55" customWidth="1"/>
    <col min="2" max="2" width="6.5703125" style="134" bestFit="1" customWidth="1"/>
    <col min="3" max="3" width="16.7109375" style="55" customWidth="1"/>
    <col min="4" max="4" width="17.5703125" style="55" customWidth="1"/>
    <col min="5" max="5" width="13.7109375" style="55" customWidth="1"/>
    <col min="6" max="6" width="13.7109375" style="134" customWidth="1"/>
    <col min="7" max="8" width="13.7109375" style="55" customWidth="1"/>
    <col min="9" max="9" width="8.42578125" style="479" customWidth="1"/>
    <col min="10" max="10" width="13.5703125" style="55" hidden="1" customWidth="1"/>
    <col min="11" max="11" width="7.85546875" style="55" hidden="1" customWidth="1"/>
    <col min="12" max="12" width="7.42578125" style="55" hidden="1" customWidth="1"/>
    <col min="13" max="13" width="9.7109375" style="55" hidden="1" customWidth="1"/>
    <col min="14" max="14" width="7.42578125" style="55" hidden="1" customWidth="1"/>
    <col min="15" max="15" width="14.5703125" style="55" hidden="1" customWidth="1"/>
    <col min="16" max="16" width="16.85546875" style="55" hidden="1" customWidth="1"/>
    <col min="17" max="17" width="7.7109375" style="55" hidden="1" customWidth="1"/>
    <col min="18" max="18" width="8.85546875" style="55" hidden="1" customWidth="1"/>
    <col min="19" max="19" width="8" style="55" hidden="1" customWidth="1"/>
    <col min="20" max="20" width="7.42578125" style="55" hidden="1" customWidth="1"/>
    <col min="21" max="21" width="2" style="55" hidden="1" customWidth="1"/>
    <col min="22" max="22" width="9.7109375" style="55" hidden="1" customWidth="1"/>
    <col min="23" max="24" width="7.42578125" style="55" hidden="1" customWidth="1"/>
    <col min="25" max="25" width="1.7109375" style="55" hidden="1" customWidth="1"/>
    <col min="26" max="26" width="13.5703125" style="55" hidden="1" customWidth="1"/>
    <col min="27" max="27" width="7.85546875" style="55" hidden="1" customWidth="1"/>
    <col min="28" max="28" width="7.42578125" style="55" hidden="1" customWidth="1"/>
    <col min="29" max="29" width="9.7109375" style="55" hidden="1" customWidth="1"/>
    <col min="30" max="30" width="7.42578125" style="55" hidden="1" customWidth="1"/>
    <col min="31" max="31" width="14.5703125" style="55" hidden="1" customWidth="1"/>
    <col min="32" max="32" width="16.85546875" style="55" hidden="1" customWidth="1"/>
    <col min="33" max="33" width="7.7109375" style="55" hidden="1" customWidth="1"/>
    <col min="34" max="34" width="8.85546875" style="55" hidden="1" customWidth="1"/>
    <col min="35" max="35" width="8" style="55" hidden="1" customWidth="1"/>
    <col min="36" max="36" width="7.42578125" style="55" hidden="1" customWidth="1"/>
    <col min="37" max="37" width="13.42578125" style="55" hidden="1" customWidth="1"/>
    <col min="38" max="38" width="10.28515625" style="450" hidden="1" customWidth="1"/>
    <col min="39" max="40" width="7.42578125" style="55" hidden="1" customWidth="1"/>
    <col min="41" max="41" width="4" style="55" hidden="1" customWidth="1"/>
    <col min="42" max="42" width="4.42578125" style="55" customWidth="1"/>
    <col min="43" max="43" width="16.85546875" style="55" bestFit="1" customWidth="1"/>
    <col min="44" max="47" width="12.7109375" style="55" customWidth="1"/>
    <col min="48" max="48" width="8.28515625" style="55" bestFit="1" customWidth="1"/>
    <col min="49" max="49" width="10.5703125" style="55" bestFit="1" customWidth="1"/>
    <col min="50" max="50" width="3.28515625" style="55" customWidth="1"/>
    <col min="51" max="51" width="18.42578125" style="55" bestFit="1" customWidth="1"/>
    <col min="52" max="52" width="11.7109375" style="55" bestFit="1" customWidth="1"/>
    <col min="53" max="16384" width="9.140625" style="55"/>
  </cols>
  <sheetData>
    <row r="1" spans="2:51" ht="17.25" thickBot="1">
      <c r="AR1" s="134" t="s">
        <v>66</v>
      </c>
      <c r="AS1" s="134" t="s">
        <v>67</v>
      </c>
      <c r="AT1" s="81" t="s">
        <v>65</v>
      </c>
      <c r="AV1" s="134"/>
    </row>
    <row r="2" spans="2:51" ht="17.25" thickBot="1">
      <c r="B2" s="68" t="s">
        <v>1</v>
      </c>
      <c r="C2" s="66" t="s">
        <v>0</v>
      </c>
      <c r="D2" s="66" t="s">
        <v>63</v>
      </c>
      <c r="E2" s="66" t="s">
        <v>2</v>
      </c>
      <c r="F2" s="66" t="s">
        <v>64</v>
      </c>
      <c r="G2" s="66" t="s">
        <v>3</v>
      </c>
      <c r="H2" s="67" t="s">
        <v>4</v>
      </c>
      <c r="I2" s="480"/>
      <c r="J2" s="75" t="s">
        <v>57</v>
      </c>
      <c r="K2" s="74" t="s">
        <v>51</v>
      </c>
      <c r="L2" s="74" t="s">
        <v>120</v>
      </c>
      <c r="M2" s="74" t="s">
        <v>36</v>
      </c>
      <c r="N2" s="74" t="s">
        <v>56</v>
      </c>
      <c r="O2" s="74" t="s">
        <v>125</v>
      </c>
      <c r="P2" s="74" t="s">
        <v>54</v>
      </c>
      <c r="Q2" s="74" t="s">
        <v>59</v>
      </c>
      <c r="R2" s="74" t="s">
        <v>40</v>
      </c>
      <c r="S2" s="74" t="s">
        <v>55</v>
      </c>
      <c r="T2" s="74" t="s">
        <v>58</v>
      </c>
      <c r="U2" s="74" t="s">
        <v>52</v>
      </c>
      <c r="V2" s="451" t="str">
        <f>AQ14</f>
        <v>ESTUDOS</v>
      </c>
      <c r="W2" s="74" t="str">
        <f>AQ15</f>
        <v>MALU</v>
      </c>
      <c r="X2" s="74">
        <f>AQ16</f>
        <v>0</v>
      </c>
      <c r="Z2" s="75" t="s">
        <v>57</v>
      </c>
      <c r="AA2" s="74" t="s">
        <v>51</v>
      </c>
      <c r="AB2" s="74" t="s">
        <v>120</v>
      </c>
      <c r="AC2" s="74" t="s">
        <v>36</v>
      </c>
      <c r="AD2" s="74" t="s">
        <v>56</v>
      </c>
      <c r="AE2" s="74" t="s">
        <v>125</v>
      </c>
      <c r="AF2" s="74" t="s">
        <v>54</v>
      </c>
      <c r="AG2" s="74" t="s">
        <v>59</v>
      </c>
      <c r="AH2" s="74" t="s">
        <v>40</v>
      </c>
      <c r="AI2" s="74" t="s">
        <v>55</v>
      </c>
      <c r="AJ2" s="74" t="s">
        <v>58</v>
      </c>
      <c r="AK2" s="74" t="s">
        <v>52</v>
      </c>
      <c r="AL2" s="451" t="str">
        <f>AQ14</f>
        <v>ESTUDOS</v>
      </c>
      <c r="AM2" s="74" t="str">
        <f>AQ15</f>
        <v>MALU</v>
      </c>
      <c r="AN2" s="74">
        <f>AQ16</f>
        <v>0</v>
      </c>
      <c r="AO2" s="74"/>
      <c r="AP2" s="74"/>
      <c r="AQ2" s="71" t="s">
        <v>57</v>
      </c>
      <c r="AR2" s="97">
        <f t="shared" ref="AR2:AR16" si="0">AT2+AS2</f>
        <v>0</v>
      </c>
      <c r="AS2" s="58">
        <f>Z63</f>
        <v>0</v>
      </c>
      <c r="AT2" s="58">
        <f>J63</f>
        <v>0</v>
      </c>
    </row>
    <row r="3" spans="2:51">
      <c r="B3" s="60">
        <v>20</v>
      </c>
      <c r="C3" s="62" t="s">
        <v>532</v>
      </c>
      <c r="D3" s="79" t="s">
        <v>55</v>
      </c>
      <c r="E3" s="56">
        <v>29.7</v>
      </c>
      <c r="F3" s="76" t="s">
        <v>65</v>
      </c>
      <c r="G3" s="157">
        <f>IF(F3="MARCIA",E3,IF(F3="AMBOS",E3/2,0))</f>
        <v>0</v>
      </c>
      <c r="H3" s="158">
        <f>IF(F3="LUCIANO",E3,IF(F3="AMBOS",E3/2,0))</f>
        <v>29.7</v>
      </c>
      <c r="I3" s="481" t="s">
        <v>533</v>
      </c>
      <c r="J3" s="72">
        <f>IF($D3="ALIMENTAÇÃO",$H3,0)</f>
        <v>0</v>
      </c>
      <c r="K3" s="72">
        <f>IF($D3="ANIMAIS",$H3,0)</f>
        <v>0</v>
      </c>
      <c r="L3" s="72">
        <f>IF($D3="FILHO",$H3,0)</f>
        <v>0</v>
      </c>
      <c r="M3" s="72">
        <f>IF($D3="GASOLINA",$H3,0)</f>
        <v>0</v>
      </c>
      <c r="N3" s="72">
        <f>IF($D3="LAZER",$H3,0)</f>
        <v>0</v>
      </c>
      <c r="O3" s="72">
        <f>IF($D3="MANUT. IMÓVEL",$H3,0)</f>
        <v>0</v>
      </c>
      <c r="P3" s="72">
        <f>IF($D3="MANUT. VEICULAR",$H3,0)</f>
        <v>0</v>
      </c>
      <c r="Q3" s="72">
        <f>IF($D3="MÓVEIS",$H3,0)</f>
        <v>0</v>
      </c>
      <c r="R3" s="72">
        <f>IF($D3="OUTROS",$H3,0)</f>
        <v>0</v>
      </c>
      <c r="S3" s="72">
        <f>IF($D3="PLANOS",$H3,0)</f>
        <v>29.7</v>
      </c>
      <c r="T3" s="72">
        <f>IF($D3="SAÚDE",$H3,0)</f>
        <v>0</v>
      </c>
      <c r="U3" s="72">
        <f>IF($D3="TRANSPORTE",$H3,0)</f>
        <v>0</v>
      </c>
      <c r="V3" s="72">
        <f>IF($D3=V$2,$H3,0)</f>
        <v>0</v>
      </c>
      <c r="W3" s="72">
        <f t="shared" ref="W3:X18" si="1">IF($D3=W$2,$H3,0)</f>
        <v>0</v>
      </c>
      <c r="X3" s="72">
        <f t="shared" si="1"/>
        <v>0</v>
      </c>
      <c r="Z3" s="72">
        <f>IF($D3="ALIMENTAÇÃO",$G3,0)</f>
        <v>0</v>
      </c>
      <c r="AA3" s="72">
        <f>IF($D3="ANIMAIS",$G3,0)</f>
        <v>0</v>
      </c>
      <c r="AB3" s="72">
        <f>IF($D3="FILHO",$G3,0)</f>
        <v>0</v>
      </c>
      <c r="AC3" s="72">
        <f>IF($D3="GASOLINA",$G3,0)</f>
        <v>0</v>
      </c>
      <c r="AD3" s="72">
        <f>IF($D3="LAZER",$G3,0)</f>
        <v>0</v>
      </c>
      <c r="AE3" s="72">
        <f>IF($D3="MANUT. IMÓVEL",$G3,0)</f>
        <v>0</v>
      </c>
      <c r="AF3" s="72">
        <f>IF($D3="MANUT. VEICULAR",$G3,0)</f>
        <v>0</v>
      </c>
      <c r="AG3" s="72">
        <f>IF($D3="MÓVEIS",$G3,0)</f>
        <v>0</v>
      </c>
      <c r="AH3" s="72">
        <f>IF($D3="OUTROS",$G3,0)</f>
        <v>0</v>
      </c>
      <c r="AI3" s="72">
        <f>IF($D3="PLANOS",$G3,0)</f>
        <v>0</v>
      </c>
      <c r="AJ3" s="72">
        <f>IF($D3="SAÚDE",$G3,0)</f>
        <v>0</v>
      </c>
      <c r="AK3" s="72">
        <f>IF($D3="TRANSPORTE",$G3,0)</f>
        <v>0</v>
      </c>
      <c r="AL3" s="72">
        <f>IF($D3=AL$2,$G3,0)</f>
        <v>0</v>
      </c>
      <c r="AM3" s="72">
        <f t="shared" ref="AM3:AN17" si="2">IF($D3=AM$2,$G3,0)</f>
        <v>0</v>
      </c>
      <c r="AN3" s="72">
        <f t="shared" si="2"/>
        <v>0</v>
      </c>
      <c r="AQ3" s="71" t="s">
        <v>51</v>
      </c>
      <c r="AR3" s="97">
        <f t="shared" si="0"/>
        <v>300</v>
      </c>
      <c r="AS3" s="58">
        <f>AA63</f>
        <v>150</v>
      </c>
      <c r="AT3" s="58">
        <f>K63</f>
        <v>150</v>
      </c>
      <c r="AY3" s="511" t="s">
        <v>388</v>
      </c>
    </row>
    <row r="4" spans="2:51">
      <c r="B4" s="60">
        <v>44964</v>
      </c>
      <c r="C4" s="62" t="s">
        <v>499</v>
      </c>
      <c r="D4" s="79" t="s">
        <v>55</v>
      </c>
      <c r="E4" s="56">
        <v>18.899999999999999</v>
      </c>
      <c r="F4" s="76" t="s">
        <v>65</v>
      </c>
      <c r="G4" s="77">
        <f t="shared" ref="G4:G62" si="3">IF(F4="MARCIA",E4,IF(F4="AMBOS",E4/2,0))</f>
        <v>0</v>
      </c>
      <c r="H4" s="78">
        <f t="shared" ref="H4:H62" si="4">IF(F4="LUCIANO",E4,IF(F4="AMBOS",E4/2,0))</f>
        <v>18.899999999999999</v>
      </c>
      <c r="I4" s="481" t="s">
        <v>533</v>
      </c>
      <c r="J4" s="72">
        <f>IF($D4="ALIMENTAÇÃO",$H4,0)</f>
        <v>0</v>
      </c>
      <c r="K4" s="72">
        <f>IF($D4="ANIMAIS",$H4,0)</f>
        <v>0</v>
      </c>
      <c r="L4" s="72">
        <f>IF($D4="FILHO",$H4,0)</f>
        <v>0</v>
      </c>
      <c r="M4" s="72">
        <f>IF($D4="GASOLINA",$H4,0)</f>
        <v>0</v>
      </c>
      <c r="N4" s="72">
        <f>IF($D4="LAZER",$H4,0)</f>
        <v>0</v>
      </c>
      <c r="O4" s="72">
        <f>IF($D4="MANUT. IMÓVEL",$H4,0)</f>
        <v>0</v>
      </c>
      <c r="P4" s="72">
        <f>IF($D4="MANUT. VEICULAR",$H4,0)</f>
        <v>0</v>
      </c>
      <c r="Q4" s="72">
        <f>IF($D4="MÓVEIS",$H4,0)</f>
        <v>0</v>
      </c>
      <c r="R4" s="72">
        <f>IF($D4="OUTROS",$H4,0)</f>
        <v>0</v>
      </c>
      <c r="S4" s="72">
        <f>IF($D4="PLANOS",$H4,0)</f>
        <v>18.899999999999999</v>
      </c>
      <c r="T4" s="72">
        <f>IF($D4="SAÚDE",$H4,0)</f>
        <v>0</v>
      </c>
      <c r="U4" s="72">
        <f>IF($D4="TRANSPORTE",$H4,0)</f>
        <v>0</v>
      </c>
      <c r="V4" s="72">
        <f t="shared" ref="V4:X35" si="5">IF($D4=V$2,$H4,0)</f>
        <v>0</v>
      </c>
      <c r="W4" s="72">
        <f t="shared" si="1"/>
        <v>0</v>
      </c>
      <c r="X4" s="72">
        <f t="shared" si="1"/>
        <v>0</v>
      </c>
      <c r="Z4" s="72">
        <f t="shared" ref="Z4:Z62" si="6">IF($D4="ALIMENTAÇÃO",$G4,0)</f>
        <v>0</v>
      </c>
      <c r="AA4" s="72">
        <f t="shared" ref="AA4:AA62" si="7">IF($D4="ANIMAIS",$G4,0)</f>
        <v>0</v>
      </c>
      <c r="AB4" s="72">
        <f t="shared" ref="AB4:AB62" si="8">IF($D4="FILHO",$G4,0)</f>
        <v>0</v>
      </c>
      <c r="AC4" s="72">
        <f t="shared" ref="AC4:AC62" si="9">IF($D4="GASOLINA",$G4,0)</f>
        <v>0</v>
      </c>
      <c r="AD4" s="72">
        <f t="shared" ref="AD4:AD62" si="10">IF($D4="LAZER",$G4,0)</f>
        <v>0</v>
      </c>
      <c r="AE4" s="72">
        <f t="shared" ref="AE4:AE62" si="11">IF($D4="MANUT. IMÓVEL",$G4,0)</f>
        <v>0</v>
      </c>
      <c r="AF4" s="72">
        <f t="shared" ref="AF4:AF62" si="12">IF($D4="MANUT. VEICULAR",$G4,0)</f>
        <v>0</v>
      </c>
      <c r="AG4" s="72">
        <f t="shared" ref="AG4:AG62" si="13">IF($D4="MÓVEIS",$G4,0)</f>
        <v>0</v>
      </c>
      <c r="AH4" s="72">
        <f t="shared" ref="AH4:AH62" si="14">IF($D4="OUTROS",$G4,0)</f>
        <v>0</v>
      </c>
      <c r="AI4" s="72">
        <f t="shared" ref="AI4:AI62" si="15">IF($D4="PLANOS",$G4,0)</f>
        <v>0</v>
      </c>
      <c r="AJ4" s="72">
        <f t="shared" ref="AJ4:AJ62" si="16">IF($D4="SAÚDE",$G4,0)</f>
        <v>0</v>
      </c>
      <c r="AK4" s="72">
        <f t="shared" ref="AK4:AK62" si="17">IF($D4="TRANSPORTE",$G4,0)</f>
        <v>0</v>
      </c>
      <c r="AL4" s="72">
        <f t="shared" ref="AL4:AN62" si="18">IF($D4=AL$2,$G4,0)</f>
        <v>0</v>
      </c>
      <c r="AM4" s="72">
        <f t="shared" si="2"/>
        <v>0</v>
      </c>
      <c r="AN4" s="72">
        <f t="shared" si="2"/>
        <v>0</v>
      </c>
      <c r="AQ4" s="71" t="s">
        <v>120</v>
      </c>
      <c r="AR4" s="97">
        <f t="shared" si="0"/>
        <v>77</v>
      </c>
      <c r="AS4" s="58">
        <f>AB63</f>
        <v>0</v>
      </c>
      <c r="AT4" s="58">
        <f>L63</f>
        <v>77</v>
      </c>
      <c r="AY4" s="512">
        <v>58.66</v>
      </c>
    </row>
    <row r="5" spans="2:51">
      <c r="B5" s="60">
        <v>45126</v>
      </c>
      <c r="C5" s="62" t="s">
        <v>573</v>
      </c>
      <c r="D5" s="79" t="s">
        <v>53</v>
      </c>
      <c r="E5" s="56">
        <v>248.43</v>
      </c>
      <c r="F5" s="76" t="s">
        <v>65</v>
      </c>
      <c r="G5" s="77">
        <f t="shared" si="3"/>
        <v>0</v>
      </c>
      <c r="H5" s="78">
        <f t="shared" si="4"/>
        <v>248.43</v>
      </c>
      <c r="I5" s="481" t="s">
        <v>60</v>
      </c>
      <c r="J5" s="72">
        <f t="shared" ref="J5:J62" si="19">IF($D5="ALIMENTAÇÃO",$H5,0)</f>
        <v>0</v>
      </c>
      <c r="K5" s="72">
        <f t="shared" ref="K5:K62" si="20">IF($D5="ANIMAIS",$H5,0)</f>
        <v>0</v>
      </c>
      <c r="L5" s="72">
        <f t="shared" ref="L5:L62" si="21">IF($D5="FILHO",$H5,0)</f>
        <v>0</v>
      </c>
      <c r="M5" s="72">
        <f t="shared" ref="M5:M62" si="22">IF($D5="GASOLINA",$H5,0)</f>
        <v>0</v>
      </c>
      <c r="N5" s="72">
        <f t="shared" ref="N5:N62" si="23">IF($D5="LAZER",$H5,0)</f>
        <v>0</v>
      </c>
      <c r="O5" s="72">
        <f t="shared" ref="O5:O62" si="24">IF($D5="MANUT. IMÓVEL",$H5,0)</f>
        <v>248.43</v>
      </c>
      <c r="P5" s="72">
        <f t="shared" ref="P5:P62" si="25">IF($D5="MANUT. VEICULAR",$H5,0)</f>
        <v>0</v>
      </c>
      <c r="Q5" s="72">
        <f t="shared" ref="Q5:Q62" si="26">IF($D5="MÓVEIS",$H5,0)</f>
        <v>0</v>
      </c>
      <c r="R5" s="72">
        <f t="shared" ref="R5:R62" si="27">IF($D5="OUTROS",$H5,0)</f>
        <v>0</v>
      </c>
      <c r="S5" s="72">
        <f t="shared" ref="S5:S62" si="28">IF($D5="PLANOS",$H5,0)</f>
        <v>0</v>
      </c>
      <c r="T5" s="72">
        <f t="shared" ref="T5:T62" si="29">IF($D5="SAÚDE",$H5,0)</f>
        <v>0</v>
      </c>
      <c r="U5" s="72">
        <f t="shared" ref="U5:U62" si="30">IF($D5="TRANSPORTE",$H5,0)</f>
        <v>0</v>
      </c>
      <c r="V5" s="72">
        <f t="shared" si="5"/>
        <v>0</v>
      </c>
      <c r="W5" s="72">
        <f t="shared" si="1"/>
        <v>0</v>
      </c>
      <c r="X5" s="72">
        <f t="shared" si="1"/>
        <v>0</v>
      </c>
      <c r="Z5" s="72">
        <f t="shared" si="6"/>
        <v>0</v>
      </c>
      <c r="AA5" s="72">
        <f t="shared" si="7"/>
        <v>0</v>
      </c>
      <c r="AB5" s="72">
        <f t="shared" si="8"/>
        <v>0</v>
      </c>
      <c r="AC5" s="72">
        <f t="shared" si="9"/>
        <v>0</v>
      </c>
      <c r="AD5" s="72">
        <f t="shared" si="10"/>
        <v>0</v>
      </c>
      <c r="AE5" s="72">
        <f t="shared" si="11"/>
        <v>0</v>
      </c>
      <c r="AF5" s="72">
        <f t="shared" si="12"/>
        <v>0</v>
      </c>
      <c r="AG5" s="72">
        <f t="shared" si="13"/>
        <v>0</v>
      </c>
      <c r="AH5" s="72">
        <f t="shared" si="14"/>
        <v>0</v>
      </c>
      <c r="AI5" s="72">
        <f t="shared" si="15"/>
        <v>0</v>
      </c>
      <c r="AJ5" s="72">
        <f t="shared" si="16"/>
        <v>0</v>
      </c>
      <c r="AK5" s="72">
        <f t="shared" si="17"/>
        <v>0</v>
      </c>
      <c r="AL5" s="72">
        <f t="shared" si="18"/>
        <v>0</v>
      </c>
      <c r="AM5" s="72">
        <f t="shared" si="2"/>
        <v>0</v>
      </c>
      <c r="AN5" s="72">
        <f t="shared" si="2"/>
        <v>0</v>
      </c>
      <c r="AQ5" s="71" t="s">
        <v>36</v>
      </c>
      <c r="AR5" s="97">
        <f t="shared" si="0"/>
        <v>0</v>
      </c>
      <c r="AS5" s="58">
        <f>AC63</f>
        <v>0</v>
      </c>
      <c r="AT5" s="58">
        <f>M63</f>
        <v>0</v>
      </c>
      <c r="AY5" s="511" t="s">
        <v>387</v>
      </c>
    </row>
    <row r="6" spans="2:51" ht="17.25" thickBot="1">
      <c r="B6" s="172">
        <v>44929</v>
      </c>
      <c r="C6" s="173" t="s">
        <v>145</v>
      </c>
      <c r="D6" s="79" t="s">
        <v>56</v>
      </c>
      <c r="E6" s="56">
        <v>175.97</v>
      </c>
      <c r="F6" s="76" t="s">
        <v>66</v>
      </c>
      <c r="G6" s="77">
        <v>117.31</v>
      </c>
      <c r="H6" s="78">
        <v>58.66</v>
      </c>
      <c r="I6" s="481" t="s">
        <v>136</v>
      </c>
      <c r="J6" s="72">
        <f t="shared" si="19"/>
        <v>0</v>
      </c>
      <c r="K6" s="72">
        <f t="shared" si="20"/>
        <v>0</v>
      </c>
      <c r="L6" s="72">
        <f t="shared" si="21"/>
        <v>0</v>
      </c>
      <c r="M6" s="72">
        <f t="shared" si="22"/>
        <v>0</v>
      </c>
      <c r="N6" s="72">
        <f t="shared" si="23"/>
        <v>58.66</v>
      </c>
      <c r="O6" s="72">
        <f t="shared" si="24"/>
        <v>0</v>
      </c>
      <c r="P6" s="72">
        <f t="shared" si="25"/>
        <v>0</v>
      </c>
      <c r="Q6" s="72">
        <f t="shared" si="26"/>
        <v>0</v>
      </c>
      <c r="R6" s="72">
        <f t="shared" si="27"/>
        <v>0</v>
      </c>
      <c r="S6" s="72">
        <f t="shared" si="28"/>
        <v>0</v>
      </c>
      <c r="T6" s="72">
        <f t="shared" si="29"/>
        <v>0</v>
      </c>
      <c r="U6" s="72">
        <f t="shared" si="30"/>
        <v>0</v>
      </c>
      <c r="V6" s="72">
        <f t="shared" si="5"/>
        <v>0</v>
      </c>
      <c r="W6" s="72">
        <f t="shared" si="1"/>
        <v>0</v>
      </c>
      <c r="X6" s="72">
        <f t="shared" si="1"/>
        <v>0</v>
      </c>
      <c r="Z6" s="72">
        <f t="shared" si="6"/>
        <v>0</v>
      </c>
      <c r="AA6" s="72">
        <f t="shared" si="7"/>
        <v>0</v>
      </c>
      <c r="AB6" s="72">
        <f t="shared" si="8"/>
        <v>0</v>
      </c>
      <c r="AC6" s="72">
        <f t="shared" si="9"/>
        <v>0</v>
      </c>
      <c r="AD6" s="72">
        <f t="shared" si="10"/>
        <v>117.31</v>
      </c>
      <c r="AE6" s="72">
        <f t="shared" si="11"/>
        <v>0</v>
      </c>
      <c r="AF6" s="72">
        <f t="shared" si="12"/>
        <v>0</v>
      </c>
      <c r="AG6" s="72">
        <f t="shared" si="13"/>
        <v>0</v>
      </c>
      <c r="AH6" s="72">
        <f t="shared" si="14"/>
        <v>0</v>
      </c>
      <c r="AI6" s="72">
        <f t="shared" si="15"/>
        <v>0</v>
      </c>
      <c r="AJ6" s="72">
        <f t="shared" si="16"/>
        <v>0</v>
      </c>
      <c r="AK6" s="72">
        <f t="shared" si="17"/>
        <v>0</v>
      </c>
      <c r="AL6" s="72">
        <f t="shared" si="18"/>
        <v>0</v>
      </c>
      <c r="AM6" s="72">
        <f t="shared" si="2"/>
        <v>0</v>
      </c>
      <c r="AN6" s="72">
        <f t="shared" si="2"/>
        <v>0</v>
      </c>
      <c r="AQ6" s="71" t="s">
        <v>56</v>
      </c>
      <c r="AR6" s="97">
        <f t="shared" si="0"/>
        <v>175.97</v>
      </c>
      <c r="AS6" s="58">
        <f>AD63</f>
        <v>117.31</v>
      </c>
      <c r="AT6" s="58">
        <f>N63</f>
        <v>58.66</v>
      </c>
      <c r="AY6" s="596">
        <v>117.31</v>
      </c>
    </row>
    <row r="7" spans="2:51" ht="17.25" thickBot="1">
      <c r="B7" s="60">
        <v>44952</v>
      </c>
      <c r="C7" s="62" t="s">
        <v>159</v>
      </c>
      <c r="D7" s="79" t="s">
        <v>120</v>
      </c>
      <c r="E7" s="56">
        <v>77</v>
      </c>
      <c r="F7" s="76" t="s">
        <v>65</v>
      </c>
      <c r="G7" s="77">
        <f t="shared" ref="G7:G14" si="31">IF(F7="MARCIA",E7,IF(F7="AMBOS",E7/2,0))</f>
        <v>0</v>
      </c>
      <c r="H7" s="78">
        <f t="shared" ref="H7:H14" si="32">IF(F7="LUCIANO",E7,IF(F7="AMBOS",E7/2,0))</f>
        <v>77</v>
      </c>
      <c r="I7" s="481" t="s">
        <v>136</v>
      </c>
      <c r="J7" s="72">
        <f t="shared" si="19"/>
        <v>0</v>
      </c>
      <c r="K7" s="72">
        <f t="shared" si="20"/>
        <v>0</v>
      </c>
      <c r="L7" s="72">
        <f t="shared" si="21"/>
        <v>77</v>
      </c>
      <c r="M7" s="72">
        <f t="shared" si="22"/>
        <v>0</v>
      </c>
      <c r="N7" s="72">
        <f t="shared" si="23"/>
        <v>0</v>
      </c>
      <c r="O7" s="72">
        <f t="shared" si="24"/>
        <v>0</v>
      </c>
      <c r="P7" s="72">
        <f t="shared" si="25"/>
        <v>0</v>
      </c>
      <c r="Q7" s="72">
        <f t="shared" si="26"/>
        <v>0</v>
      </c>
      <c r="R7" s="72">
        <f t="shared" si="27"/>
        <v>0</v>
      </c>
      <c r="S7" s="72">
        <f t="shared" si="28"/>
        <v>0</v>
      </c>
      <c r="T7" s="72">
        <f t="shared" si="29"/>
        <v>0</v>
      </c>
      <c r="U7" s="72">
        <f t="shared" si="30"/>
        <v>0</v>
      </c>
      <c r="V7" s="72">
        <f t="shared" si="5"/>
        <v>0</v>
      </c>
      <c r="W7" s="72">
        <f t="shared" si="1"/>
        <v>0</v>
      </c>
      <c r="X7" s="72">
        <f t="shared" si="1"/>
        <v>0</v>
      </c>
      <c r="Z7" s="72">
        <f t="shared" si="6"/>
        <v>0</v>
      </c>
      <c r="AA7" s="72">
        <f t="shared" si="7"/>
        <v>0</v>
      </c>
      <c r="AB7" s="72">
        <f t="shared" si="8"/>
        <v>0</v>
      </c>
      <c r="AC7" s="72">
        <f t="shared" si="9"/>
        <v>0</v>
      </c>
      <c r="AD7" s="72">
        <f t="shared" si="10"/>
        <v>0</v>
      </c>
      <c r="AE7" s="72">
        <f t="shared" si="11"/>
        <v>0</v>
      </c>
      <c r="AF7" s="72">
        <f t="shared" si="12"/>
        <v>0</v>
      </c>
      <c r="AG7" s="72">
        <f t="shared" si="13"/>
        <v>0</v>
      </c>
      <c r="AH7" s="72">
        <f t="shared" si="14"/>
        <v>0</v>
      </c>
      <c r="AI7" s="72">
        <f t="shared" si="15"/>
        <v>0</v>
      </c>
      <c r="AJ7" s="72">
        <f t="shared" si="16"/>
        <v>0</v>
      </c>
      <c r="AK7" s="72">
        <f t="shared" si="17"/>
        <v>0</v>
      </c>
      <c r="AL7" s="72">
        <f t="shared" si="18"/>
        <v>0</v>
      </c>
      <c r="AM7" s="72">
        <f t="shared" si="2"/>
        <v>0</v>
      </c>
      <c r="AN7" s="72">
        <f t="shared" si="2"/>
        <v>0</v>
      </c>
      <c r="AQ7" s="71" t="s">
        <v>53</v>
      </c>
      <c r="AR7" s="97">
        <f t="shared" si="0"/>
        <v>596.42000000000007</v>
      </c>
      <c r="AS7" s="58">
        <f>AE63</f>
        <v>169.42000000000002</v>
      </c>
      <c r="AT7" s="58">
        <f>O63</f>
        <v>427</v>
      </c>
      <c r="AY7" s="597">
        <v>175.97</v>
      </c>
    </row>
    <row r="8" spans="2:51">
      <c r="B8" s="60">
        <v>44861</v>
      </c>
      <c r="C8" s="62" t="s">
        <v>108</v>
      </c>
      <c r="D8" s="79" t="s">
        <v>40</v>
      </c>
      <c r="E8" s="56">
        <v>15.73</v>
      </c>
      <c r="F8" s="76" t="s">
        <v>66</v>
      </c>
      <c r="G8" s="77">
        <f t="shared" si="31"/>
        <v>7.8650000000000002</v>
      </c>
      <c r="H8" s="78">
        <f t="shared" si="32"/>
        <v>7.8650000000000002</v>
      </c>
      <c r="I8" s="481" t="s">
        <v>537</v>
      </c>
      <c r="J8" s="72">
        <f t="shared" si="19"/>
        <v>0</v>
      </c>
      <c r="K8" s="72">
        <f t="shared" si="20"/>
        <v>0</v>
      </c>
      <c r="L8" s="72">
        <f t="shared" si="21"/>
        <v>0</v>
      </c>
      <c r="M8" s="72">
        <f t="shared" si="22"/>
        <v>0</v>
      </c>
      <c r="N8" s="72">
        <f t="shared" si="23"/>
        <v>0</v>
      </c>
      <c r="O8" s="72">
        <f t="shared" si="24"/>
        <v>0</v>
      </c>
      <c r="P8" s="72">
        <f t="shared" si="25"/>
        <v>0</v>
      </c>
      <c r="Q8" s="72">
        <f t="shared" si="26"/>
        <v>0</v>
      </c>
      <c r="R8" s="72">
        <f t="shared" si="27"/>
        <v>7.8650000000000002</v>
      </c>
      <c r="S8" s="72">
        <f t="shared" si="28"/>
        <v>0</v>
      </c>
      <c r="T8" s="72">
        <f t="shared" si="29"/>
        <v>0</v>
      </c>
      <c r="U8" s="72">
        <f t="shared" si="30"/>
        <v>0</v>
      </c>
      <c r="V8" s="72">
        <f t="shared" si="5"/>
        <v>0</v>
      </c>
      <c r="W8" s="72">
        <f t="shared" si="1"/>
        <v>0</v>
      </c>
      <c r="X8" s="72">
        <f t="shared" si="1"/>
        <v>0</v>
      </c>
      <c r="Z8" s="72">
        <f t="shared" si="6"/>
        <v>0</v>
      </c>
      <c r="AA8" s="72">
        <f t="shared" si="7"/>
        <v>0</v>
      </c>
      <c r="AB8" s="72">
        <f t="shared" si="8"/>
        <v>0</v>
      </c>
      <c r="AC8" s="72">
        <f t="shared" si="9"/>
        <v>0</v>
      </c>
      <c r="AD8" s="72">
        <f t="shared" si="10"/>
        <v>0</v>
      </c>
      <c r="AE8" s="72">
        <f t="shared" si="11"/>
        <v>0</v>
      </c>
      <c r="AF8" s="72">
        <f t="shared" si="12"/>
        <v>0</v>
      </c>
      <c r="AG8" s="72">
        <f t="shared" si="13"/>
        <v>0</v>
      </c>
      <c r="AH8" s="72">
        <f t="shared" si="14"/>
        <v>7.8650000000000002</v>
      </c>
      <c r="AI8" s="72">
        <f t="shared" si="15"/>
        <v>0</v>
      </c>
      <c r="AJ8" s="72">
        <f t="shared" si="16"/>
        <v>0</v>
      </c>
      <c r="AK8" s="72">
        <f t="shared" si="17"/>
        <v>0</v>
      </c>
      <c r="AL8" s="72">
        <f t="shared" si="18"/>
        <v>0</v>
      </c>
      <c r="AM8" s="72">
        <f t="shared" si="2"/>
        <v>0</v>
      </c>
      <c r="AN8" s="72">
        <f t="shared" si="2"/>
        <v>0</v>
      </c>
      <c r="AQ8" s="71" t="s">
        <v>54</v>
      </c>
      <c r="AR8" s="97">
        <f t="shared" si="0"/>
        <v>409.03</v>
      </c>
      <c r="AS8" s="58">
        <f>AF63</f>
        <v>0</v>
      </c>
      <c r="AT8" s="58">
        <f>P63</f>
        <v>409.03</v>
      </c>
    </row>
    <row r="9" spans="2:51">
      <c r="B9" s="60">
        <v>45030</v>
      </c>
      <c r="C9" s="62" t="s">
        <v>408</v>
      </c>
      <c r="D9" s="79" t="s">
        <v>40</v>
      </c>
      <c r="E9" s="56">
        <v>39.950000000000003</v>
      </c>
      <c r="F9" s="76" t="s">
        <v>65</v>
      </c>
      <c r="G9" s="77">
        <f t="shared" si="31"/>
        <v>0</v>
      </c>
      <c r="H9" s="78">
        <f t="shared" si="32"/>
        <v>39.950000000000003</v>
      </c>
      <c r="I9" s="481" t="s">
        <v>538</v>
      </c>
      <c r="J9" s="72">
        <f t="shared" si="19"/>
        <v>0</v>
      </c>
      <c r="K9" s="72">
        <f t="shared" si="20"/>
        <v>0</v>
      </c>
      <c r="L9" s="72">
        <f t="shared" si="21"/>
        <v>0</v>
      </c>
      <c r="M9" s="72">
        <f t="shared" si="22"/>
        <v>0</v>
      </c>
      <c r="N9" s="72">
        <f t="shared" si="23"/>
        <v>0</v>
      </c>
      <c r="O9" s="72">
        <f t="shared" si="24"/>
        <v>0</v>
      </c>
      <c r="P9" s="72">
        <f t="shared" si="25"/>
        <v>0</v>
      </c>
      <c r="Q9" s="72">
        <f t="shared" si="26"/>
        <v>0</v>
      </c>
      <c r="R9" s="72">
        <f t="shared" si="27"/>
        <v>39.950000000000003</v>
      </c>
      <c r="S9" s="72">
        <f t="shared" si="28"/>
        <v>0</v>
      </c>
      <c r="T9" s="72">
        <f t="shared" si="29"/>
        <v>0</v>
      </c>
      <c r="U9" s="72">
        <f t="shared" si="30"/>
        <v>0</v>
      </c>
      <c r="V9" s="72">
        <f t="shared" si="5"/>
        <v>0</v>
      </c>
      <c r="W9" s="72">
        <f t="shared" si="1"/>
        <v>0</v>
      </c>
      <c r="X9" s="72">
        <f t="shared" si="1"/>
        <v>0</v>
      </c>
      <c r="Z9" s="72">
        <f t="shared" si="6"/>
        <v>0</v>
      </c>
      <c r="AA9" s="72">
        <f t="shared" si="7"/>
        <v>0</v>
      </c>
      <c r="AB9" s="72">
        <f t="shared" si="8"/>
        <v>0</v>
      </c>
      <c r="AC9" s="72">
        <f t="shared" si="9"/>
        <v>0</v>
      </c>
      <c r="AD9" s="72">
        <f t="shared" si="10"/>
        <v>0</v>
      </c>
      <c r="AE9" s="72">
        <f t="shared" si="11"/>
        <v>0</v>
      </c>
      <c r="AF9" s="72">
        <f t="shared" si="12"/>
        <v>0</v>
      </c>
      <c r="AG9" s="72">
        <f t="shared" si="13"/>
        <v>0</v>
      </c>
      <c r="AH9" s="72">
        <f t="shared" si="14"/>
        <v>0</v>
      </c>
      <c r="AI9" s="72">
        <f t="shared" si="15"/>
        <v>0</v>
      </c>
      <c r="AJ9" s="72">
        <f t="shared" si="16"/>
        <v>0</v>
      </c>
      <c r="AK9" s="72">
        <f t="shared" si="17"/>
        <v>0</v>
      </c>
      <c r="AL9" s="72">
        <f t="shared" si="18"/>
        <v>0</v>
      </c>
      <c r="AM9" s="72">
        <f t="shared" si="2"/>
        <v>0</v>
      </c>
      <c r="AN9" s="72">
        <f t="shared" si="2"/>
        <v>0</v>
      </c>
      <c r="AQ9" s="71" t="s">
        <v>59</v>
      </c>
      <c r="AR9" s="97">
        <f t="shared" si="0"/>
        <v>0</v>
      </c>
      <c r="AS9" s="58">
        <f>AG63</f>
        <v>0</v>
      </c>
      <c r="AT9" s="58">
        <f>Q63</f>
        <v>0</v>
      </c>
    </row>
    <row r="10" spans="2:51">
      <c r="B10" s="60">
        <v>45154</v>
      </c>
      <c r="C10" s="62" t="s">
        <v>656</v>
      </c>
      <c r="D10" s="79" t="s">
        <v>54</v>
      </c>
      <c r="E10" s="56">
        <v>289.13</v>
      </c>
      <c r="F10" s="76" t="s">
        <v>65</v>
      </c>
      <c r="G10" s="77">
        <f t="shared" si="31"/>
        <v>0</v>
      </c>
      <c r="H10" s="78">
        <f t="shared" si="32"/>
        <v>289.13</v>
      </c>
      <c r="I10" s="481" t="s">
        <v>262</v>
      </c>
      <c r="J10" s="72">
        <f t="shared" si="19"/>
        <v>0</v>
      </c>
      <c r="K10" s="72">
        <f t="shared" si="20"/>
        <v>0</v>
      </c>
      <c r="L10" s="72">
        <f t="shared" si="21"/>
        <v>0</v>
      </c>
      <c r="M10" s="72">
        <f t="shared" si="22"/>
        <v>0</v>
      </c>
      <c r="N10" s="72">
        <f t="shared" si="23"/>
        <v>0</v>
      </c>
      <c r="O10" s="72">
        <f t="shared" si="24"/>
        <v>0</v>
      </c>
      <c r="P10" s="72">
        <f t="shared" si="25"/>
        <v>289.13</v>
      </c>
      <c r="Q10" s="72">
        <f t="shared" si="26"/>
        <v>0</v>
      </c>
      <c r="R10" s="72">
        <f t="shared" si="27"/>
        <v>0</v>
      </c>
      <c r="S10" s="72">
        <f t="shared" si="28"/>
        <v>0</v>
      </c>
      <c r="T10" s="72">
        <f t="shared" si="29"/>
        <v>0</v>
      </c>
      <c r="U10" s="72">
        <f t="shared" si="30"/>
        <v>0</v>
      </c>
      <c r="V10" s="72">
        <f t="shared" si="5"/>
        <v>0</v>
      </c>
      <c r="W10" s="72">
        <f t="shared" si="1"/>
        <v>0</v>
      </c>
      <c r="X10" s="72">
        <f t="shared" si="1"/>
        <v>0</v>
      </c>
      <c r="Z10" s="72">
        <f t="shared" si="6"/>
        <v>0</v>
      </c>
      <c r="AA10" s="72">
        <f t="shared" si="7"/>
        <v>0</v>
      </c>
      <c r="AB10" s="72">
        <f t="shared" si="8"/>
        <v>0</v>
      </c>
      <c r="AC10" s="72">
        <f t="shared" si="9"/>
        <v>0</v>
      </c>
      <c r="AD10" s="72">
        <f t="shared" si="10"/>
        <v>0</v>
      </c>
      <c r="AE10" s="72">
        <f t="shared" si="11"/>
        <v>0</v>
      </c>
      <c r="AF10" s="72">
        <f t="shared" si="12"/>
        <v>0</v>
      </c>
      <c r="AG10" s="72">
        <f t="shared" si="13"/>
        <v>0</v>
      </c>
      <c r="AH10" s="72">
        <f t="shared" si="14"/>
        <v>0</v>
      </c>
      <c r="AI10" s="72">
        <f t="shared" si="15"/>
        <v>0</v>
      </c>
      <c r="AJ10" s="72">
        <f t="shared" si="16"/>
        <v>0</v>
      </c>
      <c r="AK10" s="72">
        <f t="shared" si="17"/>
        <v>0</v>
      </c>
      <c r="AL10" s="72">
        <f t="shared" si="18"/>
        <v>0</v>
      </c>
      <c r="AM10" s="72">
        <f t="shared" si="2"/>
        <v>0</v>
      </c>
      <c r="AN10" s="72">
        <f t="shared" si="2"/>
        <v>0</v>
      </c>
      <c r="AQ10" s="71" t="s">
        <v>40</v>
      </c>
      <c r="AR10" s="97">
        <f t="shared" si="0"/>
        <v>55.680000000000007</v>
      </c>
      <c r="AS10" s="58">
        <f>AH63</f>
        <v>7.8650000000000002</v>
      </c>
      <c r="AT10" s="58">
        <f>R63</f>
        <v>47.815000000000005</v>
      </c>
      <c r="AY10" s="59"/>
    </row>
    <row r="11" spans="2:51">
      <c r="B11" s="60">
        <v>45155</v>
      </c>
      <c r="C11" s="62" t="s">
        <v>657</v>
      </c>
      <c r="D11" s="79" t="s">
        <v>143</v>
      </c>
      <c r="E11" s="56">
        <v>191.86</v>
      </c>
      <c r="F11" s="76" t="s">
        <v>65</v>
      </c>
      <c r="G11" s="77">
        <f t="shared" si="31"/>
        <v>0</v>
      </c>
      <c r="H11" s="78">
        <f t="shared" si="32"/>
        <v>191.86</v>
      </c>
      <c r="I11" s="481" t="s">
        <v>262</v>
      </c>
      <c r="J11" s="72">
        <f t="shared" si="19"/>
        <v>0</v>
      </c>
      <c r="K11" s="72">
        <f t="shared" si="20"/>
        <v>0</v>
      </c>
      <c r="L11" s="72">
        <f t="shared" si="21"/>
        <v>0</v>
      </c>
      <c r="M11" s="72">
        <f t="shared" si="22"/>
        <v>0</v>
      </c>
      <c r="N11" s="72">
        <f t="shared" si="23"/>
        <v>0</v>
      </c>
      <c r="O11" s="72">
        <f t="shared" si="24"/>
        <v>0</v>
      </c>
      <c r="P11" s="72">
        <f t="shared" si="25"/>
        <v>0</v>
      </c>
      <c r="Q11" s="72">
        <f t="shared" si="26"/>
        <v>0</v>
      </c>
      <c r="R11" s="72">
        <f t="shared" si="27"/>
        <v>0</v>
      </c>
      <c r="S11" s="72">
        <f t="shared" si="28"/>
        <v>0</v>
      </c>
      <c r="T11" s="72">
        <f t="shared" si="29"/>
        <v>0</v>
      </c>
      <c r="U11" s="72">
        <f t="shared" si="30"/>
        <v>0</v>
      </c>
      <c r="V11" s="72">
        <f t="shared" si="5"/>
        <v>191.86</v>
      </c>
      <c r="W11" s="72">
        <f t="shared" si="1"/>
        <v>0</v>
      </c>
      <c r="X11" s="72">
        <f t="shared" si="1"/>
        <v>0</v>
      </c>
      <c r="Z11" s="72">
        <f t="shared" si="6"/>
        <v>0</v>
      </c>
      <c r="AA11" s="72">
        <f t="shared" si="7"/>
        <v>0</v>
      </c>
      <c r="AB11" s="72">
        <f t="shared" si="8"/>
        <v>0</v>
      </c>
      <c r="AC11" s="72">
        <f t="shared" si="9"/>
        <v>0</v>
      </c>
      <c r="AD11" s="72">
        <f t="shared" si="10"/>
        <v>0</v>
      </c>
      <c r="AE11" s="72">
        <f t="shared" si="11"/>
        <v>0</v>
      </c>
      <c r="AF11" s="72">
        <f t="shared" si="12"/>
        <v>0</v>
      </c>
      <c r="AG11" s="72">
        <f t="shared" si="13"/>
        <v>0</v>
      </c>
      <c r="AH11" s="72">
        <f t="shared" si="14"/>
        <v>0</v>
      </c>
      <c r="AI11" s="72">
        <f t="shared" si="15"/>
        <v>0</v>
      </c>
      <c r="AJ11" s="72">
        <f t="shared" si="16"/>
        <v>0</v>
      </c>
      <c r="AK11" s="72">
        <f t="shared" si="17"/>
        <v>0</v>
      </c>
      <c r="AL11" s="72">
        <f t="shared" si="18"/>
        <v>0</v>
      </c>
      <c r="AM11" s="72">
        <f t="shared" si="2"/>
        <v>0</v>
      </c>
      <c r="AN11" s="72">
        <f t="shared" si="2"/>
        <v>0</v>
      </c>
      <c r="AQ11" s="71" t="s">
        <v>55</v>
      </c>
      <c r="AR11" s="97">
        <f t="shared" si="0"/>
        <v>48.599999999999994</v>
      </c>
      <c r="AS11" s="58">
        <f>AI63</f>
        <v>0</v>
      </c>
      <c r="AT11" s="58">
        <f>S63</f>
        <v>48.599999999999994</v>
      </c>
      <c r="AY11" s="59"/>
    </row>
    <row r="12" spans="2:51">
      <c r="B12" s="60">
        <v>45161</v>
      </c>
      <c r="C12" s="62" t="s">
        <v>674</v>
      </c>
      <c r="D12" s="79" t="s">
        <v>268</v>
      </c>
      <c r="E12" s="56">
        <v>409.76</v>
      </c>
      <c r="F12" s="76" t="s">
        <v>65</v>
      </c>
      <c r="G12" s="77">
        <f t="shared" si="31"/>
        <v>0</v>
      </c>
      <c r="H12" s="78">
        <f t="shared" si="32"/>
        <v>409.76</v>
      </c>
      <c r="I12" s="481" t="s">
        <v>262</v>
      </c>
      <c r="J12" s="72">
        <f t="shared" si="19"/>
        <v>0</v>
      </c>
      <c r="K12" s="72">
        <f t="shared" si="20"/>
        <v>0</v>
      </c>
      <c r="L12" s="72">
        <f t="shared" si="21"/>
        <v>0</v>
      </c>
      <c r="M12" s="72">
        <f t="shared" si="22"/>
        <v>0</v>
      </c>
      <c r="N12" s="72">
        <f t="shared" si="23"/>
        <v>0</v>
      </c>
      <c r="O12" s="72">
        <f t="shared" si="24"/>
        <v>0</v>
      </c>
      <c r="P12" s="72">
        <f t="shared" si="25"/>
        <v>0</v>
      </c>
      <c r="Q12" s="72">
        <f t="shared" si="26"/>
        <v>0</v>
      </c>
      <c r="R12" s="72">
        <f t="shared" si="27"/>
        <v>0</v>
      </c>
      <c r="S12" s="72">
        <f t="shared" si="28"/>
        <v>0</v>
      </c>
      <c r="T12" s="72">
        <f t="shared" si="29"/>
        <v>0</v>
      </c>
      <c r="U12" s="72">
        <f t="shared" si="30"/>
        <v>0</v>
      </c>
      <c r="V12" s="72">
        <f t="shared" si="5"/>
        <v>0</v>
      </c>
      <c r="W12" s="72">
        <f t="shared" si="1"/>
        <v>409.76</v>
      </c>
      <c r="X12" s="72">
        <f t="shared" si="1"/>
        <v>0</v>
      </c>
      <c r="Z12" s="72">
        <f t="shared" si="6"/>
        <v>0</v>
      </c>
      <c r="AA12" s="72">
        <f t="shared" si="7"/>
        <v>0</v>
      </c>
      <c r="AB12" s="72">
        <f t="shared" si="8"/>
        <v>0</v>
      </c>
      <c r="AC12" s="72">
        <f t="shared" si="9"/>
        <v>0</v>
      </c>
      <c r="AD12" s="72">
        <f t="shared" si="10"/>
        <v>0</v>
      </c>
      <c r="AE12" s="72">
        <f t="shared" si="11"/>
        <v>0</v>
      </c>
      <c r="AF12" s="72">
        <f t="shared" si="12"/>
        <v>0</v>
      </c>
      <c r="AG12" s="72">
        <f t="shared" si="13"/>
        <v>0</v>
      </c>
      <c r="AH12" s="72">
        <f t="shared" si="14"/>
        <v>0</v>
      </c>
      <c r="AI12" s="72">
        <f t="shared" si="15"/>
        <v>0</v>
      </c>
      <c r="AJ12" s="72">
        <f t="shared" si="16"/>
        <v>0</v>
      </c>
      <c r="AK12" s="72">
        <f t="shared" si="17"/>
        <v>0</v>
      </c>
      <c r="AL12" s="72">
        <f t="shared" si="18"/>
        <v>0</v>
      </c>
      <c r="AM12" s="72">
        <f t="shared" si="2"/>
        <v>0</v>
      </c>
      <c r="AN12" s="72">
        <f t="shared" si="2"/>
        <v>0</v>
      </c>
      <c r="AQ12" s="71" t="s">
        <v>58</v>
      </c>
      <c r="AR12" s="97">
        <f t="shared" si="0"/>
        <v>0</v>
      </c>
      <c r="AS12" s="58">
        <f>AJ63</f>
        <v>0</v>
      </c>
      <c r="AT12" s="58">
        <f>T63</f>
        <v>0</v>
      </c>
      <c r="AY12" s="59"/>
    </row>
    <row r="13" spans="2:51">
      <c r="B13" s="60">
        <v>45163</v>
      </c>
      <c r="C13" s="62" t="s">
        <v>675</v>
      </c>
      <c r="D13" s="79" t="s">
        <v>54</v>
      </c>
      <c r="E13" s="56">
        <v>119.9</v>
      </c>
      <c r="F13" s="76" t="s">
        <v>65</v>
      </c>
      <c r="G13" s="77">
        <f t="shared" si="31"/>
        <v>0</v>
      </c>
      <c r="H13" s="78">
        <f t="shared" si="32"/>
        <v>119.9</v>
      </c>
      <c r="I13" s="481" t="s">
        <v>23</v>
      </c>
      <c r="J13" s="72">
        <f t="shared" si="19"/>
        <v>0</v>
      </c>
      <c r="K13" s="72">
        <f t="shared" si="20"/>
        <v>0</v>
      </c>
      <c r="L13" s="72">
        <f t="shared" si="21"/>
        <v>0</v>
      </c>
      <c r="M13" s="72">
        <f t="shared" si="22"/>
        <v>0</v>
      </c>
      <c r="N13" s="72">
        <f t="shared" si="23"/>
        <v>0</v>
      </c>
      <c r="O13" s="72">
        <f t="shared" si="24"/>
        <v>0</v>
      </c>
      <c r="P13" s="72">
        <f t="shared" si="25"/>
        <v>119.9</v>
      </c>
      <c r="Q13" s="72">
        <f t="shared" si="26"/>
        <v>0</v>
      </c>
      <c r="R13" s="72">
        <f t="shared" si="27"/>
        <v>0</v>
      </c>
      <c r="S13" s="72">
        <f t="shared" si="28"/>
        <v>0</v>
      </c>
      <c r="T13" s="72">
        <f t="shared" si="29"/>
        <v>0</v>
      </c>
      <c r="U13" s="72">
        <f t="shared" si="30"/>
        <v>0</v>
      </c>
      <c r="V13" s="72">
        <f t="shared" si="5"/>
        <v>0</v>
      </c>
      <c r="W13" s="72">
        <f t="shared" si="1"/>
        <v>0</v>
      </c>
      <c r="X13" s="72">
        <f t="shared" si="1"/>
        <v>0</v>
      </c>
      <c r="Z13" s="72">
        <f t="shared" si="6"/>
        <v>0</v>
      </c>
      <c r="AA13" s="72">
        <f t="shared" si="7"/>
        <v>0</v>
      </c>
      <c r="AB13" s="72">
        <f t="shared" si="8"/>
        <v>0</v>
      </c>
      <c r="AC13" s="72">
        <f t="shared" si="9"/>
        <v>0</v>
      </c>
      <c r="AD13" s="72">
        <f t="shared" si="10"/>
        <v>0</v>
      </c>
      <c r="AE13" s="72">
        <f t="shared" si="11"/>
        <v>0</v>
      </c>
      <c r="AF13" s="72">
        <f t="shared" si="12"/>
        <v>0</v>
      </c>
      <c r="AG13" s="72">
        <f t="shared" si="13"/>
        <v>0</v>
      </c>
      <c r="AH13" s="72">
        <f t="shared" si="14"/>
        <v>0</v>
      </c>
      <c r="AI13" s="72">
        <f t="shared" si="15"/>
        <v>0</v>
      </c>
      <c r="AJ13" s="72">
        <f t="shared" si="16"/>
        <v>0</v>
      </c>
      <c r="AK13" s="72">
        <f t="shared" si="17"/>
        <v>0</v>
      </c>
      <c r="AL13" s="72">
        <f t="shared" si="18"/>
        <v>0</v>
      </c>
      <c r="AM13" s="72">
        <f t="shared" si="2"/>
        <v>0</v>
      </c>
      <c r="AN13" s="72">
        <f t="shared" si="2"/>
        <v>0</v>
      </c>
      <c r="AQ13" s="71" t="s">
        <v>52</v>
      </c>
      <c r="AR13" s="97">
        <f t="shared" si="0"/>
        <v>0</v>
      </c>
      <c r="AS13" s="58">
        <f>AK63</f>
        <v>0</v>
      </c>
      <c r="AT13" s="58">
        <f>U63</f>
        <v>0</v>
      </c>
      <c r="AY13" s="59"/>
    </row>
    <row r="14" spans="2:51">
      <c r="B14" s="60">
        <v>45186</v>
      </c>
      <c r="C14" s="62" t="s">
        <v>679</v>
      </c>
      <c r="D14" s="79" t="s">
        <v>51</v>
      </c>
      <c r="E14" s="56">
        <v>300</v>
      </c>
      <c r="F14" s="76" t="s">
        <v>66</v>
      </c>
      <c r="G14" s="77">
        <f t="shared" si="31"/>
        <v>150</v>
      </c>
      <c r="H14" s="78">
        <f t="shared" si="32"/>
        <v>150</v>
      </c>
      <c r="I14" s="481"/>
      <c r="J14" s="72">
        <f t="shared" si="19"/>
        <v>0</v>
      </c>
      <c r="K14" s="72">
        <f t="shared" si="20"/>
        <v>150</v>
      </c>
      <c r="L14" s="72">
        <f t="shared" si="21"/>
        <v>0</v>
      </c>
      <c r="M14" s="72">
        <f t="shared" si="22"/>
        <v>0</v>
      </c>
      <c r="N14" s="72">
        <f t="shared" si="23"/>
        <v>0</v>
      </c>
      <c r="O14" s="72">
        <f t="shared" si="24"/>
        <v>0</v>
      </c>
      <c r="P14" s="72">
        <f t="shared" si="25"/>
        <v>0</v>
      </c>
      <c r="Q14" s="72">
        <f t="shared" si="26"/>
        <v>0</v>
      </c>
      <c r="R14" s="72">
        <f t="shared" si="27"/>
        <v>0</v>
      </c>
      <c r="S14" s="72">
        <f t="shared" si="28"/>
        <v>0</v>
      </c>
      <c r="T14" s="72">
        <f t="shared" si="29"/>
        <v>0</v>
      </c>
      <c r="U14" s="72">
        <f t="shared" si="30"/>
        <v>0</v>
      </c>
      <c r="V14" s="72">
        <f t="shared" si="5"/>
        <v>0</v>
      </c>
      <c r="W14" s="72">
        <f t="shared" si="1"/>
        <v>0</v>
      </c>
      <c r="X14" s="72">
        <f t="shared" si="1"/>
        <v>0</v>
      </c>
      <c r="Z14" s="72">
        <f t="shared" si="6"/>
        <v>0</v>
      </c>
      <c r="AA14" s="72">
        <f t="shared" si="7"/>
        <v>150</v>
      </c>
      <c r="AB14" s="72">
        <f t="shared" si="8"/>
        <v>0</v>
      </c>
      <c r="AC14" s="72">
        <f t="shared" si="9"/>
        <v>0</v>
      </c>
      <c r="AD14" s="72">
        <f t="shared" si="10"/>
        <v>0</v>
      </c>
      <c r="AE14" s="72">
        <f t="shared" si="11"/>
        <v>0</v>
      </c>
      <c r="AF14" s="72">
        <f t="shared" si="12"/>
        <v>0</v>
      </c>
      <c r="AG14" s="72">
        <f t="shared" si="13"/>
        <v>0</v>
      </c>
      <c r="AH14" s="72">
        <f t="shared" si="14"/>
        <v>0</v>
      </c>
      <c r="AI14" s="72">
        <f t="shared" si="15"/>
        <v>0</v>
      </c>
      <c r="AJ14" s="72">
        <f t="shared" si="16"/>
        <v>0</v>
      </c>
      <c r="AK14" s="72">
        <f t="shared" si="17"/>
        <v>0</v>
      </c>
      <c r="AL14" s="72">
        <f t="shared" si="18"/>
        <v>0</v>
      </c>
      <c r="AM14" s="72">
        <f t="shared" si="2"/>
        <v>0</v>
      </c>
      <c r="AN14" s="72">
        <f t="shared" si="2"/>
        <v>0</v>
      </c>
      <c r="AQ14" s="71" t="s">
        <v>143</v>
      </c>
      <c r="AR14" s="97">
        <f t="shared" si="0"/>
        <v>191.86</v>
      </c>
      <c r="AS14" s="58">
        <f>AL63</f>
        <v>0</v>
      </c>
      <c r="AT14" s="58">
        <f>V63</f>
        <v>191.86</v>
      </c>
      <c r="AY14" s="59"/>
    </row>
    <row r="15" spans="2:51">
      <c r="B15" s="60">
        <v>45188</v>
      </c>
      <c r="C15" s="62" t="s">
        <v>680</v>
      </c>
      <c r="D15" s="79" t="s">
        <v>53</v>
      </c>
      <c r="E15" s="56">
        <v>178.57</v>
      </c>
      <c r="F15" s="76" t="s">
        <v>65</v>
      </c>
      <c r="G15" s="77">
        <f t="shared" si="3"/>
        <v>0</v>
      </c>
      <c r="H15" s="78">
        <f t="shared" si="4"/>
        <v>178.57</v>
      </c>
      <c r="I15" s="481"/>
      <c r="J15" s="72">
        <f t="shared" si="19"/>
        <v>0</v>
      </c>
      <c r="K15" s="72">
        <f t="shared" si="20"/>
        <v>0</v>
      </c>
      <c r="L15" s="72">
        <f t="shared" si="21"/>
        <v>0</v>
      </c>
      <c r="M15" s="72">
        <f t="shared" si="22"/>
        <v>0</v>
      </c>
      <c r="N15" s="72">
        <f t="shared" si="23"/>
        <v>0</v>
      </c>
      <c r="O15" s="72">
        <f t="shared" si="24"/>
        <v>178.57</v>
      </c>
      <c r="P15" s="72">
        <f t="shared" si="25"/>
        <v>0</v>
      </c>
      <c r="Q15" s="72">
        <f t="shared" si="26"/>
        <v>0</v>
      </c>
      <c r="R15" s="72">
        <f t="shared" si="27"/>
        <v>0</v>
      </c>
      <c r="S15" s="72">
        <f t="shared" si="28"/>
        <v>0</v>
      </c>
      <c r="T15" s="72">
        <f t="shared" si="29"/>
        <v>0</v>
      </c>
      <c r="U15" s="72">
        <f t="shared" si="30"/>
        <v>0</v>
      </c>
      <c r="V15" s="72">
        <f t="shared" si="5"/>
        <v>0</v>
      </c>
      <c r="W15" s="72">
        <f t="shared" si="1"/>
        <v>0</v>
      </c>
      <c r="X15" s="72">
        <f t="shared" si="1"/>
        <v>0</v>
      </c>
      <c r="Z15" s="72">
        <f t="shared" si="6"/>
        <v>0</v>
      </c>
      <c r="AA15" s="72">
        <f t="shared" si="7"/>
        <v>0</v>
      </c>
      <c r="AB15" s="72">
        <f t="shared" si="8"/>
        <v>0</v>
      </c>
      <c r="AC15" s="72">
        <f t="shared" si="9"/>
        <v>0</v>
      </c>
      <c r="AD15" s="72">
        <f t="shared" si="10"/>
        <v>0</v>
      </c>
      <c r="AE15" s="72">
        <f t="shared" si="11"/>
        <v>0</v>
      </c>
      <c r="AF15" s="72">
        <f t="shared" si="12"/>
        <v>0</v>
      </c>
      <c r="AG15" s="72">
        <f t="shared" si="13"/>
        <v>0</v>
      </c>
      <c r="AH15" s="72">
        <f t="shared" si="14"/>
        <v>0</v>
      </c>
      <c r="AI15" s="72">
        <f t="shared" si="15"/>
        <v>0</v>
      </c>
      <c r="AJ15" s="72">
        <f t="shared" si="16"/>
        <v>0</v>
      </c>
      <c r="AK15" s="72">
        <f t="shared" si="17"/>
        <v>0</v>
      </c>
      <c r="AL15" s="72">
        <f t="shared" si="18"/>
        <v>0</v>
      </c>
      <c r="AM15" s="72">
        <f t="shared" si="2"/>
        <v>0</v>
      </c>
      <c r="AN15" s="72">
        <f t="shared" si="2"/>
        <v>0</v>
      </c>
      <c r="AQ15" s="71" t="s">
        <v>268</v>
      </c>
      <c r="AR15" s="97">
        <f t="shared" si="0"/>
        <v>409.76</v>
      </c>
      <c r="AS15" s="58">
        <f>AM63</f>
        <v>0</v>
      </c>
      <c r="AT15" s="58">
        <f>W63</f>
        <v>409.76</v>
      </c>
      <c r="AY15" s="59"/>
    </row>
    <row r="16" spans="2:51">
      <c r="B16" s="60">
        <v>45196</v>
      </c>
      <c r="C16" s="62" t="s">
        <v>685</v>
      </c>
      <c r="D16" s="79" t="s">
        <v>53</v>
      </c>
      <c r="E16" s="56">
        <v>49.13</v>
      </c>
      <c r="F16" s="76" t="s">
        <v>67</v>
      </c>
      <c r="G16" s="77">
        <f t="shared" si="3"/>
        <v>49.13</v>
      </c>
      <c r="H16" s="78">
        <f t="shared" si="4"/>
        <v>0</v>
      </c>
      <c r="I16" s="481"/>
      <c r="J16" s="72">
        <f t="shared" si="19"/>
        <v>0</v>
      </c>
      <c r="K16" s="72">
        <f t="shared" si="20"/>
        <v>0</v>
      </c>
      <c r="L16" s="72">
        <f t="shared" si="21"/>
        <v>0</v>
      </c>
      <c r="M16" s="72">
        <f t="shared" si="22"/>
        <v>0</v>
      </c>
      <c r="N16" s="72">
        <f t="shared" si="23"/>
        <v>0</v>
      </c>
      <c r="O16" s="72">
        <f t="shared" si="24"/>
        <v>0</v>
      </c>
      <c r="P16" s="72">
        <f t="shared" si="25"/>
        <v>0</v>
      </c>
      <c r="Q16" s="72">
        <f t="shared" si="26"/>
        <v>0</v>
      </c>
      <c r="R16" s="72">
        <f t="shared" si="27"/>
        <v>0</v>
      </c>
      <c r="S16" s="72">
        <f t="shared" si="28"/>
        <v>0</v>
      </c>
      <c r="T16" s="72">
        <f t="shared" si="29"/>
        <v>0</v>
      </c>
      <c r="U16" s="72">
        <f t="shared" si="30"/>
        <v>0</v>
      </c>
      <c r="V16" s="72">
        <f t="shared" si="5"/>
        <v>0</v>
      </c>
      <c r="W16" s="72">
        <f t="shared" si="1"/>
        <v>0</v>
      </c>
      <c r="X16" s="72">
        <f t="shared" si="1"/>
        <v>0</v>
      </c>
      <c r="Z16" s="72">
        <f t="shared" si="6"/>
        <v>0</v>
      </c>
      <c r="AA16" s="72">
        <f t="shared" si="7"/>
        <v>0</v>
      </c>
      <c r="AB16" s="72">
        <f t="shared" si="8"/>
        <v>0</v>
      </c>
      <c r="AC16" s="72">
        <f t="shared" si="9"/>
        <v>0</v>
      </c>
      <c r="AD16" s="72">
        <f t="shared" si="10"/>
        <v>0</v>
      </c>
      <c r="AE16" s="72">
        <f t="shared" si="11"/>
        <v>49.13</v>
      </c>
      <c r="AF16" s="72">
        <f t="shared" si="12"/>
        <v>0</v>
      </c>
      <c r="AG16" s="72">
        <f t="shared" si="13"/>
        <v>0</v>
      </c>
      <c r="AH16" s="72">
        <f t="shared" si="14"/>
        <v>0</v>
      </c>
      <c r="AI16" s="72">
        <f t="shared" si="15"/>
        <v>0</v>
      </c>
      <c r="AJ16" s="72">
        <f t="shared" si="16"/>
        <v>0</v>
      </c>
      <c r="AK16" s="72">
        <f t="shared" si="17"/>
        <v>0</v>
      </c>
      <c r="AL16" s="72">
        <f t="shared" si="18"/>
        <v>0</v>
      </c>
      <c r="AM16" s="72">
        <f t="shared" si="2"/>
        <v>0</v>
      </c>
      <c r="AN16" s="72">
        <f t="shared" si="2"/>
        <v>0</v>
      </c>
      <c r="AQ16" s="71"/>
      <c r="AR16" s="97">
        <f t="shared" si="0"/>
        <v>0</v>
      </c>
      <c r="AS16" s="95">
        <f>AN63</f>
        <v>0</v>
      </c>
      <c r="AT16" s="95">
        <f>X63</f>
        <v>0</v>
      </c>
      <c r="AU16" s="59"/>
      <c r="AY16" s="59"/>
    </row>
    <row r="17" spans="2:52">
      <c r="B17" s="60">
        <v>45196</v>
      </c>
      <c r="C17" s="62" t="s">
        <v>685</v>
      </c>
      <c r="D17" s="79" t="s">
        <v>53</v>
      </c>
      <c r="E17" s="56">
        <v>120.29</v>
      </c>
      <c r="F17" s="76" t="s">
        <v>67</v>
      </c>
      <c r="G17" s="77">
        <f t="shared" si="3"/>
        <v>120.29</v>
      </c>
      <c r="H17" s="78">
        <f t="shared" si="4"/>
        <v>0</v>
      </c>
      <c r="I17" s="481"/>
      <c r="J17" s="72">
        <f t="shared" si="19"/>
        <v>0</v>
      </c>
      <c r="K17" s="72">
        <f t="shared" si="20"/>
        <v>0</v>
      </c>
      <c r="L17" s="72">
        <f t="shared" si="21"/>
        <v>0</v>
      </c>
      <c r="M17" s="72">
        <f t="shared" si="22"/>
        <v>0</v>
      </c>
      <c r="N17" s="72">
        <f t="shared" si="23"/>
        <v>0</v>
      </c>
      <c r="O17" s="72">
        <f t="shared" si="24"/>
        <v>0</v>
      </c>
      <c r="P17" s="72">
        <f t="shared" si="25"/>
        <v>0</v>
      </c>
      <c r="Q17" s="72">
        <f t="shared" si="26"/>
        <v>0</v>
      </c>
      <c r="R17" s="72">
        <f t="shared" si="27"/>
        <v>0</v>
      </c>
      <c r="S17" s="72">
        <f t="shared" si="28"/>
        <v>0</v>
      </c>
      <c r="T17" s="72">
        <f t="shared" si="29"/>
        <v>0</v>
      </c>
      <c r="U17" s="72">
        <f t="shared" si="30"/>
        <v>0</v>
      </c>
      <c r="V17" s="72">
        <f t="shared" si="5"/>
        <v>0</v>
      </c>
      <c r="W17" s="72">
        <f t="shared" si="1"/>
        <v>0</v>
      </c>
      <c r="X17" s="72">
        <f t="shared" si="1"/>
        <v>0</v>
      </c>
      <c r="Z17" s="72">
        <f t="shared" si="6"/>
        <v>0</v>
      </c>
      <c r="AA17" s="72">
        <f t="shared" si="7"/>
        <v>0</v>
      </c>
      <c r="AB17" s="72">
        <f t="shared" si="8"/>
        <v>0</v>
      </c>
      <c r="AC17" s="72">
        <f t="shared" si="9"/>
        <v>0</v>
      </c>
      <c r="AD17" s="72">
        <f t="shared" si="10"/>
        <v>0</v>
      </c>
      <c r="AE17" s="72">
        <f t="shared" si="11"/>
        <v>120.29</v>
      </c>
      <c r="AF17" s="72">
        <f t="shared" si="12"/>
        <v>0</v>
      </c>
      <c r="AG17" s="72">
        <f t="shared" si="13"/>
        <v>0</v>
      </c>
      <c r="AH17" s="72">
        <f t="shared" si="14"/>
        <v>0</v>
      </c>
      <c r="AI17" s="72">
        <f t="shared" si="15"/>
        <v>0</v>
      </c>
      <c r="AJ17" s="72">
        <f t="shared" si="16"/>
        <v>0</v>
      </c>
      <c r="AK17" s="72">
        <f t="shared" si="17"/>
        <v>0</v>
      </c>
      <c r="AL17" s="72">
        <f t="shared" si="18"/>
        <v>0</v>
      </c>
      <c r="AM17" s="72">
        <f t="shared" si="2"/>
        <v>0</v>
      </c>
      <c r="AN17" s="72">
        <f t="shared" si="2"/>
        <v>0</v>
      </c>
      <c r="AQ17" s="87" t="s">
        <v>67</v>
      </c>
      <c r="AR17" s="96">
        <f>SUM(AR2:AR16)</f>
        <v>2264.3199999999997</v>
      </c>
      <c r="AS17" s="88">
        <f>SUM(AS2:AS16)</f>
        <v>444.59500000000003</v>
      </c>
      <c r="AT17" s="88">
        <f>SUM(AT2:AT16)</f>
        <v>1819.7250000000001</v>
      </c>
    </row>
    <row r="18" spans="2:52">
      <c r="B18" s="881" t="s">
        <v>267</v>
      </c>
      <c r="C18" s="872"/>
      <c r="D18" s="872"/>
      <c r="E18" s="872"/>
      <c r="F18" s="872"/>
      <c r="G18" s="872"/>
      <c r="H18" s="873"/>
      <c r="I18" s="481"/>
      <c r="J18" s="72">
        <f t="shared" si="19"/>
        <v>0</v>
      </c>
      <c r="K18" s="72">
        <f t="shared" si="20"/>
        <v>0</v>
      </c>
      <c r="L18" s="72">
        <f t="shared" si="21"/>
        <v>0</v>
      </c>
      <c r="M18" s="72">
        <f t="shared" si="22"/>
        <v>0</v>
      </c>
      <c r="N18" s="72">
        <f t="shared" si="23"/>
        <v>0</v>
      </c>
      <c r="O18" s="72">
        <f t="shared" si="24"/>
        <v>0</v>
      </c>
      <c r="P18" s="72">
        <f t="shared" si="25"/>
        <v>0</v>
      </c>
      <c r="Q18" s="72">
        <f t="shared" si="26"/>
        <v>0</v>
      </c>
      <c r="R18" s="72">
        <f t="shared" si="27"/>
        <v>0</v>
      </c>
      <c r="S18" s="72">
        <f t="shared" si="28"/>
        <v>0</v>
      </c>
      <c r="T18" s="72">
        <f t="shared" si="29"/>
        <v>0</v>
      </c>
      <c r="U18" s="72">
        <f t="shared" si="30"/>
        <v>0</v>
      </c>
      <c r="V18" s="72">
        <f t="shared" si="5"/>
        <v>0</v>
      </c>
      <c r="W18" s="72">
        <f t="shared" si="1"/>
        <v>0</v>
      </c>
      <c r="X18" s="72">
        <f t="shared" si="1"/>
        <v>0</v>
      </c>
      <c r="Z18" s="72">
        <f>IF($D18="ALIMENTAÇÃO",$B18,0)</f>
        <v>0</v>
      </c>
      <c r="AA18" s="72">
        <f>IF($D18="ANIMAIS",$B18,0)</f>
        <v>0</v>
      </c>
      <c r="AB18" s="72">
        <f>IF($D18="FILHO",$B18,0)</f>
        <v>0</v>
      </c>
      <c r="AC18" s="72">
        <f>IF($D18="GASOLINA",$B18,0)</f>
        <v>0</v>
      </c>
      <c r="AD18" s="72">
        <f>IF($D18="LAZER",$B18,0)</f>
        <v>0</v>
      </c>
      <c r="AE18" s="72">
        <f>IF($D18="MANUT. IMÓVEL",$B18,0)</f>
        <v>0</v>
      </c>
      <c r="AF18" s="72">
        <f>IF($D18="MANUT. VEICULAR",$B18,0)</f>
        <v>0</v>
      </c>
      <c r="AG18" s="72">
        <f>IF($D18="MÓVEIS",$B18,0)</f>
        <v>0</v>
      </c>
      <c r="AH18" s="72">
        <f>IF($D18="OUTROS",$B18,0)</f>
        <v>0</v>
      </c>
      <c r="AI18" s="72">
        <f>IF($D18="PLANOS",$B18,0)</f>
        <v>0</v>
      </c>
      <c r="AJ18" s="72">
        <f>IF($D18="SAÚDE",$B18,0)</f>
        <v>0</v>
      </c>
      <c r="AK18" s="72">
        <f>IF($D18="TRANSPORTE",$B18,0)</f>
        <v>0</v>
      </c>
      <c r="AL18" s="72">
        <f>IF($D18=AL$2,$B18,0)</f>
        <v>0</v>
      </c>
      <c r="AM18" s="72">
        <f>IF($D18=AM$2,$B18,0)</f>
        <v>0</v>
      </c>
      <c r="AN18" s="72" t="str">
        <f>IF($D18=AN$2,$B18,0)</f>
        <v>ESTÁ PAGO</v>
      </c>
      <c r="AQ18" s="80" t="s">
        <v>65</v>
      </c>
      <c r="AR18" s="850" t="s">
        <v>45</v>
      </c>
      <c r="AS18" s="851"/>
      <c r="AT18" s="852"/>
      <c r="AU18" s="99"/>
      <c r="AV18" s="98"/>
      <c r="AY18" s="59"/>
    </row>
    <row r="19" spans="2:52">
      <c r="B19" s="882"/>
      <c r="C19" s="875"/>
      <c r="D19" s="875"/>
      <c r="E19" s="875"/>
      <c r="F19" s="875"/>
      <c r="G19" s="875"/>
      <c r="H19" s="876"/>
      <c r="I19" s="481"/>
      <c r="J19" s="72">
        <f t="shared" si="19"/>
        <v>0</v>
      </c>
      <c r="K19" s="72">
        <f t="shared" si="20"/>
        <v>0</v>
      </c>
      <c r="L19" s="72">
        <f t="shared" si="21"/>
        <v>0</v>
      </c>
      <c r="M19" s="72">
        <f t="shared" si="22"/>
        <v>0</v>
      </c>
      <c r="N19" s="72">
        <f t="shared" si="23"/>
        <v>0</v>
      </c>
      <c r="O19" s="72">
        <f t="shared" si="24"/>
        <v>0</v>
      </c>
      <c r="P19" s="72">
        <f t="shared" si="25"/>
        <v>0</v>
      </c>
      <c r="Q19" s="72">
        <f t="shared" si="26"/>
        <v>0</v>
      </c>
      <c r="R19" s="72">
        <f t="shared" si="27"/>
        <v>0</v>
      </c>
      <c r="S19" s="72">
        <f t="shared" si="28"/>
        <v>0</v>
      </c>
      <c r="T19" s="72">
        <f t="shared" si="29"/>
        <v>0</v>
      </c>
      <c r="U19" s="72">
        <f t="shared" si="30"/>
        <v>0</v>
      </c>
      <c r="V19" s="72">
        <f t="shared" si="5"/>
        <v>0</v>
      </c>
      <c r="W19" s="72">
        <f t="shared" si="5"/>
        <v>0</v>
      </c>
      <c r="X19" s="72">
        <f t="shared" si="5"/>
        <v>0</v>
      </c>
      <c r="Z19" s="72">
        <f t="shared" si="6"/>
        <v>0</v>
      </c>
      <c r="AA19" s="72">
        <f t="shared" si="7"/>
        <v>0</v>
      </c>
      <c r="AB19" s="72">
        <f t="shared" si="8"/>
        <v>0</v>
      </c>
      <c r="AC19" s="72">
        <f t="shared" si="9"/>
        <v>0</v>
      </c>
      <c r="AD19" s="72">
        <f t="shared" si="10"/>
        <v>0</v>
      </c>
      <c r="AE19" s="72">
        <f t="shared" si="11"/>
        <v>0</v>
      </c>
      <c r="AF19" s="72">
        <f t="shared" si="12"/>
        <v>0</v>
      </c>
      <c r="AG19" s="72">
        <f t="shared" si="13"/>
        <v>0</v>
      </c>
      <c r="AH19" s="72">
        <f t="shared" si="14"/>
        <v>0</v>
      </c>
      <c r="AI19" s="72">
        <f t="shared" si="15"/>
        <v>0</v>
      </c>
      <c r="AJ19" s="72">
        <f t="shared" si="16"/>
        <v>0</v>
      </c>
      <c r="AK19" s="72">
        <f t="shared" si="17"/>
        <v>0</v>
      </c>
      <c r="AL19" s="72">
        <f t="shared" si="18"/>
        <v>0</v>
      </c>
      <c r="AM19" s="72">
        <f t="shared" si="18"/>
        <v>0</v>
      </c>
      <c r="AN19" s="72">
        <f t="shared" si="18"/>
        <v>0</v>
      </c>
      <c r="AQ19" s="80" t="s">
        <v>66</v>
      </c>
      <c r="AU19" s="98"/>
    </row>
    <row r="20" spans="2:52">
      <c r="B20" s="882"/>
      <c r="C20" s="875"/>
      <c r="D20" s="875"/>
      <c r="E20" s="875"/>
      <c r="F20" s="875"/>
      <c r="G20" s="875"/>
      <c r="H20" s="876"/>
      <c r="I20" s="481"/>
      <c r="J20" s="72">
        <f t="shared" si="19"/>
        <v>0</v>
      </c>
      <c r="K20" s="72">
        <f t="shared" si="20"/>
        <v>0</v>
      </c>
      <c r="L20" s="72">
        <f t="shared" si="21"/>
        <v>0</v>
      </c>
      <c r="M20" s="72">
        <f t="shared" si="22"/>
        <v>0</v>
      </c>
      <c r="N20" s="72">
        <f t="shared" si="23"/>
        <v>0</v>
      </c>
      <c r="O20" s="72">
        <f t="shared" si="24"/>
        <v>0</v>
      </c>
      <c r="P20" s="72">
        <f t="shared" si="25"/>
        <v>0</v>
      </c>
      <c r="Q20" s="72">
        <f t="shared" si="26"/>
        <v>0</v>
      </c>
      <c r="R20" s="72">
        <f t="shared" si="27"/>
        <v>0</v>
      </c>
      <c r="S20" s="72">
        <f t="shared" si="28"/>
        <v>0</v>
      </c>
      <c r="T20" s="72">
        <f t="shared" si="29"/>
        <v>0</v>
      </c>
      <c r="U20" s="72">
        <f t="shared" si="30"/>
        <v>0</v>
      </c>
      <c r="V20" s="72">
        <f t="shared" si="5"/>
        <v>0</v>
      </c>
      <c r="W20" s="72">
        <f t="shared" si="5"/>
        <v>0</v>
      </c>
      <c r="X20" s="72">
        <f t="shared" si="5"/>
        <v>0</v>
      </c>
      <c r="Z20" s="72">
        <f t="shared" si="6"/>
        <v>0</v>
      </c>
      <c r="AA20" s="72">
        <f t="shared" si="7"/>
        <v>0</v>
      </c>
      <c r="AB20" s="72">
        <f t="shared" si="8"/>
        <v>0</v>
      </c>
      <c r="AC20" s="72">
        <f t="shared" si="9"/>
        <v>0</v>
      </c>
      <c r="AD20" s="72">
        <f t="shared" si="10"/>
        <v>0</v>
      </c>
      <c r="AE20" s="72">
        <f t="shared" si="11"/>
        <v>0</v>
      </c>
      <c r="AF20" s="72">
        <f t="shared" si="12"/>
        <v>0</v>
      </c>
      <c r="AG20" s="72">
        <f t="shared" si="13"/>
        <v>0</v>
      </c>
      <c r="AH20" s="72">
        <f t="shared" si="14"/>
        <v>0</v>
      </c>
      <c r="AI20" s="72">
        <f t="shared" si="15"/>
        <v>0</v>
      </c>
      <c r="AJ20" s="72">
        <f t="shared" si="16"/>
        <v>0</v>
      </c>
      <c r="AK20" s="72">
        <f t="shared" si="17"/>
        <v>0</v>
      </c>
      <c r="AL20" s="72">
        <f t="shared" si="18"/>
        <v>0</v>
      </c>
      <c r="AM20" s="72">
        <f t="shared" si="18"/>
        <v>0</v>
      </c>
      <c r="AN20" s="72">
        <f t="shared" si="18"/>
        <v>0</v>
      </c>
    </row>
    <row r="21" spans="2:52">
      <c r="B21" s="882"/>
      <c r="C21" s="875"/>
      <c r="D21" s="875"/>
      <c r="E21" s="875"/>
      <c r="F21" s="875"/>
      <c r="G21" s="875"/>
      <c r="H21" s="876"/>
      <c r="I21" s="481"/>
      <c r="J21" s="72">
        <f t="shared" si="19"/>
        <v>0</v>
      </c>
      <c r="K21" s="72">
        <f t="shared" si="20"/>
        <v>0</v>
      </c>
      <c r="L21" s="72">
        <f t="shared" si="21"/>
        <v>0</v>
      </c>
      <c r="M21" s="72">
        <f t="shared" si="22"/>
        <v>0</v>
      </c>
      <c r="N21" s="72">
        <f t="shared" si="23"/>
        <v>0</v>
      </c>
      <c r="O21" s="72">
        <f t="shared" si="24"/>
        <v>0</v>
      </c>
      <c r="P21" s="72">
        <f t="shared" si="25"/>
        <v>0</v>
      </c>
      <c r="Q21" s="72">
        <f t="shared" si="26"/>
        <v>0</v>
      </c>
      <c r="R21" s="72">
        <f t="shared" si="27"/>
        <v>0</v>
      </c>
      <c r="S21" s="72">
        <f t="shared" si="28"/>
        <v>0</v>
      </c>
      <c r="T21" s="72">
        <f t="shared" si="29"/>
        <v>0</v>
      </c>
      <c r="U21" s="72">
        <f t="shared" si="30"/>
        <v>0</v>
      </c>
      <c r="V21" s="72">
        <f t="shared" si="5"/>
        <v>0</v>
      </c>
      <c r="W21" s="72">
        <f t="shared" si="5"/>
        <v>0</v>
      </c>
      <c r="X21" s="72">
        <f t="shared" si="5"/>
        <v>0</v>
      </c>
      <c r="Z21" s="72">
        <f t="shared" si="6"/>
        <v>0</v>
      </c>
      <c r="AA21" s="72">
        <f t="shared" si="7"/>
        <v>0</v>
      </c>
      <c r="AB21" s="72">
        <f t="shared" si="8"/>
        <v>0</v>
      </c>
      <c r="AC21" s="72">
        <f t="shared" si="9"/>
        <v>0</v>
      </c>
      <c r="AD21" s="72">
        <f t="shared" si="10"/>
        <v>0</v>
      </c>
      <c r="AE21" s="72">
        <f t="shared" si="11"/>
        <v>0</v>
      </c>
      <c r="AF21" s="72">
        <f t="shared" si="12"/>
        <v>0</v>
      </c>
      <c r="AG21" s="72">
        <f t="shared" si="13"/>
        <v>0</v>
      </c>
      <c r="AH21" s="72">
        <f t="shared" si="14"/>
        <v>0</v>
      </c>
      <c r="AI21" s="72">
        <f t="shared" si="15"/>
        <v>0</v>
      </c>
      <c r="AJ21" s="72">
        <f t="shared" si="16"/>
        <v>0</v>
      </c>
      <c r="AK21" s="72">
        <f t="shared" si="17"/>
        <v>0</v>
      </c>
      <c r="AL21" s="72">
        <f t="shared" si="18"/>
        <v>0</v>
      </c>
      <c r="AM21" s="72">
        <f t="shared" si="18"/>
        <v>0</v>
      </c>
      <c r="AN21" s="72">
        <f t="shared" si="18"/>
        <v>0</v>
      </c>
    </row>
    <row r="22" spans="2:52">
      <c r="B22" s="882"/>
      <c r="C22" s="875"/>
      <c r="D22" s="875"/>
      <c r="E22" s="875"/>
      <c r="F22" s="875"/>
      <c r="G22" s="875"/>
      <c r="H22" s="876"/>
      <c r="I22" s="482"/>
      <c r="J22" s="72">
        <f t="shared" si="19"/>
        <v>0</v>
      </c>
      <c r="K22" s="72">
        <f t="shared" si="20"/>
        <v>0</v>
      </c>
      <c r="L22" s="72">
        <f t="shared" si="21"/>
        <v>0</v>
      </c>
      <c r="M22" s="72">
        <f t="shared" si="22"/>
        <v>0</v>
      </c>
      <c r="N22" s="72">
        <f t="shared" si="23"/>
        <v>0</v>
      </c>
      <c r="O22" s="72">
        <f t="shared" si="24"/>
        <v>0</v>
      </c>
      <c r="P22" s="72">
        <f t="shared" si="25"/>
        <v>0</v>
      </c>
      <c r="Q22" s="72">
        <f t="shared" si="26"/>
        <v>0</v>
      </c>
      <c r="R22" s="72">
        <f t="shared" si="27"/>
        <v>0</v>
      </c>
      <c r="S22" s="72">
        <f t="shared" si="28"/>
        <v>0</v>
      </c>
      <c r="T22" s="72">
        <f t="shared" si="29"/>
        <v>0</v>
      </c>
      <c r="U22" s="72">
        <f t="shared" si="30"/>
        <v>0</v>
      </c>
      <c r="V22" s="72">
        <f t="shared" si="5"/>
        <v>0</v>
      </c>
      <c r="W22" s="72">
        <f t="shared" si="5"/>
        <v>0</v>
      </c>
      <c r="X22" s="72">
        <f t="shared" si="5"/>
        <v>0</v>
      </c>
      <c r="Y22" s="61"/>
      <c r="Z22" s="72">
        <f t="shared" si="6"/>
        <v>0</v>
      </c>
      <c r="AA22" s="72">
        <f t="shared" si="7"/>
        <v>0</v>
      </c>
      <c r="AB22" s="72">
        <f t="shared" si="8"/>
        <v>0</v>
      </c>
      <c r="AC22" s="72">
        <f t="shared" si="9"/>
        <v>0</v>
      </c>
      <c r="AD22" s="72">
        <f t="shared" si="10"/>
        <v>0</v>
      </c>
      <c r="AE22" s="72">
        <f t="shared" si="11"/>
        <v>0</v>
      </c>
      <c r="AF22" s="72">
        <f t="shared" si="12"/>
        <v>0</v>
      </c>
      <c r="AG22" s="72">
        <f t="shared" si="13"/>
        <v>0</v>
      </c>
      <c r="AH22" s="72">
        <f t="shared" si="14"/>
        <v>0</v>
      </c>
      <c r="AI22" s="72">
        <f t="shared" si="15"/>
        <v>0</v>
      </c>
      <c r="AJ22" s="72">
        <f t="shared" si="16"/>
        <v>0</v>
      </c>
      <c r="AK22" s="72">
        <f t="shared" si="17"/>
        <v>0</v>
      </c>
      <c r="AL22" s="72">
        <f t="shared" si="18"/>
        <v>0</v>
      </c>
      <c r="AM22" s="72">
        <f t="shared" si="18"/>
        <v>0</v>
      </c>
      <c r="AN22" s="72">
        <f t="shared" si="18"/>
        <v>0</v>
      </c>
      <c r="AO22" s="61"/>
      <c r="AP22" s="61"/>
    </row>
    <row r="23" spans="2:52" ht="17.25" thickBot="1">
      <c r="B23" s="882"/>
      <c r="C23" s="875"/>
      <c r="D23" s="875"/>
      <c r="E23" s="875"/>
      <c r="F23" s="875"/>
      <c r="G23" s="875"/>
      <c r="H23" s="876"/>
      <c r="I23" s="481"/>
      <c r="J23" s="72">
        <f t="shared" si="19"/>
        <v>0</v>
      </c>
      <c r="K23" s="72">
        <f t="shared" si="20"/>
        <v>0</v>
      </c>
      <c r="L23" s="72">
        <f t="shared" si="21"/>
        <v>0</v>
      </c>
      <c r="M23" s="72">
        <f t="shared" si="22"/>
        <v>0</v>
      </c>
      <c r="N23" s="72">
        <f t="shared" si="23"/>
        <v>0</v>
      </c>
      <c r="O23" s="72">
        <f t="shared" si="24"/>
        <v>0</v>
      </c>
      <c r="P23" s="72">
        <f t="shared" si="25"/>
        <v>0</v>
      </c>
      <c r="Q23" s="72">
        <f t="shared" si="26"/>
        <v>0</v>
      </c>
      <c r="R23" s="72">
        <f t="shared" si="27"/>
        <v>0</v>
      </c>
      <c r="S23" s="72">
        <f t="shared" si="28"/>
        <v>0</v>
      </c>
      <c r="T23" s="72">
        <f t="shared" si="29"/>
        <v>0</v>
      </c>
      <c r="U23" s="72">
        <f t="shared" si="30"/>
        <v>0</v>
      </c>
      <c r="V23" s="72">
        <f t="shared" si="5"/>
        <v>0</v>
      </c>
      <c r="W23" s="72">
        <f t="shared" si="5"/>
        <v>0</v>
      </c>
      <c r="X23" s="72">
        <f t="shared" si="5"/>
        <v>0</v>
      </c>
      <c r="Z23" s="72">
        <f t="shared" si="6"/>
        <v>0</v>
      </c>
      <c r="AA23" s="72">
        <f t="shared" si="7"/>
        <v>0</v>
      </c>
      <c r="AB23" s="72">
        <f t="shared" si="8"/>
        <v>0</v>
      </c>
      <c r="AC23" s="72">
        <f t="shared" si="9"/>
        <v>0</v>
      </c>
      <c r="AD23" s="72">
        <f t="shared" si="10"/>
        <v>0</v>
      </c>
      <c r="AE23" s="72">
        <f t="shared" si="11"/>
        <v>0</v>
      </c>
      <c r="AF23" s="72">
        <f t="shared" si="12"/>
        <v>0</v>
      </c>
      <c r="AG23" s="72">
        <f t="shared" si="13"/>
        <v>0</v>
      </c>
      <c r="AH23" s="72">
        <f t="shared" si="14"/>
        <v>0</v>
      </c>
      <c r="AI23" s="72">
        <f t="shared" si="15"/>
        <v>0</v>
      </c>
      <c r="AJ23" s="72">
        <f t="shared" si="16"/>
        <v>0</v>
      </c>
      <c r="AK23" s="72">
        <f t="shared" si="17"/>
        <v>0</v>
      </c>
      <c r="AL23" s="72">
        <f t="shared" si="18"/>
        <v>0</v>
      </c>
      <c r="AM23" s="72">
        <f t="shared" si="18"/>
        <v>0</v>
      </c>
      <c r="AN23" s="72">
        <f t="shared" si="18"/>
        <v>0</v>
      </c>
      <c r="AV23" s="864" t="s">
        <v>134</v>
      </c>
      <c r="AW23" s="864"/>
      <c r="AY23" s="866" t="s">
        <v>133</v>
      </c>
      <c r="AZ23" s="866"/>
    </row>
    <row r="24" spans="2:52">
      <c r="B24" s="882"/>
      <c r="C24" s="875"/>
      <c r="D24" s="875"/>
      <c r="E24" s="875"/>
      <c r="F24" s="875"/>
      <c r="G24" s="875"/>
      <c r="H24" s="876"/>
      <c r="I24" s="481"/>
      <c r="J24" s="72">
        <f t="shared" si="19"/>
        <v>0</v>
      </c>
      <c r="K24" s="72">
        <f t="shared" si="20"/>
        <v>0</v>
      </c>
      <c r="L24" s="72">
        <f t="shared" si="21"/>
        <v>0</v>
      </c>
      <c r="M24" s="72">
        <f t="shared" si="22"/>
        <v>0</v>
      </c>
      <c r="N24" s="72">
        <f t="shared" si="23"/>
        <v>0</v>
      </c>
      <c r="O24" s="72">
        <f t="shared" si="24"/>
        <v>0</v>
      </c>
      <c r="P24" s="72">
        <f t="shared" si="25"/>
        <v>0</v>
      </c>
      <c r="Q24" s="72">
        <f t="shared" si="26"/>
        <v>0</v>
      </c>
      <c r="R24" s="72">
        <f t="shared" si="27"/>
        <v>0</v>
      </c>
      <c r="S24" s="72">
        <f t="shared" si="28"/>
        <v>0</v>
      </c>
      <c r="T24" s="72">
        <f t="shared" si="29"/>
        <v>0</v>
      </c>
      <c r="U24" s="72">
        <f t="shared" si="30"/>
        <v>0</v>
      </c>
      <c r="V24" s="72">
        <f t="shared" si="5"/>
        <v>0</v>
      </c>
      <c r="W24" s="72">
        <f t="shared" si="5"/>
        <v>0</v>
      </c>
      <c r="X24" s="72">
        <f t="shared" si="5"/>
        <v>0</v>
      </c>
      <c r="Z24" s="72">
        <f t="shared" si="6"/>
        <v>0</v>
      </c>
      <c r="AA24" s="72">
        <f t="shared" si="7"/>
        <v>0</v>
      </c>
      <c r="AB24" s="72">
        <f t="shared" si="8"/>
        <v>0</v>
      </c>
      <c r="AC24" s="72">
        <f t="shared" si="9"/>
        <v>0</v>
      </c>
      <c r="AD24" s="72">
        <f t="shared" si="10"/>
        <v>0</v>
      </c>
      <c r="AE24" s="72">
        <f t="shared" si="11"/>
        <v>0</v>
      </c>
      <c r="AF24" s="72">
        <f t="shared" si="12"/>
        <v>0</v>
      </c>
      <c r="AG24" s="72">
        <f t="shared" si="13"/>
        <v>0</v>
      </c>
      <c r="AH24" s="72">
        <f t="shared" si="14"/>
        <v>0</v>
      </c>
      <c r="AI24" s="72">
        <f t="shared" si="15"/>
        <v>0</v>
      </c>
      <c r="AJ24" s="72">
        <f t="shared" si="16"/>
        <v>0</v>
      </c>
      <c r="AK24" s="72">
        <f t="shared" si="17"/>
        <v>0</v>
      </c>
      <c r="AL24" s="72">
        <f t="shared" si="18"/>
        <v>0</v>
      </c>
      <c r="AM24" s="72">
        <f t="shared" si="18"/>
        <v>0</v>
      </c>
      <c r="AN24" s="72">
        <f t="shared" si="18"/>
        <v>0</v>
      </c>
      <c r="AP24" s="491"/>
      <c r="AQ24" s="487" t="s">
        <v>350</v>
      </c>
      <c r="AR24" s="494">
        <f>AR17</f>
        <v>2264.3199999999997</v>
      </c>
      <c r="AV24" s="112" t="s">
        <v>75</v>
      </c>
      <c r="AW24" s="1"/>
      <c r="AY24" s="502" t="s">
        <v>130</v>
      </c>
      <c r="AZ24" s="503">
        <f>AS17</f>
        <v>444.59500000000003</v>
      </c>
    </row>
    <row r="25" spans="2:52">
      <c r="B25" s="882"/>
      <c r="C25" s="875"/>
      <c r="D25" s="875"/>
      <c r="E25" s="875"/>
      <c r="F25" s="875"/>
      <c r="G25" s="875"/>
      <c r="H25" s="876"/>
      <c r="I25" s="481"/>
      <c r="J25" s="72">
        <f t="shared" si="19"/>
        <v>0</v>
      </c>
      <c r="K25" s="72">
        <f t="shared" si="20"/>
        <v>0</v>
      </c>
      <c r="L25" s="72">
        <f t="shared" si="21"/>
        <v>0</v>
      </c>
      <c r="M25" s="72">
        <f t="shared" si="22"/>
        <v>0</v>
      </c>
      <c r="N25" s="72">
        <f t="shared" si="23"/>
        <v>0</v>
      </c>
      <c r="O25" s="72">
        <f t="shared" si="24"/>
        <v>0</v>
      </c>
      <c r="P25" s="72">
        <f t="shared" si="25"/>
        <v>0</v>
      </c>
      <c r="Q25" s="72">
        <f t="shared" si="26"/>
        <v>0</v>
      </c>
      <c r="R25" s="72">
        <f t="shared" si="27"/>
        <v>0</v>
      </c>
      <c r="S25" s="72">
        <f t="shared" si="28"/>
        <v>0</v>
      </c>
      <c r="T25" s="72">
        <f t="shared" si="29"/>
        <v>0</v>
      </c>
      <c r="U25" s="72">
        <f t="shared" si="30"/>
        <v>0</v>
      </c>
      <c r="V25" s="72">
        <f t="shared" si="5"/>
        <v>0</v>
      </c>
      <c r="W25" s="72">
        <f t="shared" si="5"/>
        <v>0</v>
      </c>
      <c r="X25" s="72">
        <f t="shared" si="5"/>
        <v>0</v>
      </c>
      <c r="Z25" s="72">
        <f t="shared" si="6"/>
        <v>0</v>
      </c>
      <c r="AA25" s="72">
        <f t="shared" si="7"/>
        <v>0</v>
      </c>
      <c r="AB25" s="72">
        <f t="shared" si="8"/>
        <v>0</v>
      </c>
      <c r="AC25" s="72">
        <f t="shared" si="9"/>
        <v>0</v>
      </c>
      <c r="AD25" s="72">
        <f t="shared" si="10"/>
        <v>0</v>
      </c>
      <c r="AE25" s="72">
        <f t="shared" si="11"/>
        <v>0</v>
      </c>
      <c r="AF25" s="72">
        <f t="shared" si="12"/>
        <v>0</v>
      </c>
      <c r="AG25" s="72">
        <f t="shared" si="13"/>
        <v>0</v>
      </c>
      <c r="AH25" s="72">
        <f t="shared" si="14"/>
        <v>0</v>
      </c>
      <c r="AI25" s="72">
        <f t="shared" si="15"/>
        <v>0</v>
      </c>
      <c r="AJ25" s="72">
        <f t="shared" si="16"/>
        <v>0</v>
      </c>
      <c r="AK25" s="72">
        <f t="shared" si="17"/>
        <v>0</v>
      </c>
      <c r="AL25" s="72">
        <f t="shared" si="18"/>
        <v>0</v>
      </c>
      <c r="AM25" s="72">
        <f t="shared" si="18"/>
        <v>0</v>
      </c>
      <c r="AN25" s="72">
        <f t="shared" si="18"/>
        <v>0</v>
      </c>
      <c r="AP25" s="492"/>
      <c r="AQ25" s="488" t="s">
        <v>349</v>
      </c>
      <c r="AR25" s="501">
        <f>AY4+AY6</f>
        <v>175.97</v>
      </c>
      <c r="AS25" s="869" t="s">
        <v>356</v>
      </c>
      <c r="AT25" s="870"/>
      <c r="AV25" s="112" t="s">
        <v>76</v>
      </c>
      <c r="AW25" s="1"/>
      <c r="AY25" s="502" t="s">
        <v>131</v>
      </c>
      <c r="AZ25" s="504">
        <f>AR27</f>
        <v>40.96</v>
      </c>
    </row>
    <row r="26" spans="2:52">
      <c r="B26" s="882"/>
      <c r="C26" s="875"/>
      <c r="D26" s="875"/>
      <c r="E26" s="875"/>
      <c r="F26" s="875"/>
      <c r="G26" s="875"/>
      <c r="H26" s="876"/>
      <c r="I26" s="481"/>
      <c r="J26" s="72">
        <f t="shared" si="19"/>
        <v>0</v>
      </c>
      <c r="K26" s="72">
        <f t="shared" si="20"/>
        <v>0</v>
      </c>
      <c r="L26" s="72">
        <f t="shared" si="21"/>
        <v>0</v>
      </c>
      <c r="M26" s="72">
        <f t="shared" si="22"/>
        <v>0</v>
      </c>
      <c r="N26" s="72">
        <f t="shared" si="23"/>
        <v>0</v>
      </c>
      <c r="O26" s="72">
        <f t="shared" si="24"/>
        <v>0</v>
      </c>
      <c r="P26" s="72">
        <f t="shared" si="25"/>
        <v>0</v>
      </c>
      <c r="Q26" s="72">
        <f t="shared" si="26"/>
        <v>0</v>
      </c>
      <c r="R26" s="72">
        <f t="shared" si="27"/>
        <v>0</v>
      </c>
      <c r="S26" s="72">
        <f t="shared" si="28"/>
        <v>0</v>
      </c>
      <c r="T26" s="72">
        <f t="shared" si="29"/>
        <v>0</v>
      </c>
      <c r="U26" s="72">
        <f t="shared" si="30"/>
        <v>0</v>
      </c>
      <c r="V26" s="72">
        <f t="shared" si="5"/>
        <v>0</v>
      </c>
      <c r="W26" s="72">
        <f t="shared" si="5"/>
        <v>0</v>
      </c>
      <c r="X26" s="72">
        <f t="shared" si="5"/>
        <v>0</v>
      </c>
      <c r="Z26" s="72">
        <f t="shared" si="6"/>
        <v>0</v>
      </c>
      <c r="AA26" s="72">
        <f t="shared" si="7"/>
        <v>0</v>
      </c>
      <c r="AB26" s="72">
        <f t="shared" si="8"/>
        <v>0</v>
      </c>
      <c r="AC26" s="72">
        <f t="shared" si="9"/>
        <v>0</v>
      </c>
      <c r="AD26" s="72">
        <f t="shared" si="10"/>
        <v>0</v>
      </c>
      <c r="AE26" s="72">
        <f t="shared" si="11"/>
        <v>0</v>
      </c>
      <c r="AF26" s="72">
        <f t="shared" si="12"/>
        <v>0</v>
      </c>
      <c r="AG26" s="72">
        <f t="shared" si="13"/>
        <v>0</v>
      </c>
      <c r="AH26" s="72">
        <f t="shared" si="14"/>
        <v>0</v>
      </c>
      <c r="AI26" s="72">
        <f t="shared" si="15"/>
        <v>0</v>
      </c>
      <c r="AJ26" s="72">
        <f t="shared" si="16"/>
        <v>0</v>
      </c>
      <c r="AK26" s="72">
        <f t="shared" si="17"/>
        <v>0</v>
      </c>
      <c r="AL26" s="72">
        <f t="shared" si="18"/>
        <v>0</v>
      </c>
      <c r="AM26" s="72">
        <f t="shared" si="18"/>
        <v>0</v>
      </c>
      <c r="AN26" s="72">
        <f t="shared" si="18"/>
        <v>0</v>
      </c>
      <c r="AP26" s="492"/>
      <c r="AQ26" s="488" t="s">
        <v>353</v>
      </c>
      <c r="AR26" s="495">
        <f>AR24-AR25</f>
        <v>2088.35</v>
      </c>
      <c r="AV26" s="112" t="s">
        <v>77</v>
      </c>
      <c r="AW26" s="1"/>
      <c r="AY26" s="502" t="s">
        <v>134</v>
      </c>
      <c r="AZ26" s="505">
        <f>AW31</f>
        <v>0</v>
      </c>
    </row>
    <row r="27" spans="2:52">
      <c r="B27" s="882"/>
      <c r="C27" s="875"/>
      <c r="D27" s="875"/>
      <c r="E27" s="875"/>
      <c r="F27" s="875"/>
      <c r="G27" s="875"/>
      <c r="H27" s="876"/>
      <c r="I27" s="481"/>
      <c r="J27" s="72">
        <f t="shared" si="19"/>
        <v>0</v>
      </c>
      <c r="K27" s="72">
        <f t="shared" si="20"/>
        <v>0</v>
      </c>
      <c r="L27" s="72">
        <f t="shared" si="21"/>
        <v>0</v>
      </c>
      <c r="M27" s="72">
        <f t="shared" si="22"/>
        <v>0</v>
      </c>
      <c r="N27" s="72">
        <f t="shared" si="23"/>
        <v>0</v>
      </c>
      <c r="O27" s="72">
        <f t="shared" si="24"/>
        <v>0</v>
      </c>
      <c r="P27" s="72">
        <f t="shared" si="25"/>
        <v>0</v>
      </c>
      <c r="Q27" s="72">
        <f t="shared" si="26"/>
        <v>0</v>
      </c>
      <c r="R27" s="72">
        <f t="shared" si="27"/>
        <v>0</v>
      </c>
      <c r="S27" s="72">
        <f t="shared" si="28"/>
        <v>0</v>
      </c>
      <c r="T27" s="72">
        <f t="shared" si="29"/>
        <v>0</v>
      </c>
      <c r="U27" s="72">
        <f t="shared" si="30"/>
        <v>0</v>
      </c>
      <c r="V27" s="72">
        <f t="shared" si="5"/>
        <v>0</v>
      </c>
      <c r="W27" s="72">
        <f t="shared" si="5"/>
        <v>0</v>
      </c>
      <c r="X27" s="72">
        <f t="shared" si="5"/>
        <v>0</v>
      </c>
      <c r="Z27" s="72">
        <f t="shared" si="6"/>
        <v>0</v>
      </c>
      <c r="AA27" s="72">
        <f t="shared" si="7"/>
        <v>0</v>
      </c>
      <c r="AB27" s="72">
        <f t="shared" si="8"/>
        <v>0</v>
      </c>
      <c r="AC27" s="72">
        <f t="shared" si="9"/>
        <v>0</v>
      </c>
      <c r="AD27" s="72">
        <f t="shared" si="10"/>
        <v>0</v>
      </c>
      <c r="AE27" s="72">
        <f t="shared" si="11"/>
        <v>0</v>
      </c>
      <c r="AF27" s="72">
        <f t="shared" si="12"/>
        <v>0</v>
      </c>
      <c r="AG27" s="72">
        <f t="shared" si="13"/>
        <v>0</v>
      </c>
      <c r="AH27" s="72">
        <f t="shared" si="14"/>
        <v>0</v>
      </c>
      <c r="AI27" s="72">
        <f t="shared" si="15"/>
        <v>0</v>
      </c>
      <c r="AJ27" s="72">
        <f t="shared" si="16"/>
        <v>0</v>
      </c>
      <c r="AK27" s="72">
        <f t="shared" si="17"/>
        <v>0</v>
      </c>
      <c r="AL27" s="72">
        <f t="shared" si="18"/>
        <v>0</v>
      </c>
      <c r="AM27" s="72">
        <f t="shared" si="18"/>
        <v>0</v>
      </c>
      <c r="AN27" s="72">
        <f t="shared" si="18"/>
        <v>0</v>
      </c>
      <c r="AP27" s="492"/>
      <c r="AQ27" s="489" t="s">
        <v>351</v>
      </c>
      <c r="AR27" s="486">
        <v>40.96</v>
      </c>
      <c r="AS27" s="867" t="s">
        <v>357</v>
      </c>
      <c r="AT27" s="868"/>
      <c r="AV27" s="112" t="s">
        <v>78</v>
      </c>
      <c r="AW27" s="54"/>
      <c r="AY27" s="502" t="s">
        <v>355</v>
      </c>
      <c r="AZ27" s="165">
        <v>0</v>
      </c>
    </row>
    <row r="28" spans="2:52" ht="17.25" customHeight="1" thickBot="1">
      <c r="B28" s="882"/>
      <c r="C28" s="875"/>
      <c r="D28" s="875"/>
      <c r="E28" s="875"/>
      <c r="F28" s="875"/>
      <c r="G28" s="875"/>
      <c r="H28" s="876"/>
      <c r="I28" s="481"/>
      <c r="J28" s="72">
        <f t="shared" si="19"/>
        <v>0</v>
      </c>
      <c r="K28" s="72">
        <f t="shared" si="20"/>
        <v>0</v>
      </c>
      <c r="L28" s="72">
        <f t="shared" si="21"/>
        <v>0</v>
      </c>
      <c r="M28" s="72">
        <f t="shared" si="22"/>
        <v>0</v>
      </c>
      <c r="N28" s="72">
        <f t="shared" si="23"/>
        <v>0</v>
      </c>
      <c r="O28" s="72">
        <f t="shared" si="24"/>
        <v>0</v>
      </c>
      <c r="P28" s="72">
        <f t="shared" si="25"/>
        <v>0</v>
      </c>
      <c r="Q28" s="72">
        <f t="shared" si="26"/>
        <v>0</v>
      </c>
      <c r="R28" s="72">
        <f t="shared" si="27"/>
        <v>0</v>
      </c>
      <c r="S28" s="72">
        <f t="shared" si="28"/>
        <v>0</v>
      </c>
      <c r="T28" s="72">
        <f t="shared" si="29"/>
        <v>0</v>
      </c>
      <c r="U28" s="72">
        <f t="shared" si="30"/>
        <v>0</v>
      </c>
      <c r="V28" s="72">
        <f t="shared" si="5"/>
        <v>0</v>
      </c>
      <c r="W28" s="72">
        <f t="shared" si="5"/>
        <v>0</v>
      </c>
      <c r="X28" s="72">
        <f t="shared" si="5"/>
        <v>0</v>
      </c>
      <c r="Z28" s="72">
        <f t="shared" si="6"/>
        <v>0</v>
      </c>
      <c r="AA28" s="72">
        <f t="shared" si="7"/>
        <v>0</v>
      </c>
      <c r="AB28" s="72">
        <f t="shared" si="8"/>
        <v>0</v>
      </c>
      <c r="AC28" s="72">
        <f t="shared" si="9"/>
        <v>0</v>
      </c>
      <c r="AD28" s="72">
        <f t="shared" si="10"/>
        <v>0</v>
      </c>
      <c r="AE28" s="72">
        <f t="shared" si="11"/>
        <v>0</v>
      </c>
      <c r="AF28" s="72">
        <f t="shared" si="12"/>
        <v>0</v>
      </c>
      <c r="AG28" s="72">
        <f t="shared" si="13"/>
        <v>0</v>
      </c>
      <c r="AH28" s="72">
        <f t="shared" si="14"/>
        <v>0</v>
      </c>
      <c r="AI28" s="72">
        <f t="shared" si="15"/>
        <v>0</v>
      </c>
      <c r="AJ28" s="72">
        <f t="shared" si="16"/>
        <v>0</v>
      </c>
      <c r="AK28" s="72">
        <f t="shared" si="17"/>
        <v>0</v>
      </c>
      <c r="AL28" s="72">
        <f t="shared" si="18"/>
        <v>0</v>
      </c>
      <c r="AM28" s="72">
        <f t="shared" si="18"/>
        <v>0</v>
      </c>
      <c r="AN28" s="72">
        <f t="shared" si="18"/>
        <v>0</v>
      </c>
      <c r="AP28" s="493"/>
      <c r="AQ28" s="490" t="s">
        <v>352</v>
      </c>
      <c r="AR28" s="500">
        <f>AR27+AR26</f>
        <v>2129.31</v>
      </c>
      <c r="AS28" s="867"/>
      <c r="AT28" s="868"/>
      <c r="AV28" s="112" t="s">
        <v>45</v>
      </c>
      <c r="AW28" s="1">
        <f>+SUM(AW24:AW27)</f>
        <v>0</v>
      </c>
      <c r="AY28" s="502" t="s">
        <v>45</v>
      </c>
      <c r="AZ28" s="166">
        <f>AZ24+AZ25+AZ26-AZ27</f>
        <v>485.55500000000001</v>
      </c>
    </row>
    <row r="29" spans="2:52" ht="16.5" customHeight="1">
      <c r="B29" s="882"/>
      <c r="C29" s="875"/>
      <c r="D29" s="875"/>
      <c r="E29" s="875"/>
      <c r="F29" s="875"/>
      <c r="G29" s="875"/>
      <c r="H29" s="876"/>
      <c r="I29" s="481"/>
      <c r="J29" s="72">
        <f t="shared" si="19"/>
        <v>0</v>
      </c>
      <c r="K29" s="72">
        <f t="shared" si="20"/>
        <v>0</v>
      </c>
      <c r="L29" s="72">
        <f t="shared" si="21"/>
        <v>0</v>
      </c>
      <c r="M29" s="72">
        <f t="shared" si="22"/>
        <v>0</v>
      </c>
      <c r="N29" s="72">
        <f t="shared" si="23"/>
        <v>0</v>
      </c>
      <c r="O29" s="72">
        <f t="shared" si="24"/>
        <v>0</v>
      </c>
      <c r="P29" s="72">
        <f t="shared" si="25"/>
        <v>0</v>
      </c>
      <c r="Q29" s="72">
        <f t="shared" si="26"/>
        <v>0</v>
      </c>
      <c r="R29" s="72">
        <f t="shared" si="27"/>
        <v>0</v>
      </c>
      <c r="S29" s="72">
        <f t="shared" si="28"/>
        <v>0</v>
      </c>
      <c r="T29" s="72">
        <f t="shared" si="29"/>
        <v>0</v>
      </c>
      <c r="U29" s="72">
        <f t="shared" si="30"/>
        <v>0</v>
      </c>
      <c r="V29" s="72">
        <f t="shared" si="5"/>
        <v>0</v>
      </c>
      <c r="W29" s="72">
        <f t="shared" si="5"/>
        <v>0</v>
      </c>
      <c r="X29" s="72">
        <f t="shared" si="5"/>
        <v>0</v>
      </c>
      <c r="Z29" s="72">
        <f t="shared" si="6"/>
        <v>0</v>
      </c>
      <c r="AA29" s="72">
        <f t="shared" si="7"/>
        <v>0</v>
      </c>
      <c r="AB29" s="72">
        <f t="shared" si="8"/>
        <v>0</v>
      </c>
      <c r="AC29" s="72">
        <f t="shared" si="9"/>
        <v>0</v>
      </c>
      <c r="AD29" s="72">
        <f t="shared" si="10"/>
        <v>0</v>
      </c>
      <c r="AE29" s="72">
        <f t="shared" si="11"/>
        <v>0</v>
      </c>
      <c r="AF29" s="72">
        <f t="shared" si="12"/>
        <v>0</v>
      </c>
      <c r="AG29" s="72">
        <f t="shared" si="13"/>
        <v>0</v>
      </c>
      <c r="AH29" s="72">
        <f t="shared" si="14"/>
        <v>0</v>
      </c>
      <c r="AI29" s="72">
        <f t="shared" si="15"/>
        <v>0</v>
      </c>
      <c r="AJ29" s="72">
        <f t="shared" si="16"/>
        <v>0</v>
      </c>
      <c r="AK29" s="72">
        <f t="shared" si="17"/>
        <v>0</v>
      </c>
      <c r="AL29" s="72">
        <f t="shared" si="18"/>
        <v>0</v>
      </c>
      <c r="AM29" s="72">
        <f t="shared" si="18"/>
        <v>0</v>
      </c>
      <c r="AN29" s="72">
        <f t="shared" si="18"/>
        <v>0</v>
      </c>
      <c r="AR29" s="59">
        <f>AR28-E4</f>
        <v>2110.41</v>
      </c>
      <c r="AV29" s="112"/>
      <c r="AW29" s="1"/>
    </row>
    <row r="30" spans="2:52" ht="17.25" customHeight="1" thickBot="1">
      <c r="B30" s="882"/>
      <c r="C30" s="875"/>
      <c r="D30" s="875"/>
      <c r="E30" s="875"/>
      <c r="F30" s="875"/>
      <c r="G30" s="875"/>
      <c r="H30" s="876"/>
      <c r="I30" s="481"/>
      <c r="J30" s="72">
        <f t="shared" si="19"/>
        <v>0</v>
      </c>
      <c r="K30" s="72">
        <f t="shared" si="20"/>
        <v>0</v>
      </c>
      <c r="L30" s="72">
        <f t="shared" si="21"/>
        <v>0</v>
      </c>
      <c r="M30" s="72">
        <f t="shared" si="22"/>
        <v>0</v>
      </c>
      <c r="N30" s="72">
        <f t="shared" si="23"/>
        <v>0</v>
      </c>
      <c r="O30" s="72">
        <f t="shared" si="24"/>
        <v>0</v>
      </c>
      <c r="P30" s="72">
        <f t="shared" si="25"/>
        <v>0</v>
      </c>
      <c r="Q30" s="72">
        <f t="shared" si="26"/>
        <v>0</v>
      </c>
      <c r="R30" s="72">
        <f t="shared" si="27"/>
        <v>0</v>
      </c>
      <c r="S30" s="72">
        <f t="shared" si="28"/>
        <v>0</v>
      </c>
      <c r="T30" s="72">
        <f t="shared" si="29"/>
        <v>0</v>
      </c>
      <c r="U30" s="72">
        <f t="shared" si="30"/>
        <v>0</v>
      </c>
      <c r="V30" s="72">
        <f t="shared" si="5"/>
        <v>0</v>
      </c>
      <c r="W30" s="72">
        <f t="shared" si="5"/>
        <v>0</v>
      </c>
      <c r="X30" s="72">
        <f t="shared" si="5"/>
        <v>0</v>
      </c>
      <c r="Z30" s="72">
        <f t="shared" si="6"/>
        <v>0</v>
      </c>
      <c r="AA30" s="72">
        <f t="shared" si="7"/>
        <v>0</v>
      </c>
      <c r="AB30" s="72">
        <f t="shared" si="8"/>
        <v>0</v>
      </c>
      <c r="AC30" s="72">
        <f t="shared" si="9"/>
        <v>0</v>
      </c>
      <c r="AD30" s="72">
        <f t="shared" si="10"/>
        <v>0</v>
      </c>
      <c r="AE30" s="72">
        <f t="shared" si="11"/>
        <v>0</v>
      </c>
      <c r="AF30" s="72">
        <f t="shared" si="12"/>
        <v>0</v>
      </c>
      <c r="AG30" s="72">
        <f t="shared" si="13"/>
        <v>0</v>
      </c>
      <c r="AH30" s="72">
        <f t="shared" si="14"/>
        <v>0</v>
      </c>
      <c r="AI30" s="72">
        <f t="shared" si="15"/>
        <v>0</v>
      </c>
      <c r="AJ30" s="72">
        <f t="shared" si="16"/>
        <v>0</v>
      </c>
      <c r="AK30" s="72">
        <f t="shared" si="17"/>
        <v>0</v>
      </c>
      <c r="AL30" s="72">
        <f t="shared" si="18"/>
        <v>0</v>
      </c>
      <c r="AM30" s="72">
        <f t="shared" si="18"/>
        <v>0</v>
      </c>
      <c r="AN30" s="72">
        <f t="shared" si="18"/>
        <v>0</v>
      </c>
      <c r="AV30" s="1"/>
      <c r="AW30" s="1"/>
      <c r="AY30" s="485" t="s">
        <v>386</v>
      </c>
      <c r="AZ30" s="509">
        <f>AZ25+AZ24-AY6</f>
        <v>368.245</v>
      </c>
    </row>
    <row r="31" spans="2:52" ht="17.25" customHeight="1" thickBot="1">
      <c r="B31" s="882"/>
      <c r="C31" s="875"/>
      <c r="D31" s="875"/>
      <c r="E31" s="875"/>
      <c r="F31" s="875"/>
      <c r="G31" s="875"/>
      <c r="H31" s="876"/>
      <c r="I31" s="481"/>
      <c r="J31" s="72">
        <f t="shared" si="19"/>
        <v>0</v>
      </c>
      <c r="K31" s="72">
        <f t="shared" si="20"/>
        <v>0</v>
      </c>
      <c r="L31" s="72">
        <f t="shared" si="21"/>
        <v>0</v>
      </c>
      <c r="M31" s="72">
        <f t="shared" si="22"/>
        <v>0</v>
      </c>
      <c r="N31" s="72">
        <f t="shared" si="23"/>
        <v>0</v>
      </c>
      <c r="O31" s="72">
        <f t="shared" si="24"/>
        <v>0</v>
      </c>
      <c r="P31" s="72">
        <f t="shared" si="25"/>
        <v>0</v>
      </c>
      <c r="Q31" s="72">
        <f t="shared" si="26"/>
        <v>0</v>
      </c>
      <c r="R31" s="72">
        <f t="shared" si="27"/>
        <v>0</v>
      </c>
      <c r="S31" s="72">
        <f t="shared" si="28"/>
        <v>0</v>
      </c>
      <c r="T31" s="72">
        <f t="shared" si="29"/>
        <v>0</v>
      </c>
      <c r="U31" s="72">
        <f t="shared" si="30"/>
        <v>0</v>
      </c>
      <c r="V31" s="72">
        <f t="shared" si="5"/>
        <v>0</v>
      </c>
      <c r="W31" s="72">
        <f t="shared" si="5"/>
        <v>0</v>
      </c>
      <c r="X31" s="72">
        <f t="shared" si="5"/>
        <v>0</v>
      </c>
      <c r="Z31" s="72">
        <f t="shared" si="6"/>
        <v>0</v>
      </c>
      <c r="AA31" s="72">
        <f t="shared" si="7"/>
        <v>0</v>
      </c>
      <c r="AB31" s="72">
        <f t="shared" si="8"/>
        <v>0</v>
      </c>
      <c r="AC31" s="72">
        <f t="shared" si="9"/>
        <v>0</v>
      </c>
      <c r="AD31" s="72">
        <f t="shared" si="10"/>
        <v>0</v>
      </c>
      <c r="AE31" s="72">
        <f t="shared" si="11"/>
        <v>0</v>
      </c>
      <c r="AF31" s="72">
        <f t="shared" si="12"/>
        <v>0</v>
      </c>
      <c r="AG31" s="72">
        <f t="shared" si="13"/>
        <v>0</v>
      </c>
      <c r="AH31" s="72">
        <f t="shared" si="14"/>
        <v>0</v>
      </c>
      <c r="AI31" s="72">
        <f t="shared" si="15"/>
        <v>0</v>
      </c>
      <c r="AJ31" s="72">
        <f t="shared" si="16"/>
        <v>0</v>
      </c>
      <c r="AK31" s="72">
        <f t="shared" si="17"/>
        <v>0</v>
      </c>
      <c r="AL31" s="72">
        <f t="shared" si="18"/>
        <v>0</v>
      </c>
      <c r="AM31" s="72">
        <f t="shared" si="18"/>
        <v>0</v>
      </c>
      <c r="AN31" s="72">
        <f t="shared" si="18"/>
        <v>0</v>
      </c>
      <c r="AQ31" s="485" t="s">
        <v>67</v>
      </c>
      <c r="AR31" s="496">
        <f>AR27+AS17</f>
        <v>485.55500000000001</v>
      </c>
      <c r="AV31" s="112" t="s">
        <v>80</v>
      </c>
      <c r="AW31" s="113">
        <f>AW28/2</f>
        <v>0</v>
      </c>
    </row>
    <row r="32" spans="2:52" ht="16.5" customHeight="1">
      <c r="B32" s="882"/>
      <c r="C32" s="875"/>
      <c r="D32" s="875"/>
      <c r="E32" s="875"/>
      <c r="F32" s="875"/>
      <c r="G32" s="875"/>
      <c r="H32" s="876"/>
      <c r="I32" s="481"/>
      <c r="J32" s="72">
        <f t="shared" si="19"/>
        <v>0</v>
      </c>
      <c r="K32" s="72">
        <f t="shared" si="20"/>
        <v>0</v>
      </c>
      <c r="L32" s="72">
        <f t="shared" si="21"/>
        <v>0</v>
      </c>
      <c r="M32" s="72">
        <f t="shared" si="22"/>
        <v>0</v>
      </c>
      <c r="N32" s="72">
        <f t="shared" si="23"/>
        <v>0</v>
      </c>
      <c r="O32" s="72">
        <f t="shared" si="24"/>
        <v>0</v>
      </c>
      <c r="P32" s="72">
        <f t="shared" si="25"/>
        <v>0</v>
      </c>
      <c r="Q32" s="72">
        <f t="shared" si="26"/>
        <v>0</v>
      </c>
      <c r="R32" s="72">
        <f t="shared" si="27"/>
        <v>0</v>
      </c>
      <c r="S32" s="72">
        <f t="shared" si="28"/>
        <v>0</v>
      </c>
      <c r="T32" s="72">
        <f t="shared" si="29"/>
        <v>0</v>
      </c>
      <c r="U32" s="72">
        <f t="shared" si="30"/>
        <v>0</v>
      </c>
      <c r="V32" s="72">
        <f t="shared" si="5"/>
        <v>0</v>
      </c>
      <c r="W32" s="72">
        <f t="shared" si="5"/>
        <v>0</v>
      </c>
      <c r="X32" s="72">
        <f t="shared" si="5"/>
        <v>0</v>
      </c>
      <c r="Z32" s="72">
        <f t="shared" si="6"/>
        <v>0</v>
      </c>
      <c r="AA32" s="72">
        <f t="shared" si="7"/>
        <v>0</v>
      </c>
      <c r="AB32" s="72">
        <f t="shared" si="8"/>
        <v>0</v>
      </c>
      <c r="AC32" s="72">
        <f t="shared" si="9"/>
        <v>0</v>
      </c>
      <c r="AD32" s="72">
        <f t="shared" si="10"/>
        <v>0</v>
      </c>
      <c r="AE32" s="72">
        <f t="shared" si="11"/>
        <v>0</v>
      </c>
      <c r="AF32" s="72">
        <f t="shared" si="12"/>
        <v>0</v>
      </c>
      <c r="AG32" s="72">
        <f t="shared" si="13"/>
        <v>0</v>
      </c>
      <c r="AH32" s="72">
        <f t="shared" si="14"/>
        <v>0</v>
      </c>
      <c r="AI32" s="72">
        <f t="shared" si="15"/>
        <v>0</v>
      </c>
      <c r="AJ32" s="72">
        <f t="shared" si="16"/>
        <v>0</v>
      </c>
      <c r="AK32" s="72">
        <f t="shared" si="17"/>
        <v>0</v>
      </c>
      <c r="AL32" s="72">
        <f t="shared" si="18"/>
        <v>0</v>
      </c>
      <c r="AM32" s="72">
        <f t="shared" si="18"/>
        <v>0</v>
      </c>
      <c r="AN32" s="72">
        <f t="shared" si="18"/>
        <v>0</v>
      </c>
      <c r="AQ32" s="485" t="s">
        <v>65</v>
      </c>
      <c r="AR32" s="496">
        <f>AT17</f>
        <v>1819.7250000000001</v>
      </c>
      <c r="AY32" s="485" t="s">
        <v>389</v>
      </c>
      <c r="AZ32" s="509">
        <f>AT17-AY4</f>
        <v>1761.0650000000001</v>
      </c>
    </row>
    <row r="33" spans="2:52" ht="17.25" customHeight="1" thickBot="1">
      <c r="B33" s="882"/>
      <c r="C33" s="875"/>
      <c r="D33" s="875"/>
      <c r="E33" s="875"/>
      <c r="F33" s="875"/>
      <c r="G33" s="875"/>
      <c r="H33" s="876"/>
      <c r="I33" s="481"/>
      <c r="J33" s="72">
        <f t="shared" si="19"/>
        <v>0</v>
      </c>
      <c r="K33" s="72">
        <f t="shared" si="20"/>
        <v>0</v>
      </c>
      <c r="L33" s="72">
        <f t="shared" si="21"/>
        <v>0</v>
      </c>
      <c r="M33" s="72">
        <f t="shared" si="22"/>
        <v>0</v>
      </c>
      <c r="N33" s="72">
        <f t="shared" si="23"/>
        <v>0</v>
      </c>
      <c r="O33" s="72">
        <f t="shared" si="24"/>
        <v>0</v>
      </c>
      <c r="P33" s="72">
        <f t="shared" si="25"/>
        <v>0</v>
      </c>
      <c r="Q33" s="72">
        <f t="shared" si="26"/>
        <v>0</v>
      </c>
      <c r="R33" s="72">
        <f t="shared" si="27"/>
        <v>0</v>
      </c>
      <c r="S33" s="72">
        <f t="shared" si="28"/>
        <v>0</v>
      </c>
      <c r="T33" s="72">
        <f t="shared" si="29"/>
        <v>0</v>
      </c>
      <c r="U33" s="72">
        <f t="shared" si="30"/>
        <v>0</v>
      </c>
      <c r="V33" s="72">
        <f t="shared" si="5"/>
        <v>0</v>
      </c>
      <c r="W33" s="72">
        <f t="shared" si="5"/>
        <v>0</v>
      </c>
      <c r="X33" s="72">
        <f t="shared" si="5"/>
        <v>0</v>
      </c>
      <c r="Z33" s="72">
        <f t="shared" si="6"/>
        <v>0</v>
      </c>
      <c r="AA33" s="72">
        <f t="shared" si="7"/>
        <v>0</v>
      </c>
      <c r="AB33" s="72">
        <f t="shared" si="8"/>
        <v>0</v>
      </c>
      <c r="AC33" s="72">
        <f t="shared" si="9"/>
        <v>0</v>
      </c>
      <c r="AD33" s="72">
        <f t="shared" si="10"/>
        <v>0</v>
      </c>
      <c r="AE33" s="72">
        <f t="shared" si="11"/>
        <v>0</v>
      </c>
      <c r="AF33" s="72">
        <f t="shared" si="12"/>
        <v>0</v>
      </c>
      <c r="AG33" s="72">
        <f t="shared" si="13"/>
        <v>0</v>
      </c>
      <c r="AH33" s="72">
        <f t="shared" si="14"/>
        <v>0</v>
      </c>
      <c r="AI33" s="72">
        <f t="shared" si="15"/>
        <v>0</v>
      </c>
      <c r="AJ33" s="72">
        <f t="shared" si="16"/>
        <v>0</v>
      </c>
      <c r="AK33" s="72">
        <f t="shared" si="17"/>
        <v>0</v>
      </c>
      <c r="AL33" s="72">
        <f t="shared" si="18"/>
        <v>0</v>
      </c>
      <c r="AM33" s="72">
        <f t="shared" si="18"/>
        <v>0</v>
      </c>
      <c r="AN33" s="72">
        <f t="shared" si="18"/>
        <v>0</v>
      </c>
      <c r="AR33" s="59"/>
    </row>
    <row r="34" spans="2:52" ht="17.25" customHeight="1" thickBot="1">
      <c r="B34" s="883"/>
      <c r="C34" s="878"/>
      <c r="D34" s="878"/>
      <c r="E34" s="878"/>
      <c r="F34" s="878"/>
      <c r="G34" s="878"/>
      <c r="H34" s="879"/>
      <c r="I34" s="481"/>
      <c r="J34" s="72">
        <f t="shared" si="19"/>
        <v>0</v>
      </c>
      <c r="K34" s="72">
        <f t="shared" si="20"/>
        <v>0</v>
      </c>
      <c r="L34" s="72">
        <f t="shared" si="21"/>
        <v>0</v>
      </c>
      <c r="M34" s="72">
        <f t="shared" si="22"/>
        <v>0</v>
      </c>
      <c r="N34" s="72">
        <f t="shared" si="23"/>
        <v>0</v>
      </c>
      <c r="O34" s="72">
        <f t="shared" si="24"/>
        <v>0</v>
      </c>
      <c r="P34" s="72">
        <f t="shared" si="25"/>
        <v>0</v>
      </c>
      <c r="Q34" s="72">
        <f t="shared" si="26"/>
        <v>0</v>
      </c>
      <c r="R34" s="72">
        <f t="shared" si="27"/>
        <v>0</v>
      </c>
      <c r="S34" s="72">
        <f t="shared" si="28"/>
        <v>0</v>
      </c>
      <c r="T34" s="72">
        <f t="shared" si="29"/>
        <v>0</v>
      </c>
      <c r="U34" s="72">
        <f t="shared" si="30"/>
        <v>0</v>
      </c>
      <c r="V34" s="72">
        <f t="shared" si="5"/>
        <v>0</v>
      </c>
      <c r="W34" s="72">
        <f t="shared" si="5"/>
        <v>0</v>
      </c>
      <c r="X34" s="72">
        <f t="shared" si="5"/>
        <v>0</v>
      </c>
      <c r="Z34" s="72">
        <f t="shared" si="6"/>
        <v>0</v>
      </c>
      <c r="AA34" s="72">
        <f t="shared" si="7"/>
        <v>0</v>
      </c>
      <c r="AB34" s="72">
        <f t="shared" si="8"/>
        <v>0</v>
      </c>
      <c r="AC34" s="72">
        <f t="shared" si="9"/>
        <v>0</v>
      </c>
      <c r="AD34" s="72">
        <f t="shared" si="10"/>
        <v>0</v>
      </c>
      <c r="AE34" s="72">
        <f t="shared" si="11"/>
        <v>0</v>
      </c>
      <c r="AF34" s="72">
        <f t="shared" si="12"/>
        <v>0</v>
      </c>
      <c r="AG34" s="72">
        <f t="shared" si="13"/>
        <v>0</v>
      </c>
      <c r="AH34" s="72">
        <f t="shared" si="14"/>
        <v>0</v>
      </c>
      <c r="AI34" s="72">
        <f t="shared" si="15"/>
        <v>0</v>
      </c>
      <c r="AJ34" s="72">
        <f t="shared" si="16"/>
        <v>0</v>
      </c>
      <c r="AK34" s="72">
        <f t="shared" si="17"/>
        <v>0</v>
      </c>
      <c r="AL34" s="72">
        <f t="shared" si="18"/>
        <v>0</v>
      </c>
      <c r="AM34" s="72">
        <f t="shared" si="18"/>
        <v>0</v>
      </c>
      <c r="AN34" s="72">
        <f t="shared" si="18"/>
        <v>0</v>
      </c>
      <c r="AR34" s="497">
        <f>AR32+AR31</f>
        <v>2305.2800000000002</v>
      </c>
      <c r="AS34" s="498" t="s">
        <v>354</v>
      </c>
      <c r="AT34" s="499">
        <f>AR24+AR27</f>
        <v>2305.2799999999997</v>
      </c>
      <c r="AZ34" s="513">
        <f>AZ32+AZ30</f>
        <v>2129.31</v>
      </c>
    </row>
    <row r="35" spans="2:52" ht="0.75" customHeight="1">
      <c r="B35" s="60"/>
      <c r="C35" s="62"/>
      <c r="D35" s="79"/>
      <c r="E35" s="56"/>
      <c r="F35" s="76"/>
      <c r="G35" s="77">
        <f t="shared" si="3"/>
        <v>0</v>
      </c>
      <c r="H35" s="78">
        <f t="shared" si="4"/>
        <v>0</v>
      </c>
      <c r="I35" s="481"/>
      <c r="J35" s="72">
        <f t="shared" si="19"/>
        <v>0</v>
      </c>
      <c r="K35" s="72">
        <f t="shared" si="20"/>
        <v>0</v>
      </c>
      <c r="L35" s="72">
        <f t="shared" si="21"/>
        <v>0</v>
      </c>
      <c r="M35" s="72">
        <f t="shared" si="22"/>
        <v>0</v>
      </c>
      <c r="N35" s="72">
        <f t="shared" si="23"/>
        <v>0</v>
      </c>
      <c r="O35" s="72">
        <f t="shared" si="24"/>
        <v>0</v>
      </c>
      <c r="P35" s="72">
        <f t="shared" si="25"/>
        <v>0</v>
      </c>
      <c r="Q35" s="72">
        <f t="shared" si="26"/>
        <v>0</v>
      </c>
      <c r="R35" s="72">
        <f t="shared" si="27"/>
        <v>0</v>
      </c>
      <c r="S35" s="72">
        <f t="shared" si="28"/>
        <v>0</v>
      </c>
      <c r="T35" s="72">
        <f t="shared" si="29"/>
        <v>0</v>
      </c>
      <c r="U35" s="72">
        <f t="shared" si="30"/>
        <v>0</v>
      </c>
      <c r="V35" s="72">
        <f t="shared" si="5"/>
        <v>0</v>
      </c>
      <c r="W35" s="72">
        <f t="shared" si="5"/>
        <v>0</v>
      </c>
      <c r="X35" s="72">
        <f t="shared" si="5"/>
        <v>0</v>
      </c>
      <c r="Z35" s="72">
        <f t="shared" si="6"/>
        <v>0</v>
      </c>
      <c r="AA35" s="72">
        <f t="shared" si="7"/>
        <v>0</v>
      </c>
      <c r="AB35" s="72">
        <f t="shared" si="8"/>
        <v>0</v>
      </c>
      <c r="AC35" s="72">
        <f t="shared" si="9"/>
        <v>0</v>
      </c>
      <c r="AD35" s="72">
        <f t="shared" si="10"/>
        <v>0</v>
      </c>
      <c r="AE35" s="72">
        <f t="shared" si="11"/>
        <v>0</v>
      </c>
      <c r="AF35" s="72">
        <f t="shared" si="12"/>
        <v>0</v>
      </c>
      <c r="AG35" s="72">
        <f t="shared" si="13"/>
        <v>0</v>
      </c>
      <c r="AH35" s="72">
        <f t="shared" si="14"/>
        <v>0</v>
      </c>
      <c r="AI35" s="72">
        <f t="shared" si="15"/>
        <v>0</v>
      </c>
      <c r="AJ35" s="72">
        <f t="shared" si="16"/>
        <v>0</v>
      </c>
      <c r="AK35" s="72">
        <f t="shared" si="17"/>
        <v>0</v>
      </c>
      <c r="AL35" s="72">
        <f t="shared" si="18"/>
        <v>0</v>
      </c>
      <c r="AM35" s="72">
        <f t="shared" si="18"/>
        <v>0</v>
      </c>
      <c r="AN35" s="72">
        <f t="shared" si="18"/>
        <v>0</v>
      </c>
    </row>
    <row r="36" spans="2:52" ht="16.5" hidden="1" customHeight="1">
      <c r="B36" s="60"/>
      <c r="C36" s="62"/>
      <c r="D36" s="79"/>
      <c r="E36" s="56"/>
      <c r="F36" s="76"/>
      <c r="G36" s="77">
        <f t="shared" si="3"/>
        <v>0</v>
      </c>
      <c r="H36" s="78">
        <f t="shared" si="4"/>
        <v>0</v>
      </c>
      <c r="I36" s="481"/>
      <c r="J36" s="72">
        <f t="shared" si="19"/>
        <v>0</v>
      </c>
      <c r="K36" s="72">
        <f t="shared" si="20"/>
        <v>0</v>
      </c>
      <c r="L36" s="72">
        <f t="shared" si="21"/>
        <v>0</v>
      </c>
      <c r="M36" s="72">
        <f t="shared" si="22"/>
        <v>0</v>
      </c>
      <c r="N36" s="72">
        <f t="shared" si="23"/>
        <v>0</v>
      </c>
      <c r="O36" s="72">
        <f t="shared" si="24"/>
        <v>0</v>
      </c>
      <c r="P36" s="72">
        <f t="shared" si="25"/>
        <v>0</v>
      </c>
      <c r="Q36" s="72">
        <f t="shared" si="26"/>
        <v>0</v>
      </c>
      <c r="R36" s="72">
        <f t="shared" si="27"/>
        <v>0</v>
      </c>
      <c r="S36" s="72">
        <f t="shared" si="28"/>
        <v>0</v>
      </c>
      <c r="T36" s="72">
        <f t="shared" si="29"/>
        <v>0</v>
      </c>
      <c r="U36" s="72">
        <f t="shared" si="30"/>
        <v>0</v>
      </c>
      <c r="V36" s="72">
        <f t="shared" ref="V36:X62" si="33">IF($D36=V$2,$H36,0)</f>
        <v>0</v>
      </c>
      <c r="W36" s="72">
        <f t="shared" si="33"/>
        <v>0</v>
      </c>
      <c r="X36" s="72">
        <f t="shared" si="33"/>
        <v>0</v>
      </c>
      <c r="Z36" s="72">
        <f t="shared" si="6"/>
        <v>0</v>
      </c>
      <c r="AA36" s="72">
        <f t="shared" si="7"/>
        <v>0</v>
      </c>
      <c r="AB36" s="72">
        <f t="shared" si="8"/>
        <v>0</v>
      </c>
      <c r="AC36" s="72">
        <f t="shared" si="9"/>
        <v>0</v>
      </c>
      <c r="AD36" s="72">
        <f t="shared" si="10"/>
        <v>0</v>
      </c>
      <c r="AE36" s="72">
        <f t="shared" si="11"/>
        <v>0</v>
      </c>
      <c r="AF36" s="72">
        <f t="shared" si="12"/>
        <v>0</v>
      </c>
      <c r="AG36" s="72">
        <f t="shared" si="13"/>
        <v>0</v>
      </c>
      <c r="AH36" s="72">
        <f t="shared" si="14"/>
        <v>0</v>
      </c>
      <c r="AI36" s="72">
        <f t="shared" si="15"/>
        <v>0</v>
      </c>
      <c r="AJ36" s="72">
        <f t="shared" si="16"/>
        <v>0</v>
      </c>
      <c r="AK36" s="72">
        <f t="shared" si="17"/>
        <v>0</v>
      </c>
      <c r="AL36" s="72">
        <f t="shared" si="18"/>
        <v>0</v>
      </c>
      <c r="AM36" s="72">
        <f t="shared" si="18"/>
        <v>0</v>
      </c>
      <c r="AN36" s="72">
        <f t="shared" si="18"/>
        <v>0</v>
      </c>
    </row>
    <row r="37" spans="2:52" ht="16.5" hidden="1" customHeight="1">
      <c r="B37" s="60"/>
      <c r="C37" s="62"/>
      <c r="D37" s="79"/>
      <c r="E37" s="56"/>
      <c r="F37" s="76"/>
      <c r="G37" s="77">
        <f t="shared" si="3"/>
        <v>0</v>
      </c>
      <c r="H37" s="78">
        <f t="shared" si="4"/>
        <v>0</v>
      </c>
      <c r="I37" s="481"/>
      <c r="J37" s="72">
        <f t="shared" si="19"/>
        <v>0</v>
      </c>
      <c r="K37" s="72">
        <f t="shared" si="20"/>
        <v>0</v>
      </c>
      <c r="L37" s="72">
        <f t="shared" si="21"/>
        <v>0</v>
      </c>
      <c r="M37" s="72">
        <f t="shared" si="22"/>
        <v>0</v>
      </c>
      <c r="N37" s="72">
        <f t="shared" si="23"/>
        <v>0</v>
      </c>
      <c r="O37" s="72">
        <f t="shared" si="24"/>
        <v>0</v>
      </c>
      <c r="P37" s="72">
        <f t="shared" si="25"/>
        <v>0</v>
      </c>
      <c r="Q37" s="72">
        <f t="shared" si="26"/>
        <v>0</v>
      </c>
      <c r="R37" s="72">
        <f t="shared" si="27"/>
        <v>0</v>
      </c>
      <c r="S37" s="72">
        <f t="shared" si="28"/>
        <v>0</v>
      </c>
      <c r="T37" s="72">
        <f t="shared" si="29"/>
        <v>0</v>
      </c>
      <c r="U37" s="72">
        <f t="shared" si="30"/>
        <v>0</v>
      </c>
      <c r="V37" s="72">
        <f t="shared" si="33"/>
        <v>0</v>
      </c>
      <c r="W37" s="72">
        <f t="shared" si="33"/>
        <v>0</v>
      </c>
      <c r="X37" s="72">
        <f t="shared" si="33"/>
        <v>0</v>
      </c>
      <c r="Z37" s="72">
        <f t="shared" si="6"/>
        <v>0</v>
      </c>
      <c r="AA37" s="72">
        <f t="shared" si="7"/>
        <v>0</v>
      </c>
      <c r="AB37" s="72">
        <f t="shared" si="8"/>
        <v>0</v>
      </c>
      <c r="AC37" s="72">
        <f t="shared" si="9"/>
        <v>0</v>
      </c>
      <c r="AD37" s="72">
        <f t="shared" si="10"/>
        <v>0</v>
      </c>
      <c r="AE37" s="72">
        <f t="shared" si="11"/>
        <v>0</v>
      </c>
      <c r="AF37" s="72">
        <f t="shared" si="12"/>
        <v>0</v>
      </c>
      <c r="AG37" s="72">
        <f t="shared" si="13"/>
        <v>0</v>
      </c>
      <c r="AH37" s="72">
        <f t="shared" si="14"/>
        <v>0</v>
      </c>
      <c r="AI37" s="72">
        <f t="shared" si="15"/>
        <v>0</v>
      </c>
      <c r="AJ37" s="72">
        <f t="shared" si="16"/>
        <v>0</v>
      </c>
      <c r="AK37" s="72">
        <f t="shared" si="17"/>
        <v>0</v>
      </c>
      <c r="AL37" s="72">
        <f t="shared" si="18"/>
        <v>0</v>
      </c>
      <c r="AM37" s="72">
        <f t="shared" si="18"/>
        <v>0</v>
      </c>
      <c r="AN37" s="72">
        <f t="shared" si="18"/>
        <v>0</v>
      </c>
    </row>
    <row r="38" spans="2:52" ht="16.5" hidden="1" customHeight="1">
      <c r="B38" s="60"/>
      <c r="C38" s="62"/>
      <c r="D38" s="79"/>
      <c r="E38" s="56"/>
      <c r="F38" s="76"/>
      <c r="G38" s="77">
        <f t="shared" si="3"/>
        <v>0</v>
      </c>
      <c r="H38" s="78">
        <f t="shared" si="4"/>
        <v>0</v>
      </c>
      <c r="I38" s="481"/>
      <c r="J38" s="72">
        <f t="shared" si="19"/>
        <v>0</v>
      </c>
      <c r="K38" s="72">
        <f t="shared" si="20"/>
        <v>0</v>
      </c>
      <c r="L38" s="72">
        <f t="shared" si="21"/>
        <v>0</v>
      </c>
      <c r="M38" s="72">
        <f t="shared" si="22"/>
        <v>0</v>
      </c>
      <c r="N38" s="72">
        <f t="shared" si="23"/>
        <v>0</v>
      </c>
      <c r="O38" s="72">
        <f t="shared" si="24"/>
        <v>0</v>
      </c>
      <c r="P38" s="72">
        <f t="shared" si="25"/>
        <v>0</v>
      </c>
      <c r="Q38" s="72">
        <f t="shared" si="26"/>
        <v>0</v>
      </c>
      <c r="R38" s="72">
        <f t="shared" si="27"/>
        <v>0</v>
      </c>
      <c r="S38" s="72">
        <f t="shared" si="28"/>
        <v>0</v>
      </c>
      <c r="T38" s="72">
        <f t="shared" si="29"/>
        <v>0</v>
      </c>
      <c r="U38" s="72">
        <f t="shared" si="30"/>
        <v>0</v>
      </c>
      <c r="V38" s="72">
        <f t="shared" si="33"/>
        <v>0</v>
      </c>
      <c r="W38" s="72">
        <f t="shared" si="33"/>
        <v>0</v>
      </c>
      <c r="X38" s="72">
        <f t="shared" si="33"/>
        <v>0</v>
      </c>
      <c r="Z38" s="72">
        <f t="shared" si="6"/>
        <v>0</v>
      </c>
      <c r="AA38" s="72">
        <f t="shared" si="7"/>
        <v>0</v>
      </c>
      <c r="AB38" s="72">
        <f t="shared" si="8"/>
        <v>0</v>
      </c>
      <c r="AC38" s="72">
        <f t="shared" si="9"/>
        <v>0</v>
      </c>
      <c r="AD38" s="72">
        <f t="shared" si="10"/>
        <v>0</v>
      </c>
      <c r="AE38" s="72">
        <f t="shared" si="11"/>
        <v>0</v>
      </c>
      <c r="AF38" s="72">
        <f t="shared" si="12"/>
        <v>0</v>
      </c>
      <c r="AG38" s="72">
        <f t="shared" si="13"/>
        <v>0</v>
      </c>
      <c r="AH38" s="72">
        <f t="shared" si="14"/>
        <v>0</v>
      </c>
      <c r="AI38" s="72">
        <f t="shared" si="15"/>
        <v>0</v>
      </c>
      <c r="AJ38" s="72">
        <f t="shared" si="16"/>
        <v>0</v>
      </c>
      <c r="AK38" s="72">
        <f t="shared" si="17"/>
        <v>0</v>
      </c>
      <c r="AL38" s="72">
        <f t="shared" si="18"/>
        <v>0</v>
      </c>
      <c r="AM38" s="72">
        <f t="shared" si="18"/>
        <v>0</v>
      </c>
      <c r="AN38" s="72">
        <f t="shared" si="18"/>
        <v>0</v>
      </c>
    </row>
    <row r="39" spans="2:52" ht="16.5" hidden="1" customHeight="1">
      <c r="B39" s="60"/>
      <c r="C39" s="62"/>
      <c r="D39" s="79"/>
      <c r="E39" s="56"/>
      <c r="F39" s="76"/>
      <c r="G39" s="77">
        <f t="shared" si="3"/>
        <v>0</v>
      </c>
      <c r="H39" s="78">
        <f t="shared" si="4"/>
        <v>0</v>
      </c>
      <c r="I39" s="481"/>
      <c r="J39" s="72">
        <f t="shared" si="19"/>
        <v>0</v>
      </c>
      <c r="K39" s="72">
        <f t="shared" si="20"/>
        <v>0</v>
      </c>
      <c r="L39" s="72">
        <f t="shared" si="21"/>
        <v>0</v>
      </c>
      <c r="M39" s="72">
        <f t="shared" si="22"/>
        <v>0</v>
      </c>
      <c r="N39" s="72">
        <f t="shared" si="23"/>
        <v>0</v>
      </c>
      <c r="O39" s="72">
        <f t="shared" si="24"/>
        <v>0</v>
      </c>
      <c r="P39" s="72">
        <f t="shared" si="25"/>
        <v>0</v>
      </c>
      <c r="Q39" s="72">
        <f t="shared" si="26"/>
        <v>0</v>
      </c>
      <c r="R39" s="72">
        <f t="shared" si="27"/>
        <v>0</v>
      </c>
      <c r="S39" s="72">
        <f t="shared" si="28"/>
        <v>0</v>
      </c>
      <c r="T39" s="72">
        <f t="shared" si="29"/>
        <v>0</v>
      </c>
      <c r="U39" s="72">
        <f t="shared" si="30"/>
        <v>0</v>
      </c>
      <c r="V39" s="72">
        <f t="shared" si="33"/>
        <v>0</v>
      </c>
      <c r="W39" s="72">
        <f t="shared" si="33"/>
        <v>0</v>
      </c>
      <c r="X39" s="72">
        <f t="shared" si="33"/>
        <v>0</v>
      </c>
      <c r="Z39" s="72">
        <f t="shared" si="6"/>
        <v>0</v>
      </c>
      <c r="AA39" s="72">
        <f t="shared" si="7"/>
        <v>0</v>
      </c>
      <c r="AB39" s="72">
        <f t="shared" si="8"/>
        <v>0</v>
      </c>
      <c r="AC39" s="72">
        <f t="shared" si="9"/>
        <v>0</v>
      </c>
      <c r="AD39" s="72">
        <f t="shared" si="10"/>
        <v>0</v>
      </c>
      <c r="AE39" s="72">
        <f t="shared" si="11"/>
        <v>0</v>
      </c>
      <c r="AF39" s="72">
        <f t="shared" si="12"/>
        <v>0</v>
      </c>
      <c r="AG39" s="72">
        <f t="shared" si="13"/>
        <v>0</v>
      </c>
      <c r="AH39" s="72">
        <f t="shared" si="14"/>
        <v>0</v>
      </c>
      <c r="AI39" s="72">
        <f t="shared" si="15"/>
        <v>0</v>
      </c>
      <c r="AJ39" s="72">
        <f t="shared" si="16"/>
        <v>0</v>
      </c>
      <c r="AK39" s="72">
        <f t="shared" si="17"/>
        <v>0</v>
      </c>
      <c r="AL39" s="72">
        <f t="shared" si="18"/>
        <v>0</v>
      </c>
      <c r="AM39" s="72">
        <f t="shared" si="18"/>
        <v>0</v>
      </c>
      <c r="AN39" s="72">
        <f t="shared" si="18"/>
        <v>0</v>
      </c>
      <c r="AZ39" s="55">
        <v>1834.19</v>
      </c>
    </row>
    <row r="40" spans="2:52" hidden="1">
      <c r="B40" s="60"/>
      <c r="C40" s="62"/>
      <c r="D40" s="79"/>
      <c r="E40" s="56"/>
      <c r="F40" s="76"/>
      <c r="G40" s="77">
        <f t="shared" si="3"/>
        <v>0</v>
      </c>
      <c r="H40" s="78">
        <f t="shared" si="4"/>
        <v>0</v>
      </c>
      <c r="I40" s="481"/>
      <c r="J40" s="72">
        <f>IF($D40="ALIMENTAÇÃO",$H40,0)</f>
        <v>0</v>
      </c>
      <c r="K40" s="72">
        <f>IF($D40="ANIMAIS",$H40,0)</f>
        <v>0</v>
      </c>
      <c r="L40" s="72">
        <f>IF($D40="FILHO",$H40,0)</f>
        <v>0</v>
      </c>
      <c r="M40" s="72">
        <f>IF($D40="GASOLINA",$H40,0)</f>
        <v>0</v>
      </c>
      <c r="N40" s="72">
        <f>IF($D40="LAZER",$H40,0)</f>
        <v>0</v>
      </c>
      <c r="O40" s="72">
        <f>IF($D40="MANUT. IMÓVEL",$H40,0)</f>
        <v>0</v>
      </c>
      <c r="P40" s="72">
        <f>IF($D40="MANUT. VEICULAR",$H40,0)</f>
        <v>0</v>
      </c>
      <c r="Q40" s="72">
        <f>IF($D40="MÓVEIS",$H40,0)</f>
        <v>0</v>
      </c>
      <c r="R40" s="72">
        <f>IF($D40="OUTROS",$H40,0)</f>
        <v>0</v>
      </c>
      <c r="S40" s="72">
        <f>IF($D40="PLANOS",$H40,0)</f>
        <v>0</v>
      </c>
      <c r="T40" s="72">
        <f>IF($D40="SAÚDE",$H40,0)</f>
        <v>0</v>
      </c>
      <c r="U40" s="72">
        <f>IF($D40="TRANSPORTE",$H40,0)</f>
        <v>0</v>
      </c>
      <c r="V40" s="72">
        <f>IF($D40=V$2,$H40,0)</f>
        <v>0</v>
      </c>
      <c r="W40" s="72">
        <f>IF($D40=W$2,$H40,0)</f>
        <v>0</v>
      </c>
      <c r="X40" s="72">
        <f>IF($D40=X$2,$H40,0)</f>
        <v>0</v>
      </c>
      <c r="Z40" s="72">
        <f>IF($D40="ALIMENTAÇÃO",$G40,0)</f>
        <v>0</v>
      </c>
      <c r="AA40" s="72">
        <f>IF($D40="ANIMAIS",$G40,0)</f>
        <v>0</v>
      </c>
      <c r="AB40" s="72">
        <f>IF($D40="FILHO",$G40,0)</f>
        <v>0</v>
      </c>
      <c r="AC40" s="72">
        <f>IF($D40="GASOLINA",$G40,0)</f>
        <v>0</v>
      </c>
      <c r="AD40" s="72">
        <f>IF($D40="LAZER",$G40,0)</f>
        <v>0</v>
      </c>
      <c r="AE40" s="72">
        <f>IF($D40="MANUT. IMÓVEL",$G40,0)</f>
        <v>0</v>
      </c>
      <c r="AF40" s="72">
        <f>IF($D40="MANUT. VEICULAR",$G40,0)</f>
        <v>0</v>
      </c>
      <c r="AG40" s="72">
        <f>IF($D40="MÓVEIS",$G40,0)</f>
        <v>0</v>
      </c>
      <c r="AH40" s="72">
        <f>IF($D40="OUTROS",$G40,0)</f>
        <v>0</v>
      </c>
      <c r="AI40" s="72">
        <f>IF($D40="PLANOS",$G40,0)</f>
        <v>0</v>
      </c>
      <c r="AJ40" s="72">
        <f>IF($D40="SAÚDE",$G40,0)</f>
        <v>0</v>
      </c>
      <c r="AK40" s="72">
        <f>IF($D40="TRANSPORTE",$G40,0)</f>
        <v>0</v>
      </c>
      <c r="AL40" s="72">
        <f>IF($D40=AL$2,$G40,0)</f>
        <v>0</v>
      </c>
      <c r="AM40" s="72">
        <f>IF($D40=AM$2,$G40,0)</f>
        <v>0</v>
      </c>
      <c r="AN40" s="72">
        <f>IF($D40=AN$2,$G40,0)</f>
        <v>0</v>
      </c>
    </row>
    <row r="41" spans="2:52" hidden="1">
      <c r="B41" s="60"/>
      <c r="C41" s="62"/>
      <c r="D41" s="79"/>
      <c r="E41" s="56"/>
      <c r="F41" s="76"/>
      <c r="G41" s="77">
        <f t="shared" si="3"/>
        <v>0</v>
      </c>
      <c r="H41" s="78">
        <f t="shared" si="4"/>
        <v>0</v>
      </c>
      <c r="I41" s="481"/>
      <c r="J41" s="72">
        <f t="shared" si="19"/>
        <v>0</v>
      </c>
      <c r="K41" s="72">
        <f t="shared" si="20"/>
        <v>0</v>
      </c>
      <c r="L41" s="72">
        <f t="shared" si="21"/>
        <v>0</v>
      </c>
      <c r="M41" s="72">
        <f t="shared" si="22"/>
        <v>0</v>
      </c>
      <c r="N41" s="72">
        <f t="shared" si="23"/>
        <v>0</v>
      </c>
      <c r="O41" s="72">
        <f t="shared" si="24"/>
        <v>0</v>
      </c>
      <c r="P41" s="72">
        <f t="shared" si="25"/>
        <v>0</v>
      </c>
      <c r="Q41" s="72">
        <f t="shared" si="26"/>
        <v>0</v>
      </c>
      <c r="R41" s="72">
        <f t="shared" si="27"/>
        <v>0</v>
      </c>
      <c r="S41" s="72">
        <f t="shared" si="28"/>
        <v>0</v>
      </c>
      <c r="T41" s="72">
        <f t="shared" si="29"/>
        <v>0</v>
      </c>
      <c r="U41" s="72">
        <f t="shared" si="30"/>
        <v>0</v>
      </c>
      <c r="V41" s="72">
        <f t="shared" si="33"/>
        <v>0</v>
      </c>
      <c r="W41" s="72">
        <f t="shared" si="33"/>
        <v>0</v>
      </c>
      <c r="X41" s="72">
        <f t="shared" si="33"/>
        <v>0</v>
      </c>
      <c r="Z41" s="72">
        <f t="shared" si="6"/>
        <v>0</v>
      </c>
      <c r="AA41" s="72">
        <f t="shared" si="7"/>
        <v>0</v>
      </c>
      <c r="AB41" s="72">
        <f t="shared" si="8"/>
        <v>0</v>
      </c>
      <c r="AC41" s="72">
        <f t="shared" si="9"/>
        <v>0</v>
      </c>
      <c r="AD41" s="72">
        <f t="shared" si="10"/>
        <v>0</v>
      </c>
      <c r="AE41" s="72">
        <f t="shared" si="11"/>
        <v>0</v>
      </c>
      <c r="AF41" s="72">
        <f t="shared" si="12"/>
        <v>0</v>
      </c>
      <c r="AG41" s="72">
        <f t="shared" si="13"/>
        <v>0</v>
      </c>
      <c r="AH41" s="72">
        <f t="shared" si="14"/>
        <v>0</v>
      </c>
      <c r="AI41" s="72">
        <f t="shared" si="15"/>
        <v>0</v>
      </c>
      <c r="AJ41" s="72">
        <f t="shared" si="16"/>
        <v>0</v>
      </c>
      <c r="AK41" s="72">
        <f t="shared" si="17"/>
        <v>0</v>
      </c>
      <c r="AL41" s="72">
        <f t="shared" si="18"/>
        <v>0</v>
      </c>
      <c r="AM41" s="72">
        <f t="shared" si="18"/>
        <v>0</v>
      </c>
      <c r="AN41" s="72">
        <f t="shared" si="18"/>
        <v>0</v>
      </c>
    </row>
    <row r="42" spans="2:52" hidden="1">
      <c r="B42" s="60"/>
      <c r="C42" s="62"/>
      <c r="D42" s="79"/>
      <c r="E42" s="56"/>
      <c r="F42" s="76"/>
      <c r="G42" s="77">
        <f t="shared" si="3"/>
        <v>0</v>
      </c>
      <c r="H42" s="78">
        <f t="shared" si="4"/>
        <v>0</v>
      </c>
      <c r="I42" s="481"/>
      <c r="J42" s="72">
        <f t="shared" si="19"/>
        <v>0</v>
      </c>
      <c r="K42" s="72">
        <f t="shared" si="20"/>
        <v>0</v>
      </c>
      <c r="L42" s="72">
        <f t="shared" si="21"/>
        <v>0</v>
      </c>
      <c r="M42" s="72">
        <f t="shared" si="22"/>
        <v>0</v>
      </c>
      <c r="N42" s="72">
        <f t="shared" si="23"/>
        <v>0</v>
      </c>
      <c r="O42" s="72">
        <f t="shared" si="24"/>
        <v>0</v>
      </c>
      <c r="P42" s="72">
        <f t="shared" si="25"/>
        <v>0</v>
      </c>
      <c r="Q42" s="72">
        <f t="shared" si="26"/>
        <v>0</v>
      </c>
      <c r="R42" s="72">
        <f t="shared" si="27"/>
        <v>0</v>
      </c>
      <c r="S42" s="72">
        <f t="shared" si="28"/>
        <v>0</v>
      </c>
      <c r="T42" s="72">
        <f t="shared" si="29"/>
        <v>0</v>
      </c>
      <c r="U42" s="72">
        <f t="shared" si="30"/>
        <v>0</v>
      </c>
      <c r="V42" s="72">
        <f t="shared" si="33"/>
        <v>0</v>
      </c>
      <c r="W42" s="72">
        <f t="shared" si="33"/>
        <v>0</v>
      </c>
      <c r="X42" s="72">
        <f t="shared" si="33"/>
        <v>0</v>
      </c>
      <c r="Z42" s="72">
        <f t="shared" si="6"/>
        <v>0</v>
      </c>
      <c r="AA42" s="72">
        <f t="shared" si="7"/>
        <v>0</v>
      </c>
      <c r="AB42" s="72">
        <f t="shared" si="8"/>
        <v>0</v>
      </c>
      <c r="AC42" s="72">
        <f t="shared" si="9"/>
        <v>0</v>
      </c>
      <c r="AD42" s="72">
        <f t="shared" si="10"/>
        <v>0</v>
      </c>
      <c r="AE42" s="72">
        <f t="shared" si="11"/>
        <v>0</v>
      </c>
      <c r="AF42" s="72">
        <f t="shared" si="12"/>
        <v>0</v>
      </c>
      <c r="AG42" s="72">
        <f t="shared" si="13"/>
        <v>0</v>
      </c>
      <c r="AH42" s="72">
        <f t="shared" si="14"/>
        <v>0</v>
      </c>
      <c r="AI42" s="72">
        <f t="shared" si="15"/>
        <v>0</v>
      </c>
      <c r="AJ42" s="72">
        <f t="shared" si="16"/>
        <v>0</v>
      </c>
      <c r="AK42" s="72">
        <f t="shared" si="17"/>
        <v>0</v>
      </c>
      <c r="AL42" s="72">
        <f t="shared" si="18"/>
        <v>0</v>
      </c>
      <c r="AM42" s="72">
        <f t="shared" si="18"/>
        <v>0</v>
      </c>
      <c r="AN42" s="72">
        <f t="shared" si="18"/>
        <v>0</v>
      </c>
    </row>
    <row r="43" spans="2:52" hidden="1">
      <c r="B43" s="60"/>
      <c r="C43" s="62"/>
      <c r="D43" s="79"/>
      <c r="E43" s="56"/>
      <c r="F43" s="76"/>
      <c r="G43" s="77">
        <f t="shared" si="3"/>
        <v>0</v>
      </c>
      <c r="H43" s="78">
        <f t="shared" si="4"/>
        <v>0</v>
      </c>
      <c r="I43" s="481"/>
      <c r="J43" s="72">
        <f t="shared" si="19"/>
        <v>0</v>
      </c>
      <c r="K43" s="72">
        <f t="shared" si="20"/>
        <v>0</v>
      </c>
      <c r="L43" s="72">
        <f t="shared" si="21"/>
        <v>0</v>
      </c>
      <c r="M43" s="72">
        <f t="shared" si="22"/>
        <v>0</v>
      </c>
      <c r="N43" s="72">
        <f t="shared" si="23"/>
        <v>0</v>
      </c>
      <c r="O43" s="72">
        <f t="shared" si="24"/>
        <v>0</v>
      </c>
      <c r="P43" s="72">
        <f t="shared" si="25"/>
        <v>0</v>
      </c>
      <c r="Q43" s="72">
        <f t="shared" si="26"/>
        <v>0</v>
      </c>
      <c r="R43" s="72">
        <f t="shared" si="27"/>
        <v>0</v>
      </c>
      <c r="S43" s="72">
        <f t="shared" si="28"/>
        <v>0</v>
      </c>
      <c r="T43" s="72">
        <f t="shared" si="29"/>
        <v>0</v>
      </c>
      <c r="U43" s="72">
        <f t="shared" si="30"/>
        <v>0</v>
      </c>
      <c r="V43" s="72">
        <f t="shared" si="33"/>
        <v>0</v>
      </c>
      <c r="W43" s="72">
        <f t="shared" si="33"/>
        <v>0</v>
      </c>
      <c r="X43" s="72">
        <f t="shared" si="33"/>
        <v>0</v>
      </c>
      <c r="Z43" s="72">
        <f t="shared" si="6"/>
        <v>0</v>
      </c>
      <c r="AA43" s="72">
        <f t="shared" si="7"/>
        <v>0</v>
      </c>
      <c r="AB43" s="72">
        <f t="shared" si="8"/>
        <v>0</v>
      </c>
      <c r="AC43" s="72">
        <f t="shared" si="9"/>
        <v>0</v>
      </c>
      <c r="AD43" s="72">
        <f t="shared" si="10"/>
        <v>0</v>
      </c>
      <c r="AE43" s="72">
        <f t="shared" si="11"/>
        <v>0</v>
      </c>
      <c r="AF43" s="72">
        <f t="shared" si="12"/>
        <v>0</v>
      </c>
      <c r="AG43" s="72">
        <f t="shared" si="13"/>
        <v>0</v>
      </c>
      <c r="AH43" s="72">
        <f t="shared" si="14"/>
        <v>0</v>
      </c>
      <c r="AI43" s="72">
        <f t="shared" si="15"/>
        <v>0</v>
      </c>
      <c r="AJ43" s="72">
        <f t="shared" si="16"/>
        <v>0</v>
      </c>
      <c r="AK43" s="72">
        <f t="shared" si="17"/>
        <v>0</v>
      </c>
      <c r="AL43" s="72">
        <f t="shared" si="18"/>
        <v>0</v>
      </c>
      <c r="AM43" s="72">
        <f t="shared" si="18"/>
        <v>0</v>
      </c>
      <c r="AN43" s="72">
        <f t="shared" si="18"/>
        <v>0</v>
      </c>
    </row>
    <row r="44" spans="2:52" hidden="1">
      <c r="B44" s="60"/>
      <c r="C44" s="62"/>
      <c r="D44" s="79"/>
      <c r="E44" s="56"/>
      <c r="F44" s="76"/>
      <c r="G44" s="77">
        <f t="shared" si="3"/>
        <v>0</v>
      </c>
      <c r="H44" s="78">
        <f t="shared" si="4"/>
        <v>0</v>
      </c>
      <c r="I44" s="481"/>
      <c r="J44" s="72">
        <f t="shared" si="19"/>
        <v>0</v>
      </c>
      <c r="K44" s="72">
        <f t="shared" si="20"/>
        <v>0</v>
      </c>
      <c r="L44" s="72">
        <f t="shared" si="21"/>
        <v>0</v>
      </c>
      <c r="M44" s="72">
        <f t="shared" si="22"/>
        <v>0</v>
      </c>
      <c r="N44" s="72">
        <f t="shared" si="23"/>
        <v>0</v>
      </c>
      <c r="O44" s="72">
        <f t="shared" si="24"/>
        <v>0</v>
      </c>
      <c r="P44" s="72">
        <f t="shared" si="25"/>
        <v>0</v>
      </c>
      <c r="Q44" s="72">
        <f t="shared" si="26"/>
        <v>0</v>
      </c>
      <c r="R44" s="72">
        <f t="shared" si="27"/>
        <v>0</v>
      </c>
      <c r="S44" s="72">
        <f t="shared" si="28"/>
        <v>0</v>
      </c>
      <c r="T44" s="72">
        <f t="shared" si="29"/>
        <v>0</v>
      </c>
      <c r="U44" s="72">
        <f t="shared" si="30"/>
        <v>0</v>
      </c>
      <c r="V44" s="72">
        <f t="shared" si="33"/>
        <v>0</v>
      </c>
      <c r="W44" s="72">
        <f t="shared" si="33"/>
        <v>0</v>
      </c>
      <c r="X44" s="72">
        <f t="shared" si="33"/>
        <v>0</v>
      </c>
      <c r="Z44" s="72">
        <f t="shared" si="6"/>
        <v>0</v>
      </c>
      <c r="AA44" s="72">
        <f t="shared" si="7"/>
        <v>0</v>
      </c>
      <c r="AB44" s="72">
        <f t="shared" si="8"/>
        <v>0</v>
      </c>
      <c r="AC44" s="72">
        <f t="shared" si="9"/>
        <v>0</v>
      </c>
      <c r="AD44" s="72">
        <f t="shared" si="10"/>
        <v>0</v>
      </c>
      <c r="AE44" s="72">
        <f t="shared" si="11"/>
        <v>0</v>
      </c>
      <c r="AF44" s="72">
        <f t="shared" si="12"/>
        <v>0</v>
      </c>
      <c r="AG44" s="72">
        <f t="shared" si="13"/>
        <v>0</v>
      </c>
      <c r="AH44" s="72">
        <f t="shared" si="14"/>
        <v>0</v>
      </c>
      <c r="AI44" s="72">
        <f t="shared" si="15"/>
        <v>0</v>
      </c>
      <c r="AJ44" s="72">
        <f t="shared" si="16"/>
        <v>0</v>
      </c>
      <c r="AK44" s="72">
        <f t="shared" si="17"/>
        <v>0</v>
      </c>
      <c r="AL44" s="72">
        <f t="shared" si="18"/>
        <v>0</v>
      </c>
      <c r="AM44" s="72">
        <f t="shared" si="18"/>
        <v>0</v>
      </c>
      <c r="AN44" s="72">
        <f t="shared" si="18"/>
        <v>0</v>
      </c>
    </row>
    <row r="45" spans="2:52" hidden="1">
      <c r="B45" s="60"/>
      <c r="C45" s="62"/>
      <c r="D45" s="79"/>
      <c r="E45" s="56"/>
      <c r="F45" s="76"/>
      <c r="G45" s="77">
        <f t="shared" si="3"/>
        <v>0</v>
      </c>
      <c r="H45" s="78">
        <f t="shared" si="4"/>
        <v>0</v>
      </c>
      <c r="I45" s="481"/>
      <c r="J45" s="72">
        <f t="shared" si="19"/>
        <v>0</v>
      </c>
      <c r="K45" s="72">
        <f t="shared" si="20"/>
        <v>0</v>
      </c>
      <c r="L45" s="72">
        <f t="shared" si="21"/>
        <v>0</v>
      </c>
      <c r="M45" s="72">
        <f t="shared" si="22"/>
        <v>0</v>
      </c>
      <c r="N45" s="72">
        <f t="shared" si="23"/>
        <v>0</v>
      </c>
      <c r="O45" s="72">
        <f t="shared" si="24"/>
        <v>0</v>
      </c>
      <c r="P45" s="72">
        <f t="shared" si="25"/>
        <v>0</v>
      </c>
      <c r="Q45" s="72">
        <f t="shared" si="26"/>
        <v>0</v>
      </c>
      <c r="R45" s="72">
        <f t="shared" si="27"/>
        <v>0</v>
      </c>
      <c r="S45" s="72">
        <f t="shared" si="28"/>
        <v>0</v>
      </c>
      <c r="T45" s="72">
        <f t="shared" si="29"/>
        <v>0</v>
      </c>
      <c r="U45" s="72">
        <f t="shared" si="30"/>
        <v>0</v>
      </c>
      <c r="V45" s="72">
        <f t="shared" si="33"/>
        <v>0</v>
      </c>
      <c r="W45" s="72">
        <f t="shared" si="33"/>
        <v>0</v>
      </c>
      <c r="X45" s="72">
        <f t="shared" si="33"/>
        <v>0</v>
      </c>
      <c r="Z45" s="72">
        <f t="shared" si="6"/>
        <v>0</v>
      </c>
      <c r="AA45" s="72">
        <f t="shared" si="7"/>
        <v>0</v>
      </c>
      <c r="AB45" s="72">
        <f t="shared" si="8"/>
        <v>0</v>
      </c>
      <c r="AC45" s="72">
        <f t="shared" si="9"/>
        <v>0</v>
      </c>
      <c r="AD45" s="72">
        <f t="shared" si="10"/>
        <v>0</v>
      </c>
      <c r="AE45" s="72">
        <f t="shared" si="11"/>
        <v>0</v>
      </c>
      <c r="AF45" s="72">
        <f t="shared" si="12"/>
        <v>0</v>
      </c>
      <c r="AG45" s="72">
        <f t="shared" si="13"/>
        <v>0</v>
      </c>
      <c r="AH45" s="72">
        <f t="shared" si="14"/>
        <v>0</v>
      </c>
      <c r="AI45" s="72">
        <f t="shared" si="15"/>
        <v>0</v>
      </c>
      <c r="AJ45" s="72">
        <f t="shared" si="16"/>
        <v>0</v>
      </c>
      <c r="AK45" s="72">
        <f t="shared" si="17"/>
        <v>0</v>
      </c>
      <c r="AL45" s="72">
        <f t="shared" si="18"/>
        <v>0</v>
      </c>
      <c r="AM45" s="72">
        <f t="shared" si="18"/>
        <v>0</v>
      </c>
      <c r="AN45" s="72">
        <f t="shared" si="18"/>
        <v>0</v>
      </c>
    </row>
    <row r="46" spans="2:52" hidden="1">
      <c r="B46" s="60"/>
      <c r="C46" s="62"/>
      <c r="D46" s="79"/>
      <c r="E46" s="56"/>
      <c r="F46" s="76"/>
      <c r="G46" s="77">
        <f t="shared" si="3"/>
        <v>0</v>
      </c>
      <c r="H46" s="78">
        <f t="shared" si="4"/>
        <v>0</v>
      </c>
      <c r="I46" s="481"/>
      <c r="J46" s="72">
        <f t="shared" si="19"/>
        <v>0</v>
      </c>
      <c r="K46" s="72">
        <f t="shared" si="20"/>
        <v>0</v>
      </c>
      <c r="L46" s="72">
        <f t="shared" si="21"/>
        <v>0</v>
      </c>
      <c r="M46" s="72">
        <f t="shared" si="22"/>
        <v>0</v>
      </c>
      <c r="N46" s="72">
        <f t="shared" si="23"/>
        <v>0</v>
      </c>
      <c r="O46" s="72">
        <f t="shared" si="24"/>
        <v>0</v>
      </c>
      <c r="P46" s="72">
        <f t="shared" si="25"/>
        <v>0</v>
      </c>
      <c r="Q46" s="72">
        <f t="shared" si="26"/>
        <v>0</v>
      </c>
      <c r="R46" s="72">
        <f t="shared" si="27"/>
        <v>0</v>
      </c>
      <c r="S46" s="72">
        <f t="shared" si="28"/>
        <v>0</v>
      </c>
      <c r="T46" s="72">
        <f t="shared" si="29"/>
        <v>0</v>
      </c>
      <c r="U46" s="72">
        <f t="shared" si="30"/>
        <v>0</v>
      </c>
      <c r="V46" s="72">
        <f t="shared" si="33"/>
        <v>0</v>
      </c>
      <c r="W46" s="72">
        <f t="shared" si="33"/>
        <v>0</v>
      </c>
      <c r="X46" s="72">
        <f t="shared" si="33"/>
        <v>0</v>
      </c>
      <c r="Z46" s="72">
        <f t="shared" si="6"/>
        <v>0</v>
      </c>
      <c r="AA46" s="72">
        <f t="shared" si="7"/>
        <v>0</v>
      </c>
      <c r="AB46" s="72">
        <f t="shared" si="8"/>
        <v>0</v>
      </c>
      <c r="AC46" s="72">
        <f t="shared" si="9"/>
        <v>0</v>
      </c>
      <c r="AD46" s="72">
        <f t="shared" si="10"/>
        <v>0</v>
      </c>
      <c r="AE46" s="72">
        <f t="shared" si="11"/>
        <v>0</v>
      </c>
      <c r="AF46" s="72">
        <f t="shared" si="12"/>
        <v>0</v>
      </c>
      <c r="AG46" s="72">
        <f t="shared" si="13"/>
        <v>0</v>
      </c>
      <c r="AH46" s="72">
        <f t="shared" si="14"/>
        <v>0</v>
      </c>
      <c r="AI46" s="72">
        <f t="shared" si="15"/>
        <v>0</v>
      </c>
      <c r="AJ46" s="72">
        <f t="shared" si="16"/>
        <v>0</v>
      </c>
      <c r="AK46" s="72">
        <f t="shared" si="17"/>
        <v>0</v>
      </c>
      <c r="AL46" s="72">
        <f t="shared" si="18"/>
        <v>0</v>
      </c>
      <c r="AM46" s="72">
        <f t="shared" si="18"/>
        <v>0</v>
      </c>
      <c r="AN46" s="72">
        <f t="shared" si="18"/>
        <v>0</v>
      </c>
    </row>
    <row r="47" spans="2:52" hidden="1">
      <c r="B47" s="60"/>
      <c r="C47" s="62"/>
      <c r="D47" s="79"/>
      <c r="E47" s="56"/>
      <c r="F47" s="76"/>
      <c r="G47" s="77">
        <f t="shared" si="3"/>
        <v>0</v>
      </c>
      <c r="H47" s="78">
        <f t="shared" si="4"/>
        <v>0</v>
      </c>
      <c r="I47" s="481"/>
      <c r="J47" s="72">
        <f t="shared" si="19"/>
        <v>0</v>
      </c>
      <c r="K47" s="72">
        <f t="shared" si="20"/>
        <v>0</v>
      </c>
      <c r="L47" s="72">
        <f t="shared" si="21"/>
        <v>0</v>
      </c>
      <c r="M47" s="72">
        <f t="shared" si="22"/>
        <v>0</v>
      </c>
      <c r="N47" s="72">
        <f t="shared" si="23"/>
        <v>0</v>
      </c>
      <c r="O47" s="72">
        <f t="shared" si="24"/>
        <v>0</v>
      </c>
      <c r="P47" s="72">
        <f t="shared" si="25"/>
        <v>0</v>
      </c>
      <c r="Q47" s="72">
        <f t="shared" si="26"/>
        <v>0</v>
      </c>
      <c r="R47" s="72">
        <f t="shared" si="27"/>
        <v>0</v>
      </c>
      <c r="S47" s="72">
        <f t="shared" si="28"/>
        <v>0</v>
      </c>
      <c r="T47" s="72">
        <f t="shared" si="29"/>
        <v>0</v>
      </c>
      <c r="U47" s="72">
        <f t="shared" si="30"/>
        <v>0</v>
      </c>
      <c r="V47" s="72">
        <f t="shared" si="33"/>
        <v>0</v>
      </c>
      <c r="W47" s="72">
        <f t="shared" si="33"/>
        <v>0</v>
      </c>
      <c r="X47" s="72">
        <f t="shared" si="33"/>
        <v>0</v>
      </c>
      <c r="Z47" s="72">
        <f t="shared" si="6"/>
        <v>0</v>
      </c>
      <c r="AA47" s="72">
        <f t="shared" si="7"/>
        <v>0</v>
      </c>
      <c r="AB47" s="72">
        <f t="shared" si="8"/>
        <v>0</v>
      </c>
      <c r="AC47" s="72">
        <f t="shared" si="9"/>
        <v>0</v>
      </c>
      <c r="AD47" s="72">
        <f t="shared" si="10"/>
        <v>0</v>
      </c>
      <c r="AE47" s="72">
        <f t="shared" si="11"/>
        <v>0</v>
      </c>
      <c r="AF47" s="72">
        <f t="shared" si="12"/>
        <v>0</v>
      </c>
      <c r="AG47" s="72">
        <f t="shared" si="13"/>
        <v>0</v>
      </c>
      <c r="AH47" s="72">
        <f t="shared" si="14"/>
        <v>0</v>
      </c>
      <c r="AI47" s="72">
        <f t="shared" si="15"/>
        <v>0</v>
      </c>
      <c r="AJ47" s="72">
        <f t="shared" si="16"/>
        <v>0</v>
      </c>
      <c r="AK47" s="72">
        <f t="shared" si="17"/>
        <v>0</v>
      </c>
      <c r="AL47" s="72">
        <f t="shared" si="18"/>
        <v>0</v>
      </c>
      <c r="AM47" s="72">
        <f t="shared" si="18"/>
        <v>0</v>
      </c>
      <c r="AN47" s="72">
        <f t="shared" si="18"/>
        <v>0</v>
      </c>
    </row>
    <row r="48" spans="2:52" hidden="1">
      <c r="B48" s="60"/>
      <c r="C48" s="62"/>
      <c r="D48" s="79"/>
      <c r="E48" s="56"/>
      <c r="F48" s="76"/>
      <c r="G48" s="77">
        <f t="shared" si="3"/>
        <v>0</v>
      </c>
      <c r="H48" s="78">
        <f t="shared" si="4"/>
        <v>0</v>
      </c>
      <c r="I48" s="481"/>
      <c r="J48" s="72">
        <f t="shared" si="19"/>
        <v>0</v>
      </c>
      <c r="K48" s="72">
        <f t="shared" si="20"/>
        <v>0</v>
      </c>
      <c r="L48" s="72">
        <f t="shared" si="21"/>
        <v>0</v>
      </c>
      <c r="M48" s="72">
        <f t="shared" si="22"/>
        <v>0</v>
      </c>
      <c r="N48" s="72">
        <f t="shared" si="23"/>
        <v>0</v>
      </c>
      <c r="O48" s="72">
        <f t="shared" si="24"/>
        <v>0</v>
      </c>
      <c r="P48" s="72">
        <f t="shared" si="25"/>
        <v>0</v>
      </c>
      <c r="Q48" s="72">
        <f t="shared" si="26"/>
        <v>0</v>
      </c>
      <c r="R48" s="72">
        <f t="shared" si="27"/>
        <v>0</v>
      </c>
      <c r="S48" s="72">
        <f t="shared" si="28"/>
        <v>0</v>
      </c>
      <c r="T48" s="72">
        <f t="shared" si="29"/>
        <v>0</v>
      </c>
      <c r="U48" s="72">
        <f t="shared" si="30"/>
        <v>0</v>
      </c>
      <c r="V48" s="72">
        <f t="shared" si="33"/>
        <v>0</v>
      </c>
      <c r="W48" s="72">
        <f t="shared" si="33"/>
        <v>0</v>
      </c>
      <c r="X48" s="72">
        <f t="shared" si="33"/>
        <v>0</v>
      </c>
      <c r="Z48" s="72">
        <f t="shared" si="6"/>
        <v>0</v>
      </c>
      <c r="AA48" s="72">
        <f t="shared" si="7"/>
        <v>0</v>
      </c>
      <c r="AB48" s="72">
        <f t="shared" si="8"/>
        <v>0</v>
      </c>
      <c r="AC48" s="72">
        <f t="shared" si="9"/>
        <v>0</v>
      </c>
      <c r="AD48" s="72">
        <f t="shared" si="10"/>
        <v>0</v>
      </c>
      <c r="AE48" s="72">
        <f t="shared" si="11"/>
        <v>0</v>
      </c>
      <c r="AF48" s="72">
        <f t="shared" si="12"/>
        <v>0</v>
      </c>
      <c r="AG48" s="72">
        <f t="shared" si="13"/>
        <v>0</v>
      </c>
      <c r="AH48" s="72">
        <f t="shared" si="14"/>
        <v>0</v>
      </c>
      <c r="AI48" s="72">
        <f t="shared" si="15"/>
        <v>0</v>
      </c>
      <c r="AJ48" s="72">
        <f t="shared" si="16"/>
        <v>0</v>
      </c>
      <c r="AK48" s="72">
        <f t="shared" si="17"/>
        <v>0</v>
      </c>
      <c r="AL48" s="72">
        <f t="shared" si="18"/>
        <v>0</v>
      </c>
      <c r="AM48" s="72">
        <f t="shared" si="18"/>
        <v>0</v>
      </c>
      <c r="AN48" s="72">
        <f t="shared" si="18"/>
        <v>0</v>
      </c>
    </row>
    <row r="49" spans="2:52" hidden="1">
      <c r="B49" s="60"/>
      <c r="C49" s="62"/>
      <c r="D49" s="79"/>
      <c r="E49" s="56"/>
      <c r="F49" s="76"/>
      <c r="G49" s="77">
        <f t="shared" si="3"/>
        <v>0</v>
      </c>
      <c r="H49" s="78">
        <f t="shared" si="4"/>
        <v>0</v>
      </c>
      <c r="I49" s="481"/>
      <c r="J49" s="72">
        <f t="shared" si="19"/>
        <v>0</v>
      </c>
      <c r="K49" s="72">
        <f t="shared" si="20"/>
        <v>0</v>
      </c>
      <c r="L49" s="72">
        <f t="shared" si="21"/>
        <v>0</v>
      </c>
      <c r="M49" s="72">
        <f t="shared" si="22"/>
        <v>0</v>
      </c>
      <c r="N49" s="72">
        <f t="shared" si="23"/>
        <v>0</v>
      </c>
      <c r="O49" s="72">
        <f t="shared" si="24"/>
        <v>0</v>
      </c>
      <c r="P49" s="72">
        <f t="shared" si="25"/>
        <v>0</v>
      </c>
      <c r="Q49" s="72">
        <f t="shared" si="26"/>
        <v>0</v>
      </c>
      <c r="R49" s="72">
        <f t="shared" si="27"/>
        <v>0</v>
      </c>
      <c r="S49" s="72">
        <f t="shared" si="28"/>
        <v>0</v>
      </c>
      <c r="T49" s="72">
        <f t="shared" si="29"/>
        <v>0</v>
      </c>
      <c r="U49" s="72">
        <f t="shared" si="30"/>
        <v>0</v>
      </c>
      <c r="V49" s="72">
        <f t="shared" si="33"/>
        <v>0</v>
      </c>
      <c r="W49" s="72">
        <f t="shared" si="33"/>
        <v>0</v>
      </c>
      <c r="X49" s="72">
        <f t="shared" si="33"/>
        <v>0</v>
      </c>
      <c r="Z49" s="72">
        <f t="shared" si="6"/>
        <v>0</v>
      </c>
      <c r="AA49" s="72">
        <f t="shared" si="7"/>
        <v>0</v>
      </c>
      <c r="AB49" s="72">
        <f t="shared" si="8"/>
        <v>0</v>
      </c>
      <c r="AC49" s="72">
        <f t="shared" si="9"/>
        <v>0</v>
      </c>
      <c r="AD49" s="72">
        <f t="shared" si="10"/>
        <v>0</v>
      </c>
      <c r="AE49" s="72">
        <f t="shared" si="11"/>
        <v>0</v>
      </c>
      <c r="AF49" s="72">
        <f t="shared" si="12"/>
        <v>0</v>
      </c>
      <c r="AG49" s="72">
        <f t="shared" si="13"/>
        <v>0</v>
      </c>
      <c r="AH49" s="72">
        <f t="shared" si="14"/>
        <v>0</v>
      </c>
      <c r="AI49" s="72">
        <f t="shared" si="15"/>
        <v>0</v>
      </c>
      <c r="AJ49" s="72">
        <f t="shared" si="16"/>
        <v>0</v>
      </c>
      <c r="AK49" s="72">
        <f t="shared" si="17"/>
        <v>0</v>
      </c>
      <c r="AL49" s="72">
        <f t="shared" si="18"/>
        <v>0</v>
      </c>
      <c r="AM49" s="72">
        <f t="shared" si="18"/>
        <v>0</v>
      </c>
      <c r="AN49" s="72">
        <f t="shared" si="18"/>
        <v>0</v>
      </c>
      <c r="AZ49" s="621">
        <f>AR28-AZ39</f>
        <v>295.11999999999989</v>
      </c>
    </row>
    <row r="50" spans="2:52" hidden="1">
      <c r="B50" s="60"/>
      <c r="C50" s="62"/>
      <c r="D50" s="79"/>
      <c r="E50" s="56"/>
      <c r="F50" s="76"/>
      <c r="G50" s="77">
        <f t="shared" si="3"/>
        <v>0</v>
      </c>
      <c r="H50" s="78">
        <f t="shared" si="4"/>
        <v>0</v>
      </c>
      <c r="I50" s="481"/>
      <c r="J50" s="72">
        <f t="shared" si="19"/>
        <v>0</v>
      </c>
      <c r="K50" s="72">
        <f t="shared" si="20"/>
        <v>0</v>
      </c>
      <c r="L50" s="72">
        <f t="shared" si="21"/>
        <v>0</v>
      </c>
      <c r="M50" s="72">
        <f t="shared" si="22"/>
        <v>0</v>
      </c>
      <c r="N50" s="72">
        <f t="shared" si="23"/>
        <v>0</v>
      </c>
      <c r="O50" s="72">
        <f t="shared" si="24"/>
        <v>0</v>
      </c>
      <c r="P50" s="72">
        <f t="shared" si="25"/>
        <v>0</v>
      </c>
      <c r="Q50" s="72">
        <f t="shared" si="26"/>
        <v>0</v>
      </c>
      <c r="R50" s="72">
        <f t="shared" si="27"/>
        <v>0</v>
      </c>
      <c r="S50" s="72">
        <f t="shared" si="28"/>
        <v>0</v>
      </c>
      <c r="T50" s="72">
        <f t="shared" si="29"/>
        <v>0</v>
      </c>
      <c r="U50" s="72">
        <f t="shared" si="30"/>
        <v>0</v>
      </c>
      <c r="V50" s="72">
        <f t="shared" si="33"/>
        <v>0</v>
      </c>
      <c r="W50" s="72">
        <f t="shared" si="33"/>
        <v>0</v>
      </c>
      <c r="X50" s="72">
        <f t="shared" si="33"/>
        <v>0</v>
      </c>
      <c r="Z50" s="72">
        <f t="shared" si="6"/>
        <v>0</v>
      </c>
      <c r="AA50" s="72">
        <f t="shared" si="7"/>
        <v>0</v>
      </c>
      <c r="AB50" s="72">
        <f t="shared" si="8"/>
        <v>0</v>
      </c>
      <c r="AC50" s="72">
        <f t="shared" si="9"/>
        <v>0</v>
      </c>
      <c r="AD50" s="72">
        <f t="shared" si="10"/>
        <v>0</v>
      </c>
      <c r="AE50" s="72">
        <f t="shared" si="11"/>
        <v>0</v>
      </c>
      <c r="AF50" s="72">
        <f t="shared" si="12"/>
        <v>0</v>
      </c>
      <c r="AG50" s="72">
        <f t="shared" si="13"/>
        <v>0</v>
      </c>
      <c r="AH50" s="72">
        <f t="shared" si="14"/>
        <v>0</v>
      </c>
      <c r="AI50" s="72">
        <f t="shared" si="15"/>
        <v>0</v>
      </c>
      <c r="AJ50" s="72">
        <f t="shared" si="16"/>
        <v>0</v>
      </c>
      <c r="AK50" s="72">
        <f t="shared" si="17"/>
        <v>0</v>
      </c>
      <c r="AL50" s="72">
        <f t="shared" si="18"/>
        <v>0</v>
      </c>
      <c r="AM50" s="72">
        <f t="shared" si="18"/>
        <v>0</v>
      </c>
      <c r="AN50" s="72">
        <f t="shared" si="18"/>
        <v>0</v>
      </c>
    </row>
    <row r="51" spans="2:52" hidden="1">
      <c r="B51" s="60"/>
      <c r="C51" s="62"/>
      <c r="D51" s="79"/>
      <c r="E51" s="56"/>
      <c r="F51" s="76"/>
      <c r="G51" s="77">
        <f t="shared" si="3"/>
        <v>0</v>
      </c>
      <c r="H51" s="78">
        <f t="shared" si="4"/>
        <v>0</v>
      </c>
      <c r="I51" s="481"/>
      <c r="J51" s="72">
        <f t="shared" si="19"/>
        <v>0</v>
      </c>
      <c r="K51" s="72">
        <f t="shared" si="20"/>
        <v>0</v>
      </c>
      <c r="L51" s="72">
        <f t="shared" si="21"/>
        <v>0</v>
      </c>
      <c r="M51" s="72">
        <f t="shared" si="22"/>
        <v>0</v>
      </c>
      <c r="N51" s="72">
        <f t="shared" si="23"/>
        <v>0</v>
      </c>
      <c r="O51" s="72">
        <f t="shared" si="24"/>
        <v>0</v>
      </c>
      <c r="P51" s="72">
        <f t="shared" si="25"/>
        <v>0</v>
      </c>
      <c r="Q51" s="72">
        <f t="shared" si="26"/>
        <v>0</v>
      </c>
      <c r="R51" s="72">
        <f t="shared" si="27"/>
        <v>0</v>
      </c>
      <c r="S51" s="72">
        <f t="shared" si="28"/>
        <v>0</v>
      </c>
      <c r="T51" s="72">
        <f t="shared" si="29"/>
        <v>0</v>
      </c>
      <c r="U51" s="72">
        <f t="shared" si="30"/>
        <v>0</v>
      </c>
      <c r="V51" s="72">
        <f t="shared" si="33"/>
        <v>0</v>
      </c>
      <c r="W51" s="72">
        <f t="shared" si="33"/>
        <v>0</v>
      </c>
      <c r="X51" s="72">
        <f t="shared" si="33"/>
        <v>0</v>
      </c>
      <c r="Z51" s="72">
        <f t="shared" si="6"/>
        <v>0</v>
      </c>
      <c r="AA51" s="72">
        <f t="shared" si="7"/>
        <v>0</v>
      </c>
      <c r="AB51" s="72">
        <f t="shared" si="8"/>
        <v>0</v>
      </c>
      <c r="AC51" s="72">
        <f t="shared" si="9"/>
        <v>0</v>
      </c>
      <c r="AD51" s="72">
        <f t="shared" si="10"/>
        <v>0</v>
      </c>
      <c r="AE51" s="72">
        <f t="shared" si="11"/>
        <v>0</v>
      </c>
      <c r="AF51" s="72">
        <f t="shared" si="12"/>
        <v>0</v>
      </c>
      <c r="AG51" s="72">
        <f t="shared" si="13"/>
        <v>0</v>
      </c>
      <c r="AH51" s="72">
        <f t="shared" si="14"/>
        <v>0</v>
      </c>
      <c r="AI51" s="72">
        <f t="shared" si="15"/>
        <v>0</v>
      </c>
      <c r="AJ51" s="72">
        <f t="shared" si="16"/>
        <v>0</v>
      </c>
      <c r="AK51" s="72">
        <f t="shared" si="17"/>
        <v>0</v>
      </c>
      <c r="AL51" s="72">
        <f t="shared" si="18"/>
        <v>0</v>
      </c>
      <c r="AM51" s="72">
        <f t="shared" si="18"/>
        <v>0</v>
      </c>
      <c r="AN51" s="72">
        <f t="shared" si="18"/>
        <v>0</v>
      </c>
    </row>
    <row r="52" spans="2:52" hidden="1">
      <c r="B52" s="60"/>
      <c r="C52" s="62"/>
      <c r="D52" s="79"/>
      <c r="E52" s="56"/>
      <c r="F52" s="76"/>
      <c r="G52" s="77">
        <f t="shared" si="3"/>
        <v>0</v>
      </c>
      <c r="H52" s="78">
        <f t="shared" si="4"/>
        <v>0</v>
      </c>
      <c r="I52" s="481"/>
      <c r="J52" s="72">
        <f t="shared" si="19"/>
        <v>0</v>
      </c>
      <c r="K52" s="72">
        <f t="shared" si="20"/>
        <v>0</v>
      </c>
      <c r="L52" s="72">
        <f t="shared" si="21"/>
        <v>0</v>
      </c>
      <c r="M52" s="72">
        <f t="shared" si="22"/>
        <v>0</v>
      </c>
      <c r="N52" s="72">
        <f t="shared" si="23"/>
        <v>0</v>
      </c>
      <c r="O52" s="72">
        <f t="shared" si="24"/>
        <v>0</v>
      </c>
      <c r="P52" s="72">
        <f t="shared" si="25"/>
        <v>0</v>
      </c>
      <c r="Q52" s="72">
        <f t="shared" si="26"/>
        <v>0</v>
      </c>
      <c r="R52" s="72">
        <f t="shared" si="27"/>
        <v>0</v>
      </c>
      <c r="S52" s="72">
        <f t="shared" si="28"/>
        <v>0</v>
      </c>
      <c r="T52" s="72">
        <f t="shared" si="29"/>
        <v>0</v>
      </c>
      <c r="U52" s="72">
        <f t="shared" si="30"/>
        <v>0</v>
      </c>
      <c r="V52" s="72">
        <f t="shared" si="33"/>
        <v>0</v>
      </c>
      <c r="W52" s="72">
        <f t="shared" si="33"/>
        <v>0</v>
      </c>
      <c r="X52" s="72">
        <f t="shared" si="33"/>
        <v>0</v>
      </c>
      <c r="Z52" s="72">
        <f t="shared" si="6"/>
        <v>0</v>
      </c>
      <c r="AA52" s="72">
        <f t="shared" si="7"/>
        <v>0</v>
      </c>
      <c r="AB52" s="72">
        <f t="shared" si="8"/>
        <v>0</v>
      </c>
      <c r="AC52" s="72">
        <f t="shared" si="9"/>
        <v>0</v>
      </c>
      <c r="AD52" s="72">
        <f t="shared" si="10"/>
        <v>0</v>
      </c>
      <c r="AE52" s="72">
        <f t="shared" si="11"/>
        <v>0</v>
      </c>
      <c r="AF52" s="72">
        <f t="shared" si="12"/>
        <v>0</v>
      </c>
      <c r="AG52" s="72">
        <f t="shared" si="13"/>
        <v>0</v>
      </c>
      <c r="AH52" s="72">
        <f t="shared" si="14"/>
        <v>0</v>
      </c>
      <c r="AI52" s="72">
        <f t="shared" si="15"/>
        <v>0</v>
      </c>
      <c r="AJ52" s="72">
        <f t="shared" si="16"/>
        <v>0</v>
      </c>
      <c r="AK52" s="72">
        <f t="shared" si="17"/>
        <v>0</v>
      </c>
      <c r="AL52" s="72">
        <f t="shared" si="18"/>
        <v>0</v>
      </c>
      <c r="AM52" s="72">
        <f t="shared" si="18"/>
        <v>0</v>
      </c>
      <c r="AN52" s="72">
        <f t="shared" si="18"/>
        <v>0</v>
      </c>
    </row>
    <row r="53" spans="2:52" hidden="1">
      <c r="B53" s="60"/>
      <c r="C53" s="62"/>
      <c r="D53" s="79"/>
      <c r="E53" s="56"/>
      <c r="F53" s="76"/>
      <c r="G53" s="77">
        <f t="shared" si="3"/>
        <v>0</v>
      </c>
      <c r="H53" s="78">
        <f t="shared" si="4"/>
        <v>0</v>
      </c>
      <c r="I53" s="481"/>
      <c r="J53" s="72">
        <f t="shared" si="19"/>
        <v>0</v>
      </c>
      <c r="K53" s="72">
        <f t="shared" si="20"/>
        <v>0</v>
      </c>
      <c r="L53" s="72">
        <f t="shared" si="21"/>
        <v>0</v>
      </c>
      <c r="M53" s="72">
        <f t="shared" si="22"/>
        <v>0</v>
      </c>
      <c r="N53" s="72">
        <f t="shared" si="23"/>
        <v>0</v>
      </c>
      <c r="O53" s="72">
        <f t="shared" si="24"/>
        <v>0</v>
      </c>
      <c r="P53" s="72">
        <f t="shared" si="25"/>
        <v>0</v>
      </c>
      <c r="Q53" s="72">
        <f t="shared" si="26"/>
        <v>0</v>
      </c>
      <c r="R53" s="72">
        <f t="shared" si="27"/>
        <v>0</v>
      </c>
      <c r="S53" s="72">
        <f t="shared" si="28"/>
        <v>0</v>
      </c>
      <c r="T53" s="72">
        <f t="shared" si="29"/>
        <v>0</v>
      </c>
      <c r="U53" s="72">
        <f t="shared" si="30"/>
        <v>0</v>
      </c>
      <c r="V53" s="72">
        <f t="shared" si="33"/>
        <v>0</v>
      </c>
      <c r="W53" s="72">
        <f t="shared" si="33"/>
        <v>0</v>
      </c>
      <c r="X53" s="72">
        <f t="shared" si="33"/>
        <v>0</v>
      </c>
      <c r="Z53" s="72">
        <f t="shared" si="6"/>
        <v>0</v>
      </c>
      <c r="AA53" s="72">
        <f t="shared" si="7"/>
        <v>0</v>
      </c>
      <c r="AB53" s="72">
        <f t="shared" si="8"/>
        <v>0</v>
      </c>
      <c r="AC53" s="72">
        <f t="shared" si="9"/>
        <v>0</v>
      </c>
      <c r="AD53" s="72">
        <f t="shared" si="10"/>
        <v>0</v>
      </c>
      <c r="AE53" s="72">
        <f t="shared" si="11"/>
        <v>0</v>
      </c>
      <c r="AF53" s="72">
        <f t="shared" si="12"/>
        <v>0</v>
      </c>
      <c r="AG53" s="72">
        <f t="shared" si="13"/>
        <v>0</v>
      </c>
      <c r="AH53" s="72">
        <f t="shared" si="14"/>
        <v>0</v>
      </c>
      <c r="AI53" s="72">
        <f t="shared" si="15"/>
        <v>0</v>
      </c>
      <c r="AJ53" s="72">
        <f t="shared" si="16"/>
        <v>0</v>
      </c>
      <c r="AK53" s="72">
        <f t="shared" si="17"/>
        <v>0</v>
      </c>
      <c r="AL53" s="72">
        <f t="shared" si="18"/>
        <v>0</v>
      </c>
      <c r="AM53" s="72">
        <f t="shared" si="18"/>
        <v>0</v>
      </c>
      <c r="AN53" s="72">
        <f t="shared" si="18"/>
        <v>0</v>
      </c>
    </row>
    <row r="54" spans="2:52" hidden="1">
      <c r="B54" s="60"/>
      <c r="C54" s="62"/>
      <c r="D54" s="79"/>
      <c r="E54" s="56"/>
      <c r="F54" s="76"/>
      <c r="G54" s="77">
        <f t="shared" si="3"/>
        <v>0</v>
      </c>
      <c r="H54" s="78">
        <f t="shared" si="4"/>
        <v>0</v>
      </c>
      <c r="I54" s="481"/>
      <c r="J54" s="72">
        <f t="shared" si="19"/>
        <v>0</v>
      </c>
      <c r="K54" s="72">
        <f t="shared" si="20"/>
        <v>0</v>
      </c>
      <c r="L54" s="72">
        <f t="shared" si="21"/>
        <v>0</v>
      </c>
      <c r="M54" s="72">
        <f t="shared" si="22"/>
        <v>0</v>
      </c>
      <c r="N54" s="72">
        <f t="shared" si="23"/>
        <v>0</v>
      </c>
      <c r="O54" s="72">
        <f t="shared" si="24"/>
        <v>0</v>
      </c>
      <c r="P54" s="72">
        <f t="shared" si="25"/>
        <v>0</v>
      </c>
      <c r="Q54" s="72">
        <f t="shared" si="26"/>
        <v>0</v>
      </c>
      <c r="R54" s="72">
        <f t="shared" si="27"/>
        <v>0</v>
      </c>
      <c r="S54" s="72">
        <f t="shared" si="28"/>
        <v>0</v>
      </c>
      <c r="T54" s="72">
        <f t="shared" si="29"/>
        <v>0</v>
      </c>
      <c r="U54" s="72">
        <f t="shared" si="30"/>
        <v>0</v>
      </c>
      <c r="V54" s="72">
        <f t="shared" si="33"/>
        <v>0</v>
      </c>
      <c r="W54" s="72">
        <f t="shared" si="33"/>
        <v>0</v>
      </c>
      <c r="X54" s="72">
        <f t="shared" si="33"/>
        <v>0</v>
      </c>
      <c r="Z54" s="72">
        <f t="shared" si="6"/>
        <v>0</v>
      </c>
      <c r="AA54" s="72">
        <f t="shared" si="7"/>
        <v>0</v>
      </c>
      <c r="AB54" s="72">
        <f t="shared" si="8"/>
        <v>0</v>
      </c>
      <c r="AC54" s="72">
        <f t="shared" si="9"/>
        <v>0</v>
      </c>
      <c r="AD54" s="72">
        <f t="shared" si="10"/>
        <v>0</v>
      </c>
      <c r="AE54" s="72">
        <f t="shared" si="11"/>
        <v>0</v>
      </c>
      <c r="AF54" s="72">
        <f t="shared" si="12"/>
        <v>0</v>
      </c>
      <c r="AG54" s="72">
        <f t="shared" si="13"/>
        <v>0</v>
      </c>
      <c r="AH54" s="72">
        <f t="shared" si="14"/>
        <v>0</v>
      </c>
      <c r="AI54" s="72">
        <f t="shared" si="15"/>
        <v>0</v>
      </c>
      <c r="AJ54" s="72">
        <f t="shared" si="16"/>
        <v>0</v>
      </c>
      <c r="AK54" s="72">
        <f t="shared" si="17"/>
        <v>0</v>
      </c>
      <c r="AL54" s="72">
        <f t="shared" si="18"/>
        <v>0</v>
      </c>
      <c r="AM54" s="72">
        <f t="shared" si="18"/>
        <v>0</v>
      </c>
      <c r="AN54" s="72">
        <f t="shared" si="18"/>
        <v>0</v>
      </c>
    </row>
    <row r="55" spans="2:52" hidden="1">
      <c r="B55" s="60"/>
      <c r="C55" s="62"/>
      <c r="D55" s="79"/>
      <c r="E55" s="56"/>
      <c r="F55" s="76"/>
      <c r="G55" s="77">
        <f t="shared" si="3"/>
        <v>0</v>
      </c>
      <c r="H55" s="78">
        <f t="shared" si="4"/>
        <v>0</v>
      </c>
      <c r="I55" s="481"/>
      <c r="J55" s="72">
        <f t="shared" si="19"/>
        <v>0</v>
      </c>
      <c r="K55" s="72">
        <f t="shared" si="20"/>
        <v>0</v>
      </c>
      <c r="L55" s="72">
        <f t="shared" si="21"/>
        <v>0</v>
      </c>
      <c r="M55" s="72">
        <f t="shared" si="22"/>
        <v>0</v>
      </c>
      <c r="N55" s="72">
        <f t="shared" si="23"/>
        <v>0</v>
      </c>
      <c r="O55" s="72">
        <f t="shared" si="24"/>
        <v>0</v>
      </c>
      <c r="P55" s="72">
        <f t="shared" si="25"/>
        <v>0</v>
      </c>
      <c r="Q55" s="72">
        <f t="shared" si="26"/>
        <v>0</v>
      </c>
      <c r="R55" s="72">
        <f t="shared" si="27"/>
        <v>0</v>
      </c>
      <c r="S55" s="72">
        <f t="shared" si="28"/>
        <v>0</v>
      </c>
      <c r="T55" s="72">
        <f t="shared" si="29"/>
        <v>0</v>
      </c>
      <c r="U55" s="72">
        <f t="shared" si="30"/>
        <v>0</v>
      </c>
      <c r="V55" s="72">
        <f t="shared" si="33"/>
        <v>0</v>
      </c>
      <c r="W55" s="72">
        <f t="shared" si="33"/>
        <v>0</v>
      </c>
      <c r="X55" s="72">
        <f t="shared" si="33"/>
        <v>0</v>
      </c>
      <c r="Z55" s="72">
        <f t="shared" si="6"/>
        <v>0</v>
      </c>
      <c r="AA55" s="72">
        <f t="shared" si="7"/>
        <v>0</v>
      </c>
      <c r="AB55" s="72">
        <f t="shared" si="8"/>
        <v>0</v>
      </c>
      <c r="AC55" s="72">
        <f t="shared" si="9"/>
        <v>0</v>
      </c>
      <c r="AD55" s="72">
        <f t="shared" si="10"/>
        <v>0</v>
      </c>
      <c r="AE55" s="72">
        <f t="shared" si="11"/>
        <v>0</v>
      </c>
      <c r="AF55" s="72">
        <f t="shared" si="12"/>
        <v>0</v>
      </c>
      <c r="AG55" s="72">
        <f t="shared" si="13"/>
        <v>0</v>
      </c>
      <c r="AH55" s="72">
        <f t="shared" si="14"/>
        <v>0</v>
      </c>
      <c r="AI55" s="72">
        <f t="shared" si="15"/>
        <v>0</v>
      </c>
      <c r="AJ55" s="72">
        <f t="shared" si="16"/>
        <v>0</v>
      </c>
      <c r="AK55" s="72">
        <f t="shared" si="17"/>
        <v>0</v>
      </c>
      <c r="AL55" s="72">
        <f t="shared" si="18"/>
        <v>0</v>
      </c>
      <c r="AM55" s="72">
        <f t="shared" si="18"/>
        <v>0</v>
      </c>
      <c r="AN55" s="72">
        <f t="shared" si="18"/>
        <v>0</v>
      </c>
    </row>
    <row r="56" spans="2:52" hidden="1">
      <c r="B56" s="60"/>
      <c r="C56" s="62"/>
      <c r="D56" s="79"/>
      <c r="E56" s="56"/>
      <c r="F56" s="76"/>
      <c r="G56" s="77">
        <f t="shared" si="3"/>
        <v>0</v>
      </c>
      <c r="H56" s="78">
        <f t="shared" si="4"/>
        <v>0</v>
      </c>
      <c r="I56" s="481"/>
      <c r="J56" s="72">
        <f t="shared" si="19"/>
        <v>0</v>
      </c>
      <c r="K56" s="72">
        <f t="shared" si="20"/>
        <v>0</v>
      </c>
      <c r="L56" s="72">
        <f t="shared" si="21"/>
        <v>0</v>
      </c>
      <c r="M56" s="72">
        <f t="shared" si="22"/>
        <v>0</v>
      </c>
      <c r="N56" s="72">
        <f t="shared" si="23"/>
        <v>0</v>
      </c>
      <c r="O56" s="72">
        <f t="shared" si="24"/>
        <v>0</v>
      </c>
      <c r="P56" s="72">
        <f t="shared" si="25"/>
        <v>0</v>
      </c>
      <c r="Q56" s="72">
        <f t="shared" si="26"/>
        <v>0</v>
      </c>
      <c r="R56" s="72">
        <f t="shared" si="27"/>
        <v>0</v>
      </c>
      <c r="S56" s="72">
        <f t="shared" si="28"/>
        <v>0</v>
      </c>
      <c r="T56" s="72">
        <f t="shared" si="29"/>
        <v>0</v>
      </c>
      <c r="U56" s="72">
        <f t="shared" si="30"/>
        <v>0</v>
      </c>
      <c r="V56" s="72">
        <f t="shared" si="33"/>
        <v>0</v>
      </c>
      <c r="W56" s="72">
        <f t="shared" si="33"/>
        <v>0</v>
      </c>
      <c r="X56" s="72">
        <f t="shared" si="33"/>
        <v>0</v>
      </c>
      <c r="Z56" s="72">
        <f t="shared" si="6"/>
        <v>0</v>
      </c>
      <c r="AA56" s="72">
        <f t="shared" si="7"/>
        <v>0</v>
      </c>
      <c r="AB56" s="72">
        <f t="shared" si="8"/>
        <v>0</v>
      </c>
      <c r="AC56" s="72">
        <f t="shared" si="9"/>
        <v>0</v>
      </c>
      <c r="AD56" s="72">
        <f t="shared" si="10"/>
        <v>0</v>
      </c>
      <c r="AE56" s="72">
        <f t="shared" si="11"/>
        <v>0</v>
      </c>
      <c r="AF56" s="72">
        <f t="shared" si="12"/>
        <v>0</v>
      </c>
      <c r="AG56" s="72">
        <f t="shared" si="13"/>
        <v>0</v>
      </c>
      <c r="AH56" s="72">
        <f t="shared" si="14"/>
        <v>0</v>
      </c>
      <c r="AI56" s="72">
        <f t="shared" si="15"/>
        <v>0</v>
      </c>
      <c r="AJ56" s="72">
        <f t="shared" si="16"/>
        <v>0</v>
      </c>
      <c r="AK56" s="72">
        <f t="shared" si="17"/>
        <v>0</v>
      </c>
      <c r="AL56" s="72">
        <f t="shared" si="18"/>
        <v>0</v>
      </c>
      <c r="AM56" s="72">
        <f t="shared" si="18"/>
        <v>0</v>
      </c>
      <c r="AN56" s="72">
        <f t="shared" si="18"/>
        <v>0</v>
      </c>
    </row>
    <row r="57" spans="2:52" hidden="1">
      <c r="B57" s="60"/>
      <c r="C57" s="62"/>
      <c r="D57" s="79"/>
      <c r="E57" s="56"/>
      <c r="F57" s="76"/>
      <c r="G57" s="77">
        <f t="shared" si="3"/>
        <v>0</v>
      </c>
      <c r="H57" s="78">
        <f t="shared" si="4"/>
        <v>0</v>
      </c>
      <c r="I57" s="481"/>
      <c r="J57" s="72">
        <f t="shared" si="19"/>
        <v>0</v>
      </c>
      <c r="K57" s="72">
        <f t="shared" si="20"/>
        <v>0</v>
      </c>
      <c r="L57" s="72">
        <f t="shared" si="21"/>
        <v>0</v>
      </c>
      <c r="M57" s="72">
        <f t="shared" si="22"/>
        <v>0</v>
      </c>
      <c r="N57" s="72">
        <f t="shared" si="23"/>
        <v>0</v>
      </c>
      <c r="O57" s="72">
        <f t="shared" si="24"/>
        <v>0</v>
      </c>
      <c r="P57" s="72">
        <f t="shared" si="25"/>
        <v>0</v>
      </c>
      <c r="Q57" s="72">
        <f t="shared" si="26"/>
        <v>0</v>
      </c>
      <c r="R57" s="72">
        <f t="shared" si="27"/>
        <v>0</v>
      </c>
      <c r="S57" s="72">
        <f t="shared" si="28"/>
        <v>0</v>
      </c>
      <c r="T57" s="72">
        <f t="shared" si="29"/>
        <v>0</v>
      </c>
      <c r="U57" s="72">
        <f t="shared" si="30"/>
        <v>0</v>
      </c>
      <c r="V57" s="72">
        <f t="shared" si="33"/>
        <v>0</v>
      </c>
      <c r="W57" s="72">
        <f t="shared" si="33"/>
        <v>0</v>
      </c>
      <c r="X57" s="72">
        <f t="shared" si="33"/>
        <v>0</v>
      </c>
      <c r="Z57" s="72">
        <f t="shared" si="6"/>
        <v>0</v>
      </c>
      <c r="AA57" s="72">
        <f t="shared" si="7"/>
        <v>0</v>
      </c>
      <c r="AB57" s="72">
        <f t="shared" si="8"/>
        <v>0</v>
      </c>
      <c r="AC57" s="72">
        <f t="shared" si="9"/>
        <v>0</v>
      </c>
      <c r="AD57" s="72">
        <f t="shared" si="10"/>
        <v>0</v>
      </c>
      <c r="AE57" s="72">
        <f t="shared" si="11"/>
        <v>0</v>
      </c>
      <c r="AF57" s="72">
        <f t="shared" si="12"/>
        <v>0</v>
      </c>
      <c r="AG57" s="72">
        <f t="shared" si="13"/>
        <v>0</v>
      </c>
      <c r="AH57" s="72">
        <f t="shared" si="14"/>
        <v>0</v>
      </c>
      <c r="AI57" s="72">
        <f t="shared" si="15"/>
        <v>0</v>
      </c>
      <c r="AJ57" s="72">
        <f t="shared" si="16"/>
        <v>0</v>
      </c>
      <c r="AK57" s="72">
        <f t="shared" si="17"/>
        <v>0</v>
      </c>
      <c r="AL57" s="72">
        <f t="shared" si="18"/>
        <v>0</v>
      </c>
      <c r="AM57" s="72">
        <f t="shared" si="18"/>
        <v>0</v>
      </c>
      <c r="AN57" s="72">
        <f t="shared" si="18"/>
        <v>0</v>
      </c>
    </row>
    <row r="58" spans="2:52" hidden="1">
      <c r="B58" s="60"/>
      <c r="C58" s="62"/>
      <c r="D58" s="79"/>
      <c r="E58" s="56"/>
      <c r="F58" s="76"/>
      <c r="G58" s="77">
        <f t="shared" si="3"/>
        <v>0</v>
      </c>
      <c r="H58" s="78">
        <f t="shared" si="4"/>
        <v>0</v>
      </c>
      <c r="I58" s="481"/>
      <c r="J58" s="72">
        <f t="shared" si="19"/>
        <v>0</v>
      </c>
      <c r="K58" s="72">
        <f t="shared" si="20"/>
        <v>0</v>
      </c>
      <c r="L58" s="72">
        <f t="shared" si="21"/>
        <v>0</v>
      </c>
      <c r="M58" s="72">
        <f t="shared" si="22"/>
        <v>0</v>
      </c>
      <c r="N58" s="72">
        <f t="shared" si="23"/>
        <v>0</v>
      </c>
      <c r="O58" s="72">
        <f t="shared" si="24"/>
        <v>0</v>
      </c>
      <c r="P58" s="72">
        <f t="shared" si="25"/>
        <v>0</v>
      </c>
      <c r="Q58" s="72">
        <f t="shared" si="26"/>
        <v>0</v>
      </c>
      <c r="R58" s="72">
        <f t="shared" si="27"/>
        <v>0</v>
      </c>
      <c r="S58" s="72">
        <f t="shared" si="28"/>
        <v>0</v>
      </c>
      <c r="T58" s="72">
        <f t="shared" si="29"/>
        <v>0</v>
      </c>
      <c r="U58" s="72">
        <f t="shared" si="30"/>
        <v>0</v>
      </c>
      <c r="V58" s="72">
        <f t="shared" si="33"/>
        <v>0</v>
      </c>
      <c r="W58" s="72">
        <f t="shared" si="33"/>
        <v>0</v>
      </c>
      <c r="X58" s="72">
        <f t="shared" si="33"/>
        <v>0</v>
      </c>
      <c r="Z58" s="72">
        <f t="shared" si="6"/>
        <v>0</v>
      </c>
      <c r="AA58" s="72">
        <f t="shared" si="7"/>
        <v>0</v>
      </c>
      <c r="AB58" s="72">
        <f t="shared" si="8"/>
        <v>0</v>
      </c>
      <c r="AC58" s="72">
        <f t="shared" si="9"/>
        <v>0</v>
      </c>
      <c r="AD58" s="72">
        <f t="shared" si="10"/>
        <v>0</v>
      </c>
      <c r="AE58" s="72">
        <f t="shared" si="11"/>
        <v>0</v>
      </c>
      <c r="AF58" s="72">
        <f t="shared" si="12"/>
        <v>0</v>
      </c>
      <c r="AG58" s="72">
        <f t="shared" si="13"/>
        <v>0</v>
      </c>
      <c r="AH58" s="72">
        <f t="shared" si="14"/>
        <v>0</v>
      </c>
      <c r="AI58" s="72">
        <f t="shared" si="15"/>
        <v>0</v>
      </c>
      <c r="AJ58" s="72">
        <f t="shared" si="16"/>
        <v>0</v>
      </c>
      <c r="AK58" s="72">
        <f t="shared" si="17"/>
        <v>0</v>
      </c>
      <c r="AL58" s="72">
        <f t="shared" si="18"/>
        <v>0</v>
      </c>
      <c r="AM58" s="72">
        <f t="shared" si="18"/>
        <v>0</v>
      </c>
      <c r="AN58" s="72">
        <f t="shared" si="18"/>
        <v>0</v>
      </c>
    </row>
    <row r="59" spans="2:52" hidden="1">
      <c r="B59" s="60"/>
      <c r="C59" s="62"/>
      <c r="D59" s="79"/>
      <c r="E59" s="56"/>
      <c r="F59" s="76"/>
      <c r="G59" s="77">
        <f t="shared" si="3"/>
        <v>0</v>
      </c>
      <c r="H59" s="78">
        <f t="shared" si="4"/>
        <v>0</v>
      </c>
      <c r="I59" s="481"/>
      <c r="J59" s="72">
        <f t="shared" si="19"/>
        <v>0</v>
      </c>
      <c r="K59" s="72">
        <f t="shared" si="20"/>
        <v>0</v>
      </c>
      <c r="L59" s="72">
        <f t="shared" si="21"/>
        <v>0</v>
      </c>
      <c r="M59" s="72">
        <f t="shared" si="22"/>
        <v>0</v>
      </c>
      <c r="N59" s="72">
        <f t="shared" si="23"/>
        <v>0</v>
      </c>
      <c r="O59" s="72">
        <f t="shared" si="24"/>
        <v>0</v>
      </c>
      <c r="P59" s="72">
        <f t="shared" si="25"/>
        <v>0</v>
      </c>
      <c r="Q59" s="72">
        <f t="shared" si="26"/>
        <v>0</v>
      </c>
      <c r="R59" s="72">
        <f t="shared" si="27"/>
        <v>0</v>
      </c>
      <c r="S59" s="72">
        <f t="shared" si="28"/>
        <v>0</v>
      </c>
      <c r="T59" s="72">
        <f t="shared" si="29"/>
        <v>0</v>
      </c>
      <c r="U59" s="72">
        <f t="shared" si="30"/>
        <v>0</v>
      </c>
      <c r="V59" s="72">
        <f t="shared" si="33"/>
        <v>0</v>
      </c>
      <c r="W59" s="72">
        <f t="shared" si="33"/>
        <v>0</v>
      </c>
      <c r="X59" s="72">
        <f t="shared" si="33"/>
        <v>0</v>
      </c>
      <c r="Z59" s="72">
        <f t="shared" si="6"/>
        <v>0</v>
      </c>
      <c r="AA59" s="72">
        <f t="shared" si="7"/>
        <v>0</v>
      </c>
      <c r="AB59" s="72">
        <f t="shared" si="8"/>
        <v>0</v>
      </c>
      <c r="AC59" s="72">
        <f t="shared" si="9"/>
        <v>0</v>
      </c>
      <c r="AD59" s="72">
        <f t="shared" si="10"/>
        <v>0</v>
      </c>
      <c r="AE59" s="72">
        <f t="shared" si="11"/>
        <v>0</v>
      </c>
      <c r="AF59" s="72">
        <f t="shared" si="12"/>
        <v>0</v>
      </c>
      <c r="AG59" s="72">
        <f t="shared" si="13"/>
        <v>0</v>
      </c>
      <c r="AH59" s="72">
        <f t="shared" si="14"/>
        <v>0</v>
      </c>
      <c r="AI59" s="72">
        <f t="shared" si="15"/>
        <v>0</v>
      </c>
      <c r="AJ59" s="72">
        <f t="shared" si="16"/>
        <v>0</v>
      </c>
      <c r="AK59" s="72">
        <f t="shared" si="17"/>
        <v>0</v>
      </c>
      <c r="AL59" s="72">
        <f t="shared" si="18"/>
        <v>0</v>
      </c>
      <c r="AM59" s="72">
        <f t="shared" si="18"/>
        <v>0</v>
      </c>
      <c r="AN59" s="72">
        <f t="shared" si="18"/>
        <v>0</v>
      </c>
    </row>
    <row r="60" spans="2:52" hidden="1">
      <c r="B60" s="60"/>
      <c r="C60" s="62"/>
      <c r="D60" s="79"/>
      <c r="E60" s="56"/>
      <c r="F60" s="76"/>
      <c r="G60" s="77">
        <f t="shared" si="3"/>
        <v>0</v>
      </c>
      <c r="H60" s="78">
        <f t="shared" si="4"/>
        <v>0</v>
      </c>
      <c r="I60" s="481"/>
      <c r="J60" s="72">
        <f t="shared" si="19"/>
        <v>0</v>
      </c>
      <c r="K60" s="72">
        <f t="shared" si="20"/>
        <v>0</v>
      </c>
      <c r="L60" s="72">
        <f t="shared" si="21"/>
        <v>0</v>
      </c>
      <c r="M60" s="72">
        <f t="shared" si="22"/>
        <v>0</v>
      </c>
      <c r="N60" s="72">
        <f t="shared" si="23"/>
        <v>0</v>
      </c>
      <c r="O60" s="72">
        <f t="shared" si="24"/>
        <v>0</v>
      </c>
      <c r="P60" s="72">
        <f t="shared" si="25"/>
        <v>0</v>
      </c>
      <c r="Q60" s="72">
        <f t="shared" si="26"/>
        <v>0</v>
      </c>
      <c r="R60" s="72">
        <f t="shared" si="27"/>
        <v>0</v>
      </c>
      <c r="S60" s="72">
        <f t="shared" si="28"/>
        <v>0</v>
      </c>
      <c r="T60" s="72">
        <f t="shared" si="29"/>
        <v>0</v>
      </c>
      <c r="U60" s="72">
        <f t="shared" si="30"/>
        <v>0</v>
      </c>
      <c r="V60" s="72">
        <f t="shared" si="33"/>
        <v>0</v>
      </c>
      <c r="W60" s="72">
        <f t="shared" si="33"/>
        <v>0</v>
      </c>
      <c r="X60" s="72">
        <f t="shared" si="33"/>
        <v>0</v>
      </c>
      <c r="Z60" s="72">
        <f t="shared" si="6"/>
        <v>0</v>
      </c>
      <c r="AA60" s="72">
        <f t="shared" si="7"/>
        <v>0</v>
      </c>
      <c r="AB60" s="72">
        <f t="shared" si="8"/>
        <v>0</v>
      </c>
      <c r="AC60" s="72">
        <f t="shared" si="9"/>
        <v>0</v>
      </c>
      <c r="AD60" s="72">
        <f t="shared" si="10"/>
        <v>0</v>
      </c>
      <c r="AE60" s="72">
        <f t="shared" si="11"/>
        <v>0</v>
      </c>
      <c r="AF60" s="72">
        <f t="shared" si="12"/>
        <v>0</v>
      </c>
      <c r="AG60" s="72">
        <f t="shared" si="13"/>
        <v>0</v>
      </c>
      <c r="AH60" s="72">
        <f t="shared" si="14"/>
        <v>0</v>
      </c>
      <c r="AI60" s="72">
        <f t="shared" si="15"/>
        <v>0</v>
      </c>
      <c r="AJ60" s="72">
        <f t="shared" si="16"/>
        <v>0</v>
      </c>
      <c r="AK60" s="72">
        <f t="shared" si="17"/>
        <v>0</v>
      </c>
      <c r="AL60" s="72">
        <f t="shared" si="18"/>
        <v>0</v>
      </c>
      <c r="AM60" s="72">
        <f t="shared" si="18"/>
        <v>0</v>
      </c>
      <c r="AN60" s="72">
        <f t="shared" si="18"/>
        <v>0</v>
      </c>
    </row>
    <row r="61" spans="2:52" hidden="1">
      <c r="B61" s="60"/>
      <c r="C61" s="62"/>
      <c r="D61" s="79"/>
      <c r="E61" s="56"/>
      <c r="F61" s="76"/>
      <c r="G61" s="77">
        <f t="shared" si="3"/>
        <v>0</v>
      </c>
      <c r="H61" s="78">
        <f t="shared" si="4"/>
        <v>0</v>
      </c>
      <c r="I61" s="481"/>
      <c r="J61" s="72">
        <f t="shared" si="19"/>
        <v>0</v>
      </c>
      <c r="K61" s="72">
        <f t="shared" si="20"/>
        <v>0</v>
      </c>
      <c r="L61" s="72">
        <f t="shared" si="21"/>
        <v>0</v>
      </c>
      <c r="M61" s="72">
        <f t="shared" si="22"/>
        <v>0</v>
      </c>
      <c r="N61" s="72">
        <f t="shared" si="23"/>
        <v>0</v>
      </c>
      <c r="O61" s="72">
        <f t="shared" si="24"/>
        <v>0</v>
      </c>
      <c r="P61" s="72">
        <f t="shared" si="25"/>
        <v>0</v>
      </c>
      <c r="Q61" s="72">
        <f t="shared" si="26"/>
        <v>0</v>
      </c>
      <c r="R61" s="72">
        <f t="shared" si="27"/>
        <v>0</v>
      </c>
      <c r="S61" s="72">
        <f t="shared" si="28"/>
        <v>0</v>
      </c>
      <c r="T61" s="72">
        <f t="shared" si="29"/>
        <v>0</v>
      </c>
      <c r="U61" s="72">
        <f t="shared" si="30"/>
        <v>0</v>
      </c>
      <c r="V61" s="72">
        <f t="shared" si="33"/>
        <v>0</v>
      </c>
      <c r="W61" s="72">
        <f t="shared" si="33"/>
        <v>0</v>
      </c>
      <c r="X61" s="72">
        <f t="shared" si="33"/>
        <v>0</v>
      </c>
      <c r="Z61" s="72">
        <f t="shared" si="6"/>
        <v>0</v>
      </c>
      <c r="AA61" s="72">
        <f t="shared" si="7"/>
        <v>0</v>
      </c>
      <c r="AB61" s="72">
        <f t="shared" si="8"/>
        <v>0</v>
      </c>
      <c r="AC61" s="72">
        <f t="shared" si="9"/>
        <v>0</v>
      </c>
      <c r="AD61" s="72">
        <f t="shared" si="10"/>
        <v>0</v>
      </c>
      <c r="AE61" s="72">
        <f t="shared" si="11"/>
        <v>0</v>
      </c>
      <c r="AF61" s="72">
        <f t="shared" si="12"/>
        <v>0</v>
      </c>
      <c r="AG61" s="72">
        <f t="shared" si="13"/>
        <v>0</v>
      </c>
      <c r="AH61" s="72">
        <f t="shared" si="14"/>
        <v>0</v>
      </c>
      <c r="AI61" s="72">
        <f t="shared" si="15"/>
        <v>0</v>
      </c>
      <c r="AJ61" s="72">
        <f t="shared" si="16"/>
        <v>0</v>
      </c>
      <c r="AK61" s="72">
        <f t="shared" si="17"/>
        <v>0</v>
      </c>
      <c r="AL61" s="72">
        <f t="shared" si="18"/>
        <v>0</v>
      </c>
      <c r="AM61" s="72">
        <f t="shared" si="18"/>
        <v>0</v>
      </c>
      <c r="AN61" s="72">
        <f t="shared" si="18"/>
        <v>0</v>
      </c>
    </row>
    <row r="62" spans="2:52" ht="17.25" hidden="1" thickBot="1">
      <c r="B62" s="100"/>
      <c r="C62" s="84"/>
      <c r="D62" s="171"/>
      <c r="E62" s="86"/>
      <c r="F62" s="163"/>
      <c r="G62" s="161">
        <f t="shared" si="3"/>
        <v>0</v>
      </c>
      <c r="H62" s="162">
        <f t="shared" si="4"/>
        <v>0</v>
      </c>
      <c r="I62" s="481"/>
      <c r="J62" s="72">
        <f t="shared" si="19"/>
        <v>0</v>
      </c>
      <c r="K62" s="72">
        <f t="shared" si="20"/>
        <v>0</v>
      </c>
      <c r="L62" s="72">
        <f t="shared" si="21"/>
        <v>0</v>
      </c>
      <c r="M62" s="72">
        <f t="shared" si="22"/>
        <v>0</v>
      </c>
      <c r="N62" s="72">
        <f t="shared" si="23"/>
        <v>0</v>
      </c>
      <c r="O62" s="72">
        <f t="shared" si="24"/>
        <v>0</v>
      </c>
      <c r="P62" s="72">
        <f t="shared" si="25"/>
        <v>0</v>
      </c>
      <c r="Q62" s="72">
        <f t="shared" si="26"/>
        <v>0</v>
      </c>
      <c r="R62" s="72">
        <f t="shared" si="27"/>
        <v>0</v>
      </c>
      <c r="S62" s="72">
        <f t="shared" si="28"/>
        <v>0</v>
      </c>
      <c r="T62" s="72">
        <f t="shared" si="29"/>
        <v>0</v>
      </c>
      <c r="U62" s="72">
        <f t="shared" si="30"/>
        <v>0</v>
      </c>
      <c r="V62" s="72">
        <f t="shared" si="33"/>
        <v>0</v>
      </c>
      <c r="W62" s="72">
        <f t="shared" si="33"/>
        <v>0</v>
      </c>
      <c r="X62" s="72">
        <f t="shared" si="33"/>
        <v>0</v>
      </c>
      <c r="Z62" s="72">
        <f t="shared" si="6"/>
        <v>0</v>
      </c>
      <c r="AA62" s="72">
        <f t="shared" si="7"/>
        <v>0</v>
      </c>
      <c r="AB62" s="72">
        <f t="shared" si="8"/>
        <v>0</v>
      </c>
      <c r="AC62" s="72">
        <f t="shared" si="9"/>
        <v>0</v>
      </c>
      <c r="AD62" s="72">
        <f t="shared" si="10"/>
        <v>0</v>
      </c>
      <c r="AE62" s="72">
        <f t="shared" si="11"/>
        <v>0</v>
      </c>
      <c r="AF62" s="72">
        <f t="shared" si="12"/>
        <v>0</v>
      </c>
      <c r="AG62" s="72">
        <f t="shared" si="13"/>
        <v>0</v>
      </c>
      <c r="AH62" s="72">
        <f t="shared" si="14"/>
        <v>0</v>
      </c>
      <c r="AI62" s="72">
        <f t="shared" si="15"/>
        <v>0</v>
      </c>
      <c r="AJ62" s="72">
        <f t="shared" si="16"/>
        <v>0</v>
      </c>
      <c r="AK62" s="72">
        <f t="shared" si="17"/>
        <v>0</v>
      </c>
      <c r="AL62" s="72">
        <f t="shared" si="18"/>
        <v>0</v>
      </c>
      <c r="AM62" s="72">
        <f t="shared" si="18"/>
        <v>0</v>
      </c>
      <c r="AN62" s="72">
        <f t="shared" si="18"/>
        <v>0</v>
      </c>
    </row>
    <row r="63" spans="2:52" ht="17.25" thickBot="1">
      <c r="C63" s="853" t="s">
        <v>45</v>
      </c>
      <c r="D63" s="854"/>
      <c r="E63" s="63">
        <f>SUM(E3:E62)</f>
        <v>2264.3200000000002</v>
      </c>
      <c r="F63" s="69"/>
      <c r="G63" s="64">
        <f>SUM(G3:G62)</f>
        <v>444.59500000000003</v>
      </c>
      <c r="H63" s="65">
        <f>SUM(H3:H62)</f>
        <v>1819.7250000000001</v>
      </c>
      <c r="I63" s="483"/>
      <c r="J63" s="73">
        <f>SUM(J3:J62)</f>
        <v>0</v>
      </c>
      <c r="K63" s="73">
        <f t="shared" ref="K63:X63" si="34">SUM(K3:K62)</f>
        <v>150</v>
      </c>
      <c r="L63" s="73">
        <f t="shared" si="34"/>
        <v>77</v>
      </c>
      <c r="M63" s="73">
        <f t="shared" si="34"/>
        <v>0</v>
      </c>
      <c r="N63" s="73">
        <f t="shared" si="34"/>
        <v>58.66</v>
      </c>
      <c r="O63" s="73">
        <f t="shared" si="34"/>
        <v>427</v>
      </c>
      <c r="P63" s="73">
        <f t="shared" si="34"/>
        <v>409.03</v>
      </c>
      <c r="Q63" s="73">
        <f t="shared" si="34"/>
        <v>0</v>
      </c>
      <c r="R63" s="73">
        <f t="shared" si="34"/>
        <v>47.815000000000005</v>
      </c>
      <c r="S63" s="73">
        <f t="shared" si="34"/>
        <v>48.599999999999994</v>
      </c>
      <c r="T63" s="73">
        <f t="shared" si="34"/>
        <v>0</v>
      </c>
      <c r="U63" s="73">
        <f t="shared" si="34"/>
        <v>0</v>
      </c>
      <c r="V63" s="73">
        <f t="shared" si="34"/>
        <v>191.86</v>
      </c>
      <c r="W63" s="73">
        <f t="shared" si="34"/>
        <v>409.76</v>
      </c>
      <c r="X63" s="73">
        <f t="shared" si="34"/>
        <v>0</v>
      </c>
      <c r="Y63" s="73"/>
      <c r="Z63" s="73">
        <f>SUM(Z3:Z62)</f>
        <v>0</v>
      </c>
      <c r="AA63" s="73">
        <f t="shared" ref="AA63:AN63" si="35">SUM(AA3:AA62)</f>
        <v>150</v>
      </c>
      <c r="AB63" s="73">
        <f t="shared" si="35"/>
        <v>0</v>
      </c>
      <c r="AC63" s="73">
        <f t="shared" si="35"/>
        <v>0</v>
      </c>
      <c r="AD63" s="73">
        <f t="shared" si="35"/>
        <v>117.31</v>
      </c>
      <c r="AE63" s="73">
        <f t="shared" si="35"/>
        <v>169.42000000000002</v>
      </c>
      <c r="AF63" s="73">
        <f t="shared" si="35"/>
        <v>0</v>
      </c>
      <c r="AG63" s="73">
        <f t="shared" si="35"/>
        <v>0</v>
      </c>
      <c r="AH63" s="73">
        <f t="shared" si="35"/>
        <v>7.8650000000000002</v>
      </c>
      <c r="AI63" s="73">
        <f t="shared" si="35"/>
        <v>0</v>
      </c>
      <c r="AJ63" s="73">
        <f t="shared" si="35"/>
        <v>0</v>
      </c>
      <c r="AK63" s="73">
        <f t="shared" si="35"/>
        <v>0</v>
      </c>
      <c r="AL63" s="73">
        <f t="shared" si="35"/>
        <v>0</v>
      </c>
      <c r="AM63" s="73">
        <f t="shared" si="35"/>
        <v>0</v>
      </c>
      <c r="AN63" s="73">
        <f t="shared" si="35"/>
        <v>0</v>
      </c>
      <c r="AO63" s="73"/>
      <c r="AP63" s="73"/>
    </row>
    <row r="64" spans="2:52">
      <c r="H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Z64" s="59"/>
      <c r="AA64" s="59"/>
      <c r="AB64" s="59"/>
      <c r="AC64" s="59"/>
      <c r="AD64" s="59"/>
      <c r="AE64" s="59"/>
      <c r="AF64" s="59"/>
      <c r="AG64" s="59"/>
      <c r="AH64" s="59"/>
      <c r="AI64" s="59"/>
    </row>
    <row r="70" spans="2:38">
      <c r="B70" s="55"/>
      <c r="E70" s="59"/>
      <c r="F70" s="70"/>
      <c r="I70" s="55"/>
      <c r="AL70" s="55"/>
    </row>
  </sheetData>
  <mergeCells count="7">
    <mergeCell ref="AR18:AT18"/>
    <mergeCell ref="C63:D63"/>
    <mergeCell ref="AV23:AW23"/>
    <mergeCell ref="AY23:AZ23"/>
    <mergeCell ref="AS25:AT25"/>
    <mergeCell ref="AS27:AT28"/>
    <mergeCell ref="B18:H34"/>
  </mergeCells>
  <dataValidations disablePrompts="1" count="4">
    <dataValidation type="list" allowBlank="1" showInputMessage="1" showErrorMessage="1" sqref="F3:F17 F35:F62">
      <formula1>$AQ$17:$AQ$19</formula1>
    </dataValidation>
    <dataValidation type="list" allowBlank="1" showInputMessage="1" showErrorMessage="1" sqref="D3:D5 D9:D17 D35:D62">
      <formula1>$AQ$2:$AQ$16</formula1>
    </dataValidation>
    <dataValidation type="list" allowBlank="1" showInputMessage="1" showErrorMessage="1" sqref="D8">
      <formula1>$AH$2:$AH$12</formula1>
    </dataValidation>
    <dataValidation type="list" allowBlank="1" showInputMessage="1" showErrorMessage="1" sqref="D6:D7">
      <formula1>$AQ$2:$AQ$12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B1:AZ70"/>
  <sheetViews>
    <sheetView workbookViewId="0">
      <selection activeCell="AT2" sqref="AT2:AT16"/>
    </sheetView>
  </sheetViews>
  <sheetFormatPr defaultRowHeight="16.5"/>
  <cols>
    <col min="1" max="1" width="1" style="55" customWidth="1"/>
    <col min="2" max="2" width="6.5703125" style="134" bestFit="1" customWidth="1"/>
    <col min="3" max="3" width="16.7109375" style="55" customWidth="1"/>
    <col min="4" max="4" width="17.5703125" style="55" customWidth="1"/>
    <col min="5" max="5" width="13.7109375" style="55" customWidth="1"/>
    <col min="6" max="6" width="13.7109375" style="134" customWidth="1"/>
    <col min="7" max="8" width="13.7109375" style="55" customWidth="1"/>
    <col min="9" max="9" width="8.42578125" style="479" customWidth="1"/>
    <col min="10" max="10" width="13.5703125" style="55" hidden="1" customWidth="1"/>
    <col min="11" max="11" width="7.85546875" style="55" hidden="1" customWidth="1"/>
    <col min="12" max="12" width="7.42578125" style="55" hidden="1" customWidth="1"/>
    <col min="13" max="13" width="9.7109375" style="55" hidden="1" customWidth="1"/>
    <col min="14" max="14" width="7.42578125" style="55" hidden="1" customWidth="1"/>
    <col min="15" max="15" width="14.5703125" style="55" hidden="1" customWidth="1"/>
    <col min="16" max="16" width="16.85546875" style="55" hidden="1" customWidth="1"/>
    <col min="17" max="17" width="7.7109375" style="55" hidden="1" customWidth="1"/>
    <col min="18" max="18" width="8.85546875" style="55" hidden="1" customWidth="1"/>
    <col min="19" max="19" width="8" style="55" hidden="1" customWidth="1"/>
    <col min="20" max="20" width="7.42578125" style="55" hidden="1" customWidth="1"/>
    <col min="21" max="21" width="2" style="55" hidden="1" customWidth="1"/>
    <col min="22" max="22" width="9.7109375" style="55" hidden="1" customWidth="1"/>
    <col min="23" max="24" width="7.42578125" style="55" hidden="1" customWidth="1"/>
    <col min="25" max="25" width="1.7109375" style="55" hidden="1" customWidth="1"/>
    <col min="26" max="26" width="13.5703125" style="55" hidden="1" customWidth="1"/>
    <col min="27" max="27" width="7.85546875" style="55" hidden="1" customWidth="1"/>
    <col min="28" max="28" width="7.42578125" style="55" hidden="1" customWidth="1"/>
    <col min="29" max="29" width="9.7109375" style="55" hidden="1" customWidth="1"/>
    <col min="30" max="30" width="7.42578125" style="55" hidden="1" customWidth="1"/>
    <col min="31" max="31" width="14.5703125" style="55" hidden="1" customWidth="1"/>
    <col min="32" max="32" width="16.85546875" style="55" hidden="1" customWidth="1"/>
    <col min="33" max="33" width="7.7109375" style="55" hidden="1" customWidth="1"/>
    <col min="34" max="34" width="8.85546875" style="55" hidden="1" customWidth="1"/>
    <col min="35" max="35" width="8" style="55" hidden="1" customWidth="1"/>
    <col min="36" max="36" width="7.42578125" style="55" hidden="1" customWidth="1"/>
    <col min="37" max="37" width="13.42578125" style="55" hidden="1" customWidth="1"/>
    <col min="38" max="38" width="10.28515625" style="450" hidden="1" customWidth="1"/>
    <col min="39" max="40" width="7.42578125" style="55" hidden="1" customWidth="1"/>
    <col min="41" max="41" width="4" style="55" hidden="1" customWidth="1"/>
    <col min="42" max="42" width="4.42578125" style="55" customWidth="1"/>
    <col min="43" max="43" width="16.85546875" style="55" bestFit="1" customWidth="1"/>
    <col min="44" max="47" width="12.7109375" style="55" customWidth="1"/>
    <col min="48" max="48" width="8.28515625" style="55" bestFit="1" customWidth="1"/>
    <col min="49" max="49" width="10.5703125" style="55" bestFit="1" customWidth="1"/>
    <col min="50" max="50" width="3.28515625" style="55" customWidth="1"/>
    <col min="51" max="51" width="18.42578125" style="55" bestFit="1" customWidth="1"/>
    <col min="52" max="52" width="11.7109375" style="55" bestFit="1" customWidth="1"/>
    <col min="53" max="16384" width="9.140625" style="55"/>
  </cols>
  <sheetData>
    <row r="1" spans="2:51" ht="17.25" thickBot="1">
      <c r="AR1" s="134" t="s">
        <v>66</v>
      </c>
      <c r="AS1" s="134" t="s">
        <v>67</v>
      </c>
      <c r="AT1" s="81" t="s">
        <v>65</v>
      </c>
      <c r="AV1" s="134"/>
    </row>
    <row r="2" spans="2:51" ht="17.25" thickBot="1">
      <c r="B2" s="68" t="s">
        <v>1</v>
      </c>
      <c r="C2" s="66" t="s">
        <v>0</v>
      </c>
      <c r="D2" s="66" t="s">
        <v>63</v>
      </c>
      <c r="E2" s="66" t="s">
        <v>2</v>
      </c>
      <c r="F2" s="66" t="s">
        <v>64</v>
      </c>
      <c r="G2" s="66" t="s">
        <v>3</v>
      </c>
      <c r="H2" s="67" t="s">
        <v>4</v>
      </c>
      <c r="I2" s="480"/>
      <c r="J2" s="75" t="s">
        <v>57</v>
      </c>
      <c r="K2" s="74" t="s">
        <v>51</v>
      </c>
      <c r="L2" s="74" t="s">
        <v>120</v>
      </c>
      <c r="M2" s="74" t="s">
        <v>36</v>
      </c>
      <c r="N2" s="74" t="s">
        <v>56</v>
      </c>
      <c r="O2" s="74" t="s">
        <v>125</v>
      </c>
      <c r="P2" s="74" t="s">
        <v>54</v>
      </c>
      <c r="Q2" s="74" t="s">
        <v>59</v>
      </c>
      <c r="R2" s="74" t="s">
        <v>40</v>
      </c>
      <c r="S2" s="74" t="s">
        <v>55</v>
      </c>
      <c r="T2" s="74" t="s">
        <v>58</v>
      </c>
      <c r="U2" s="74" t="s">
        <v>52</v>
      </c>
      <c r="V2" s="451" t="str">
        <f>AQ14</f>
        <v>ESTUDOS</v>
      </c>
      <c r="W2" s="74" t="str">
        <f>AQ15</f>
        <v>MALU</v>
      </c>
      <c r="X2" s="74">
        <f>AQ16</f>
        <v>0</v>
      </c>
      <c r="Z2" s="75" t="s">
        <v>57</v>
      </c>
      <c r="AA2" s="74" t="s">
        <v>51</v>
      </c>
      <c r="AB2" s="74" t="s">
        <v>120</v>
      </c>
      <c r="AC2" s="74" t="s">
        <v>36</v>
      </c>
      <c r="AD2" s="74" t="s">
        <v>56</v>
      </c>
      <c r="AE2" s="74" t="s">
        <v>125</v>
      </c>
      <c r="AF2" s="74" t="s">
        <v>54</v>
      </c>
      <c r="AG2" s="74" t="s">
        <v>59</v>
      </c>
      <c r="AH2" s="74" t="s">
        <v>40</v>
      </c>
      <c r="AI2" s="74" t="s">
        <v>55</v>
      </c>
      <c r="AJ2" s="74" t="s">
        <v>58</v>
      </c>
      <c r="AK2" s="74" t="s">
        <v>52</v>
      </c>
      <c r="AL2" s="451" t="str">
        <f>AQ14</f>
        <v>ESTUDOS</v>
      </c>
      <c r="AM2" s="74" t="str">
        <f>AQ15</f>
        <v>MALU</v>
      </c>
      <c r="AN2" s="74">
        <f>AQ16</f>
        <v>0</v>
      </c>
      <c r="AO2" s="74"/>
      <c r="AP2" s="74"/>
      <c r="AQ2" s="71" t="s">
        <v>57</v>
      </c>
      <c r="AR2" s="97">
        <f t="shared" ref="AR2:AR16" si="0">AT2+AS2</f>
        <v>178.7</v>
      </c>
      <c r="AS2" s="58">
        <f>Z63</f>
        <v>0</v>
      </c>
      <c r="AT2" s="58">
        <f>J63</f>
        <v>178.7</v>
      </c>
    </row>
    <row r="3" spans="2:51">
      <c r="B3" s="60">
        <v>20</v>
      </c>
      <c r="C3" s="62" t="s">
        <v>532</v>
      </c>
      <c r="D3" s="79" t="s">
        <v>55</v>
      </c>
      <c r="E3" s="56">
        <v>29.7</v>
      </c>
      <c r="F3" s="76" t="s">
        <v>65</v>
      </c>
      <c r="G3" s="157">
        <f>IF(F3="MARCIA",E3,IF(F3="AMBOS",E3/2,0))</f>
        <v>0</v>
      </c>
      <c r="H3" s="158">
        <f>IF(F3="LUCIANO",E3,IF(F3="AMBOS",E3/2,0))</f>
        <v>29.7</v>
      </c>
      <c r="I3" s="481" t="s">
        <v>533</v>
      </c>
      <c r="J3" s="72">
        <f>IF($D3="ALIMENTAÇÃO",$H3,0)</f>
        <v>0</v>
      </c>
      <c r="K3" s="72">
        <f>IF($D3="ANIMAIS",$H3,0)</f>
        <v>0</v>
      </c>
      <c r="L3" s="72">
        <f>IF($D3="FILHO",$H3,0)</f>
        <v>0</v>
      </c>
      <c r="M3" s="72">
        <f>IF($D3="GASOLINA",$H3,0)</f>
        <v>0</v>
      </c>
      <c r="N3" s="72">
        <f>IF($D3="LAZER",$H3,0)</f>
        <v>0</v>
      </c>
      <c r="O3" s="72">
        <f>IF($D3="MANUT. IMÓVEL",$H3,0)</f>
        <v>0</v>
      </c>
      <c r="P3" s="72">
        <f>IF($D3="MANUT. VEICULAR",$H3,0)</f>
        <v>0</v>
      </c>
      <c r="Q3" s="72">
        <f>IF($D3="MÓVEIS",$H3,0)</f>
        <v>0</v>
      </c>
      <c r="R3" s="72">
        <f>IF($D3="OUTROS",$H3,0)</f>
        <v>0</v>
      </c>
      <c r="S3" s="72">
        <f>IF($D3="PLANOS",$H3,0)</f>
        <v>29.7</v>
      </c>
      <c r="T3" s="72">
        <f>IF($D3="SAÚDE",$H3,0)</f>
        <v>0</v>
      </c>
      <c r="U3" s="72">
        <f>IF($D3="TRANSPORTE",$H3,0)</f>
        <v>0</v>
      </c>
      <c r="V3" s="72">
        <f>IF($D3=V$2,$H3,0)</f>
        <v>0</v>
      </c>
      <c r="W3" s="72">
        <f t="shared" ref="W3:X18" si="1">IF($D3=W$2,$H3,0)</f>
        <v>0</v>
      </c>
      <c r="X3" s="72">
        <f t="shared" si="1"/>
        <v>0</v>
      </c>
      <c r="Z3" s="72">
        <f>IF($D3="ALIMENTAÇÃO",$G3,0)</f>
        <v>0</v>
      </c>
      <c r="AA3" s="72">
        <f>IF($D3="ANIMAIS",$G3,0)</f>
        <v>0</v>
      </c>
      <c r="AB3" s="72">
        <f>IF($D3="FILHO",$G3,0)</f>
        <v>0</v>
      </c>
      <c r="AC3" s="72">
        <f>IF($D3="GASOLINA",$G3,0)</f>
        <v>0</v>
      </c>
      <c r="AD3" s="72">
        <f>IF($D3="LAZER",$G3,0)</f>
        <v>0</v>
      </c>
      <c r="AE3" s="72">
        <f>IF($D3="MANUT. IMÓVEL",$G3,0)</f>
        <v>0</v>
      </c>
      <c r="AF3" s="72">
        <f>IF($D3="MANUT. VEICULAR",$G3,0)</f>
        <v>0</v>
      </c>
      <c r="AG3" s="72">
        <f>IF($D3="MÓVEIS",$G3,0)</f>
        <v>0</v>
      </c>
      <c r="AH3" s="72">
        <f>IF($D3="OUTROS",$G3,0)</f>
        <v>0</v>
      </c>
      <c r="AI3" s="72">
        <f>IF($D3="PLANOS",$G3,0)</f>
        <v>0</v>
      </c>
      <c r="AJ3" s="72">
        <f>IF($D3="SAÚDE",$G3,0)</f>
        <v>0</v>
      </c>
      <c r="AK3" s="72">
        <f>IF($D3="TRANSPORTE",$G3,0)</f>
        <v>0</v>
      </c>
      <c r="AL3" s="72">
        <f>IF($D3=AL$2,$G3,0)</f>
        <v>0</v>
      </c>
      <c r="AM3" s="72">
        <f t="shared" ref="AM3:AN18" si="2">IF($D3=AM$2,$G3,0)</f>
        <v>0</v>
      </c>
      <c r="AN3" s="72">
        <f t="shared" si="2"/>
        <v>0</v>
      </c>
      <c r="AQ3" s="71" t="s">
        <v>51</v>
      </c>
      <c r="AR3" s="97">
        <f t="shared" si="0"/>
        <v>150</v>
      </c>
      <c r="AS3" s="58">
        <f>AA63</f>
        <v>75</v>
      </c>
      <c r="AT3" s="58">
        <f>K63</f>
        <v>75</v>
      </c>
      <c r="AY3" s="511" t="s">
        <v>388</v>
      </c>
    </row>
    <row r="4" spans="2:51">
      <c r="B4" s="60">
        <v>44964</v>
      </c>
      <c r="C4" s="62" t="s">
        <v>499</v>
      </c>
      <c r="D4" s="79" t="s">
        <v>55</v>
      </c>
      <c r="E4" s="56">
        <v>18.899999999999999</v>
      </c>
      <c r="F4" s="76" t="s">
        <v>65</v>
      </c>
      <c r="G4" s="77">
        <f t="shared" ref="G4:G5" si="3">IF(F4="MARCIA",E4,IF(F4="AMBOS",E4/2,0))</f>
        <v>0</v>
      </c>
      <c r="H4" s="78">
        <f t="shared" ref="H4:H5" si="4">IF(F4="LUCIANO",E4,IF(F4="AMBOS",E4/2,0))</f>
        <v>18.899999999999999</v>
      </c>
      <c r="I4" s="481" t="s">
        <v>533</v>
      </c>
      <c r="J4" s="72">
        <f>IF($D4="ALIMENTAÇÃO",$H4,0)</f>
        <v>0</v>
      </c>
      <c r="K4" s="72">
        <f>IF($D4="ANIMAIS",$H4,0)</f>
        <v>0</v>
      </c>
      <c r="L4" s="72">
        <f>IF($D4="FILHO",$H4,0)</f>
        <v>0</v>
      </c>
      <c r="M4" s="72">
        <f>IF($D4="GASOLINA",$H4,0)</f>
        <v>0</v>
      </c>
      <c r="N4" s="72">
        <f>IF($D4="LAZER",$H4,0)</f>
        <v>0</v>
      </c>
      <c r="O4" s="72">
        <f>IF($D4="MANUT. IMÓVEL",$H4,0)</f>
        <v>0</v>
      </c>
      <c r="P4" s="72">
        <f>IF($D4="MANUT. VEICULAR",$H4,0)</f>
        <v>0</v>
      </c>
      <c r="Q4" s="72">
        <f>IF($D4="MÓVEIS",$H4,0)</f>
        <v>0</v>
      </c>
      <c r="R4" s="72">
        <f>IF($D4="OUTROS",$H4,0)</f>
        <v>0</v>
      </c>
      <c r="S4" s="72">
        <f>IF($D4="PLANOS",$H4,0)</f>
        <v>18.899999999999999</v>
      </c>
      <c r="T4" s="72">
        <f>IF($D4="SAÚDE",$H4,0)</f>
        <v>0</v>
      </c>
      <c r="U4" s="72">
        <f>IF($D4="TRANSPORTE",$H4,0)</f>
        <v>0</v>
      </c>
      <c r="V4" s="72">
        <f t="shared" ref="V4:X35" si="5">IF($D4=V$2,$H4,0)</f>
        <v>0</v>
      </c>
      <c r="W4" s="72">
        <f t="shared" si="1"/>
        <v>0</v>
      </c>
      <c r="X4" s="72">
        <f t="shared" si="1"/>
        <v>0</v>
      </c>
      <c r="Z4" s="72">
        <f t="shared" ref="Z4:Z62" si="6">IF($D4="ALIMENTAÇÃO",$G4,0)</f>
        <v>0</v>
      </c>
      <c r="AA4" s="72">
        <f t="shared" ref="AA4:AA62" si="7">IF($D4="ANIMAIS",$G4,0)</f>
        <v>0</v>
      </c>
      <c r="AB4" s="72">
        <f t="shared" ref="AB4:AB62" si="8">IF($D4="FILHO",$G4,0)</f>
        <v>0</v>
      </c>
      <c r="AC4" s="72">
        <f t="shared" ref="AC4:AC62" si="9">IF($D4="GASOLINA",$G4,0)</f>
        <v>0</v>
      </c>
      <c r="AD4" s="72">
        <f t="shared" ref="AD4:AD62" si="10">IF($D4="LAZER",$G4,0)</f>
        <v>0</v>
      </c>
      <c r="AE4" s="72">
        <f t="shared" ref="AE4:AE62" si="11">IF($D4="MANUT. IMÓVEL",$G4,0)</f>
        <v>0</v>
      </c>
      <c r="AF4" s="72">
        <f t="shared" ref="AF4:AF62" si="12">IF($D4="MANUT. VEICULAR",$G4,0)</f>
        <v>0</v>
      </c>
      <c r="AG4" s="72">
        <f t="shared" ref="AG4:AG62" si="13">IF($D4="MÓVEIS",$G4,0)</f>
        <v>0</v>
      </c>
      <c r="AH4" s="72">
        <f t="shared" ref="AH4:AH62" si="14">IF($D4="OUTROS",$G4,0)</f>
        <v>0</v>
      </c>
      <c r="AI4" s="72">
        <f t="shared" ref="AI4:AI62" si="15">IF($D4="PLANOS",$G4,0)</f>
        <v>0</v>
      </c>
      <c r="AJ4" s="72">
        <f t="shared" ref="AJ4:AJ62" si="16">IF($D4="SAÚDE",$G4,0)</f>
        <v>0</v>
      </c>
      <c r="AK4" s="72">
        <f t="shared" ref="AK4:AK62" si="17">IF($D4="TRANSPORTE",$G4,0)</f>
        <v>0</v>
      </c>
      <c r="AL4" s="72">
        <f t="shared" ref="AL4:AN62" si="18">IF($D4=AL$2,$G4,0)</f>
        <v>0</v>
      </c>
      <c r="AM4" s="72">
        <f t="shared" si="2"/>
        <v>0</v>
      </c>
      <c r="AN4" s="72">
        <f t="shared" si="2"/>
        <v>0</v>
      </c>
      <c r="AQ4" s="71" t="s">
        <v>120</v>
      </c>
      <c r="AR4" s="97">
        <f t="shared" si="0"/>
        <v>77</v>
      </c>
      <c r="AS4" s="58">
        <f>AB63</f>
        <v>0</v>
      </c>
      <c r="AT4" s="58">
        <f>L63</f>
        <v>77</v>
      </c>
      <c r="AY4" s="512">
        <v>58.66</v>
      </c>
    </row>
    <row r="5" spans="2:51">
      <c r="B5" s="60">
        <v>45126</v>
      </c>
      <c r="C5" s="62" t="s">
        <v>573</v>
      </c>
      <c r="D5" s="79" t="s">
        <v>53</v>
      </c>
      <c r="E5" s="56">
        <v>248.43</v>
      </c>
      <c r="F5" s="76" t="s">
        <v>65</v>
      </c>
      <c r="G5" s="77">
        <f t="shared" si="3"/>
        <v>0</v>
      </c>
      <c r="H5" s="78">
        <f t="shared" si="4"/>
        <v>248.43</v>
      </c>
      <c r="I5" s="481" t="s">
        <v>140</v>
      </c>
      <c r="J5" s="72">
        <f t="shared" ref="J5:J62" si="19">IF($D5="ALIMENTAÇÃO",$H5,0)</f>
        <v>0</v>
      </c>
      <c r="K5" s="72">
        <f t="shared" ref="K5:K62" si="20">IF($D5="ANIMAIS",$H5,0)</f>
        <v>0</v>
      </c>
      <c r="L5" s="72">
        <f t="shared" ref="L5:L62" si="21">IF($D5="FILHO",$H5,0)</f>
        <v>0</v>
      </c>
      <c r="M5" s="72">
        <f t="shared" ref="M5:M62" si="22">IF($D5="GASOLINA",$H5,0)</f>
        <v>0</v>
      </c>
      <c r="N5" s="72">
        <f t="shared" ref="N5:N62" si="23">IF($D5="LAZER",$H5,0)</f>
        <v>0</v>
      </c>
      <c r="O5" s="72">
        <f t="shared" ref="O5:O62" si="24">IF($D5="MANUT. IMÓVEL",$H5,0)</f>
        <v>248.43</v>
      </c>
      <c r="P5" s="72">
        <f t="shared" ref="P5:P62" si="25">IF($D5="MANUT. VEICULAR",$H5,0)</f>
        <v>0</v>
      </c>
      <c r="Q5" s="72">
        <f t="shared" ref="Q5:Q62" si="26">IF($D5="MÓVEIS",$H5,0)</f>
        <v>0</v>
      </c>
      <c r="R5" s="72">
        <f t="shared" ref="R5:R62" si="27">IF($D5="OUTROS",$H5,0)</f>
        <v>0</v>
      </c>
      <c r="S5" s="72">
        <f t="shared" ref="S5:S62" si="28">IF($D5="PLANOS",$H5,0)</f>
        <v>0</v>
      </c>
      <c r="T5" s="72">
        <f t="shared" ref="T5:T62" si="29">IF($D5="SAÚDE",$H5,0)</f>
        <v>0</v>
      </c>
      <c r="U5" s="72">
        <f t="shared" ref="U5:U62" si="30">IF($D5="TRANSPORTE",$H5,0)</f>
        <v>0</v>
      </c>
      <c r="V5" s="72">
        <f t="shared" si="5"/>
        <v>0</v>
      </c>
      <c r="W5" s="72">
        <f t="shared" si="1"/>
        <v>0</v>
      </c>
      <c r="X5" s="72">
        <f t="shared" si="1"/>
        <v>0</v>
      </c>
      <c r="Z5" s="72">
        <f t="shared" si="6"/>
        <v>0</v>
      </c>
      <c r="AA5" s="72">
        <f t="shared" si="7"/>
        <v>0</v>
      </c>
      <c r="AB5" s="72">
        <f t="shared" si="8"/>
        <v>0</v>
      </c>
      <c r="AC5" s="72">
        <f t="shared" si="9"/>
        <v>0</v>
      </c>
      <c r="AD5" s="72">
        <f t="shared" si="10"/>
        <v>0</v>
      </c>
      <c r="AE5" s="72">
        <f t="shared" si="11"/>
        <v>0</v>
      </c>
      <c r="AF5" s="72">
        <f t="shared" si="12"/>
        <v>0</v>
      </c>
      <c r="AG5" s="72">
        <f t="shared" si="13"/>
        <v>0</v>
      </c>
      <c r="AH5" s="72">
        <f t="shared" si="14"/>
        <v>0</v>
      </c>
      <c r="AI5" s="72">
        <f t="shared" si="15"/>
        <v>0</v>
      </c>
      <c r="AJ5" s="72">
        <f t="shared" si="16"/>
        <v>0</v>
      </c>
      <c r="AK5" s="72">
        <f t="shared" si="17"/>
        <v>0</v>
      </c>
      <c r="AL5" s="72">
        <f t="shared" si="18"/>
        <v>0</v>
      </c>
      <c r="AM5" s="72">
        <f t="shared" si="2"/>
        <v>0</v>
      </c>
      <c r="AN5" s="72">
        <f t="shared" si="2"/>
        <v>0</v>
      </c>
      <c r="AQ5" s="71" t="s">
        <v>36</v>
      </c>
      <c r="AR5" s="97">
        <f t="shared" si="0"/>
        <v>0</v>
      </c>
      <c r="AS5" s="58">
        <f>AC63</f>
        <v>0</v>
      </c>
      <c r="AT5" s="58">
        <f>M63</f>
        <v>0</v>
      </c>
      <c r="AY5" s="511" t="s">
        <v>387</v>
      </c>
    </row>
    <row r="6" spans="2:51" ht="17.25" thickBot="1">
      <c r="B6" s="172">
        <v>44929</v>
      </c>
      <c r="C6" s="173" t="s">
        <v>145</v>
      </c>
      <c r="D6" s="79" t="s">
        <v>56</v>
      </c>
      <c r="E6" s="56">
        <v>175.97</v>
      </c>
      <c r="F6" s="76" t="s">
        <v>66</v>
      </c>
      <c r="G6" s="77">
        <v>117.31</v>
      </c>
      <c r="H6" s="78">
        <v>58.66</v>
      </c>
      <c r="I6" s="481" t="s">
        <v>149</v>
      </c>
      <c r="J6" s="72">
        <f t="shared" si="19"/>
        <v>0</v>
      </c>
      <c r="K6" s="72">
        <f t="shared" si="20"/>
        <v>0</v>
      </c>
      <c r="L6" s="72">
        <f t="shared" si="21"/>
        <v>0</v>
      </c>
      <c r="M6" s="72">
        <f t="shared" si="22"/>
        <v>0</v>
      </c>
      <c r="N6" s="72">
        <f t="shared" si="23"/>
        <v>58.66</v>
      </c>
      <c r="O6" s="72">
        <f t="shared" si="24"/>
        <v>0</v>
      </c>
      <c r="P6" s="72">
        <f t="shared" si="25"/>
        <v>0</v>
      </c>
      <c r="Q6" s="72">
        <f t="shared" si="26"/>
        <v>0</v>
      </c>
      <c r="R6" s="72">
        <f t="shared" si="27"/>
        <v>0</v>
      </c>
      <c r="S6" s="72">
        <f t="shared" si="28"/>
        <v>0</v>
      </c>
      <c r="T6" s="72">
        <f t="shared" si="29"/>
        <v>0</v>
      </c>
      <c r="U6" s="72">
        <f t="shared" si="30"/>
        <v>0</v>
      </c>
      <c r="V6" s="72">
        <f t="shared" si="5"/>
        <v>0</v>
      </c>
      <c r="W6" s="72">
        <f t="shared" si="1"/>
        <v>0</v>
      </c>
      <c r="X6" s="72">
        <f t="shared" si="1"/>
        <v>0</v>
      </c>
      <c r="Z6" s="72">
        <f t="shared" si="6"/>
        <v>0</v>
      </c>
      <c r="AA6" s="72">
        <f t="shared" si="7"/>
        <v>0</v>
      </c>
      <c r="AB6" s="72">
        <f t="shared" si="8"/>
        <v>0</v>
      </c>
      <c r="AC6" s="72">
        <f t="shared" si="9"/>
        <v>0</v>
      </c>
      <c r="AD6" s="72">
        <f t="shared" si="10"/>
        <v>117.31</v>
      </c>
      <c r="AE6" s="72">
        <f t="shared" si="11"/>
        <v>0</v>
      </c>
      <c r="AF6" s="72">
        <f t="shared" si="12"/>
        <v>0</v>
      </c>
      <c r="AG6" s="72">
        <f t="shared" si="13"/>
        <v>0</v>
      </c>
      <c r="AH6" s="72">
        <f t="shared" si="14"/>
        <v>0</v>
      </c>
      <c r="AI6" s="72">
        <f t="shared" si="15"/>
        <v>0</v>
      </c>
      <c r="AJ6" s="72">
        <f t="shared" si="16"/>
        <v>0</v>
      </c>
      <c r="AK6" s="72">
        <f t="shared" si="17"/>
        <v>0</v>
      </c>
      <c r="AL6" s="72">
        <f t="shared" si="18"/>
        <v>0</v>
      </c>
      <c r="AM6" s="72">
        <f t="shared" si="2"/>
        <v>0</v>
      </c>
      <c r="AN6" s="72">
        <f t="shared" si="2"/>
        <v>0</v>
      </c>
      <c r="AQ6" s="71" t="s">
        <v>56</v>
      </c>
      <c r="AR6" s="97">
        <f t="shared" si="0"/>
        <v>175.97</v>
      </c>
      <c r="AS6" s="58">
        <f>AD63</f>
        <v>117.31</v>
      </c>
      <c r="AT6" s="58">
        <f>N63</f>
        <v>58.66</v>
      </c>
      <c r="AY6" s="596">
        <v>117.31</v>
      </c>
    </row>
    <row r="7" spans="2:51" ht="17.25" thickBot="1">
      <c r="B7" s="60">
        <v>44952</v>
      </c>
      <c r="C7" s="62" t="s">
        <v>159</v>
      </c>
      <c r="D7" s="79" t="s">
        <v>120</v>
      </c>
      <c r="E7" s="56">
        <v>77</v>
      </c>
      <c r="F7" s="76" t="s">
        <v>65</v>
      </c>
      <c r="G7" s="77">
        <f t="shared" ref="G7:G13" si="31">IF(F7="MARCIA",E7,IF(F7="AMBOS",E7/2,0))</f>
        <v>0</v>
      </c>
      <c r="H7" s="78">
        <f t="shared" ref="H7:H13" si="32">IF(F7="LUCIANO",E7,IF(F7="AMBOS",E7/2,0))</f>
        <v>77</v>
      </c>
      <c r="I7" s="481" t="s">
        <v>149</v>
      </c>
      <c r="J7" s="72">
        <f t="shared" si="19"/>
        <v>0</v>
      </c>
      <c r="K7" s="72">
        <f t="shared" si="20"/>
        <v>0</v>
      </c>
      <c r="L7" s="72">
        <f t="shared" si="21"/>
        <v>77</v>
      </c>
      <c r="M7" s="72">
        <f t="shared" si="22"/>
        <v>0</v>
      </c>
      <c r="N7" s="72">
        <f t="shared" si="23"/>
        <v>0</v>
      </c>
      <c r="O7" s="72">
        <f t="shared" si="24"/>
        <v>0</v>
      </c>
      <c r="P7" s="72">
        <f t="shared" si="25"/>
        <v>0</v>
      </c>
      <c r="Q7" s="72">
        <f t="shared" si="26"/>
        <v>0</v>
      </c>
      <c r="R7" s="72">
        <f t="shared" si="27"/>
        <v>0</v>
      </c>
      <c r="S7" s="72">
        <f t="shared" si="28"/>
        <v>0</v>
      </c>
      <c r="T7" s="72">
        <f t="shared" si="29"/>
        <v>0</v>
      </c>
      <c r="U7" s="72">
        <f t="shared" si="30"/>
        <v>0</v>
      </c>
      <c r="V7" s="72">
        <f t="shared" si="5"/>
        <v>0</v>
      </c>
      <c r="W7" s="72">
        <f t="shared" si="1"/>
        <v>0</v>
      </c>
      <c r="X7" s="72">
        <f t="shared" si="1"/>
        <v>0</v>
      </c>
      <c r="Z7" s="72">
        <f t="shared" si="6"/>
        <v>0</v>
      </c>
      <c r="AA7" s="72">
        <f t="shared" si="7"/>
        <v>0</v>
      </c>
      <c r="AB7" s="72">
        <f t="shared" si="8"/>
        <v>0</v>
      </c>
      <c r="AC7" s="72">
        <f t="shared" si="9"/>
        <v>0</v>
      </c>
      <c r="AD7" s="72">
        <f t="shared" si="10"/>
        <v>0</v>
      </c>
      <c r="AE7" s="72">
        <f t="shared" si="11"/>
        <v>0</v>
      </c>
      <c r="AF7" s="72">
        <f t="shared" si="12"/>
        <v>0</v>
      </c>
      <c r="AG7" s="72">
        <f t="shared" si="13"/>
        <v>0</v>
      </c>
      <c r="AH7" s="72">
        <f t="shared" si="14"/>
        <v>0</v>
      </c>
      <c r="AI7" s="72">
        <f t="shared" si="15"/>
        <v>0</v>
      </c>
      <c r="AJ7" s="72">
        <f t="shared" si="16"/>
        <v>0</v>
      </c>
      <c r="AK7" s="72">
        <f t="shared" si="17"/>
        <v>0</v>
      </c>
      <c r="AL7" s="72">
        <f t="shared" si="18"/>
        <v>0</v>
      </c>
      <c r="AM7" s="72">
        <f t="shared" si="2"/>
        <v>0</v>
      </c>
      <c r="AN7" s="72">
        <f t="shared" si="2"/>
        <v>0</v>
      </c>
      <c r="AQ7" s="71" t="s">
        <v>53</v>
      </c>
      <c r="AR7" s="97">
        <f t="shared" si="0"/>
        <v>415.13</v>
      </c>
      <c r="AS7" s="58">
        <f>AE63</f>
        <v>0</v>
      </c>
      <c r="AT7" s="58">
        <f>O63</f>
        <v>415.13</v>
      </c>
      <c r="AY7" s="597">
        <v>175.97</v>
      </c>
    </row>
    <row r="8" spans="2:51">
      <c r="B8" s="60">
        <v>45030</v>
      </c>
      <c r="C8" s="62" t="s">
        <v>408</v>
      </c>
      <c r="D8" s="79" t="s">
        <v>40</v>
      </c>
      <c r="E8" s="56">
        <v>39.950000000000003</v>
      </c>
      <c r="F8" s="76" t="s">
        <v>65</v>
      </c>
      <c r="G8" s="77">
        <f t="shared" si="31"/>
        <v>0</v>
      </c>
      <c r="H8" s="78">
        <f t="shared" si="32"/>
        <v>39.950000000000003</v>
      </c>
      <c r="I8" s="481" t="s">
        <v>539</v>
      </c>
      <c r="J8" s="72">
        <f t="shared" si="19"/>
        <v>0</v>
      </c>
      <c r="K8" s="72">
        <f t="shared" si="20"/>
        <v>0</v>
      </c>
      <c r="L8" s="72">
        <f t="shared" si="21"/>
        <v>0</v>
      </c>
      <c r="M8" s="72">
        <f t="shared" si="22"/>
        <v>0</v>
      </c>
      <c r="N8" s="72">
        <f t="shared" si="23"/>
        <v>0</v>
      </c>
      <c r="O8" s="72">
        <f t="shared" si="24"/>
        <v>0</v>
      </c>
      <c r="P8" s="72">
        <f t="shared" si="25"/>
        <v>0</v>
      </c>
      <c r="Q8" s="72">
        <f t="shared" si="26"/>
        <v>0</v>
      </c>
      <c r="R8" s="72">
        <f t="shared" si="27"/>
        <v>39.950000000000003</v>
      </c>
      <c r="S8" s="72">
        <f t="shared" si="28"/>
        <v>0</v>
      </c>
      <c r="T8" s="72">
        <f t="shared" si="29"/>
        <v>0</v>
      </c>
      <c r="U8" s="72">
        <f t="shared" si="30"/>
        <v>0</v>
      </c>
      <c r="V8" s="72">
        <f t="shared" si="5"/>
        <v>0</v>
      </c>
      <c r="W8" s="72">
        <f t="shared" si="1"/>
        <v>0</v>
      </c>
      <c r="X8" s="72">
        <f t="shared" si="1"/>
        <v>0</v>
      </c>
      <c r="Z8" s="72">
        <f t="shared" si="6"/>
        <v>0</v>
      </c>
      <c r="AA8" s="72">
        <f t="shared" si="7"/>
        <v>0</v>
      </c>
      <c r="AB8" s="72">
        <f t="shared" si="8"/>
        <v>0</v>
      </c>
      <c r="AC8" s="72">
        <f t="shared" si="9"/>
        <v>0</v>
      </c>
      <c r="AD8" s="72">
        <f t="shared" si="10"/>
        <v>0</v>
      </c>
      <c r="AE8" s="72">
        <f t="shared" si="11"/>
        <v>0</v>
      </c>
      <c r="AF8" s="72">
        <f t="shared" si="12"/>
        <v>0</v>
      </c>
      <c r="AG8" s="72">
        <f t="shared" si="13"/>
        <v>0</v>
      </c>
      <c r="AH8" s="72">
        <f t="shared" si="14"/>
        <v>0</v>
      </c>
      <c r="AI8" s="72">
        <f t="shared" si="15"/>
        <v>0</v>
      </c>
      <c r="AJ8" s="72">
        <f t="shared" si="16"/>
        <v>0</v>
      </c>
      <c r="AK8" s="72">
        <f t="shared" si="17"/>
        <v>0</v>
      </c>
      <c r="AL8" s="72">
        <f t="shared" si="18"/>
        <v>0</v>
      </c>
      <c r="AM8" s="72">
        <f t="shared" si="2"/>
        <v>0</v>
      </c>
      <c r="AN8" s="72">
        <f t="shared" si="2"/>
        <v>0</v>
      </c>
      <c r="AQ8" s="71" t="s">
        <v>54</v>
      </c>
      <c r="AR8" s="97">
        <f t="shared" si="0"/>
        <v>500.98</v>
      </c>
      <c r="AS8" s="58">
        <f>AF63</f>
        <v>0</v>
      </c>
      <c r="AT8" s="58">
        <f>P63</f>
        <v>500.98</v>
      </c>
    </row>
    <row r="9" spans="2:51">
      <c r="B9" s="60">
        <v>45154</v>
      </c>
      <c r="C9" s="62" t="s">
        <v>656</v>
      </c>
      <c r="D9" s="79" t="s">
        <v>54</v>
      </c>
      <c r="E9" s="56">
        <v>289.13</v>
      </c>
      <c r="F9" s="76" t="s">
        <v>65</v>
      </c>
      <c r="G9" s="77">
        <f t="shared" si="31"/>
        <v>0</v>
      </c>
      <c r="H9" s="78">
        <f t="shared" si="32"/>
        <v>289.13</v>
      </c>
      <c r="I9" s="481" t="s">
        <v>346</v>
      </c>
      <c r="J9" s="72">
        <f t="shared" si="19"/>
        <v>0</v>
      </c>
      <c r="K9" s="72">
        <f t="shared" si="20"/>
        <v>0</v>
      </c>
      <c r="L9" s="72">
        <f t="shared" si="21"/>
        <v>0</v>
      </c>
      <c r="M9" s="72">
        <f t="shared" si="22"/>
        <v>0</v>
      </c>
      <c r="N9" s="72">
        <f t="shared" si="23"/>
        <v>0</v>
      </c>
      <c r="O9" s="72">
        <f t="shared" si="24"/>
        <v>0</v>
      </c>
      <c r="P9" s="72">
        <f t="shared" si="25"/>
        <v>289.13</v>
      </c>
      <c r="Q9" s="72">
        <f t="shared" si="26"/>
        <v>0</v>
      </c>
      <c r="R9" s="72">
        <f t="shared" si="27"/>
        <v>0</v>
      </c>
      <c r="S9" s="72">
        <f t="shared" si="28"/>
        <v>0</v>
      </c>
      <c r="T9" s="72">
        <f t="shared" si="29"/>
        <v>0</v>
      </c>
      <c r="U9" s="72">
        <f t="shared" si="30"/>
        <v>0</v>
      </c>
      <c r="V9" s="72">
        <f t="shared" si="5"/>
        <v>0</v>
      </c>
      <c r="W9" s="72">
        <f t="shared" si="1"/>
        <v>0</v>
      </c>
      <c r="X9" s="72">
        <f t="shared" si="1"/>
        <v>0</v>
      </c>
      <c r="Z9" s="72">
        <f t="shared" si="6"/>
        <v>0</v>
      </c>
      <c r="AA9" s="72">
        <f t="shared" si="7"/>
        <v>0</v>
      </c>
      <c r="AB9" s="72">
        <f t="shared" si="8"/>
        <v>0</v>
      </c>
      <c r="AC9" s="72">
        <f t="shared" si="9"/>
        <v>0</v>
      </c>
      <c r="AD9" s="72">
        <f t="shared" si="10"/>
        <v>0</v>
      </c>
      <c r="AE9" s="72">
        <f t="shared" si="11"/>
        <v>0</v>
      </c>
      <c r="AF9" s="72">
        <f t="shared" si="12"/>
        <v>0</v>
      </c>
      <c r="AG9" s="72">
        <f t="shared" si="13"/>
        <v>0</v>
      </c>
      <c r="AH9" s="72">
        <f t="shared" si="14"/>
        <v>0</v>
      </c>
      <c r="AI9" s="72">
        <f t="shared" si="15"/>
        <v>0</v>
      </c>
      <c r="AJ9" s="72">
        <f t="shared" si="16"/>
        <v>0</v>
      </c>
      <c r="AK9" s="72">
        <f t="shared" si="17"/>
        <v>0</v>
      </c>
      <c r="AL9" s="72">
        <f t="shared" si="18"/>
        <v>0</v>
      </c>
      <c r="AM9" s="72">
        <f t="shared" si="2"/>
        <v>0</v>
      </c>
      <c r="AN9" s="72">
        <f t="shared" si="2"/>
        <v>0</v>
      </c>
      <c r="AQ9" s="71" t="s">
        <v>59</v>
      </c>
      <c r="AR9" s="97">
        <f t="shared" si="0"/>
        <v>0</v>
      </c>
      <c r="AS9" s="58">
        <f>AG63</f>
        <v>0</v>
      </c>
      <c r="AT9" s="58">
        <f>Q63</f>
        <v>0</v>
      </c>
    </row>
    <row r="10" spans="2:51">
      <c r="B10" s="60">
        <v>45155</v>
      </c>
      <c r="C10" s="62" t="s">
        <v>657</v>
      </c>
      <c r="D10" s="79" t="s">
        <v>143</v>
      </c>
      <c r="E10" s="56">
        <v>191.86</v>
      </c>
      <c r="F10" s="76" t="s">
        <v>65</v>
      </c>
      <c r="G10" s="77">
        <f t="shared" si="31"/>
        <v>0</v>
      </c>
      <c r="H10" s="78">
        <f t="shared" si="32"/>
        <v>191.86</v>
      </c>
      <c r="I10" s="481" t="s">
        <v>346</v>
      </c>
      <c r="J10" s="72">
        <f t="shared" si="19"/>
        <v>0</v>
      </c>
      <c r="K10" s="72">
        <f t="shared" si="20"/>
        <v>0</v>
      </c>
      <c r="L10" s="72">
        <f t="shared" si="21"/>
        <v>0</v>
      </c>
      <c r="M10" s="72">
        <f t="shared" si="22"/>
        <v>0</v>
      </c>
      <c r="N10" s="72">
        <f t="shared" si="23"/>
        <v>0</v>
      </c>
      <c r="O10" s="72">
        <f t="shared" si="24"/>
        <v>0</v>
      </c>
      <c r="P10" s="72">
        <f t="shared" si="25"/>
        <v>0</v>
      </c>
      <c r="Q10" s="72">
        <f t="shared" si="26"/>
        <v>0</v>
      </c>
      <c r="R10" s="72">
        <f t="shared" si="27"/>
        <v>0</v>
      </c>
      <c r="S10" s="72">
        <f t="shared" si="28"/>
        <v>0</v>
      </c>
      <c r="T10" s="72">
        <f t="shared" si="29"/>
        <v>0</v>
      </c>
      <c r="U10" s="72">
        <f t="shared" si="30"/>
        <v>0</v>
      </c>
      <c r="V10" s="72">
        <f t="shared" si="5"/>
        <v>191.86</v>
      </c>
      <c r="W10" s="72">
        <f t="shared" si="1"/>
        <v>0</v>
      </c>
      <c r="X10" s="72">
        <f t="shared" si="1"/>
        <v>0</v>
      </c>
      <c r="Z10" s="72">
        <f t="shared" si="6"/>
        <v>0</v>
      </c>
      <c r="AA10" s="72">
        <f t="shared" si="7"/>
        <v>0</v>
      </c>
      <c r="AB10" s="72">
        <f t="shared" si="8"/>
        <v>0</v>
      </c>
      <c r="AC10" s="72">
        <f t="shared" si="9"/>
        <v>0</v>
      </c>
      <c r="AD10" s="72">
        <f t="shared" si="10"/>
        <v>0</v>
      </c>
      <c r="AE10" s="72">
        <f t="shared" si="11"/>
        <v>0</v>
      </c>
      <c r="AF10" s="72">
        <f t="shared" si="12"/>
        <v>0</v>
      </c>
      <c r="AG10" s="72">
        <f t="shared" si="13"/>
        <v>0</v>
      </c>
      <c r="AH10" s="72">
        <f t="shared" si="14"/>
        <v>0</v>
      </c>
      <c r="AI10" s="72">
        <f t="shared" si="15"/>
        <v>0</v>
      </c>
      <c r="AJ10" s="72">
        <f t="shared" si="16"/>
        <v>0</v>
      </c>
      <c r="AK10" s="72">
        <f t="shared" si="17"/>
        <v>0</v>
      </c>
      <c r="AL10" s="72">
        <f t="shared" si="18"/>
        <v>0</v>
      </c>
      <c r="AM10" s="72">
        <f t="shared" si="2"/>
        <v>0</v>
      </c>
      <c r="AN10" s="72">
        <f t="shared" si="2"/>
        <v>0</v>
      </c>
      <c r="AQ10" s="71" t="s">
        <v>40</v>
      </c>
      <c r="AR10" s="97">
        <f t="shared" si="0"/>
        <v>39.950000000000003</v>
      </c>
      <c r="AS10" s="58">
        <f>AH63</f>
        <v>0</v>
      </c>
      <c r="AT10" s="58">
        <f>R63</f>
        <v>39.950000000000003</v>
      </c>
      <c r="AY10" s="59"/>
    </row>
    <row r="11" spans="2:51">
      <c r="B11" s="60">
        <v>45161</v>
      </c>
      <c r="C11" s="62" t="s">
        <v>674</v>
      </c>
      <c r="D11" s="79" t="s">
        <v>268</v>
      </c>
      <c r="E11" s="56">
        <v>409.76</v>
      </c>
      <c r="F11" s="76" t="s">
        <v>65</v>
      </c>
      <c r="G11" s="77">
        <f t="shared" si="31"/>
        <v>0</v>
      </c>
      <c r="H11" s="78">
        <f t="shared" si="32"/>
        <v>409.76</v>
      </c>
      <c r="I11" s="481" t="s">
        <v>346</v>
      </c>
      <c r="J11" s="72">
        <f t="shared" si="19"/>
        <v>0</v>
      </c>
      <c r="K11" s="72">
        <f t="shared" si="20"/>
        <v>0</v>
      </c>
      <c r="L11" s="72">
        <f t="shared" si="21"/>
        <v>0</v>
      </c>
      <c r="M11" s="72">
        <f t="shared" si="22"/>
        <v>0</v>
      </c>
      <c r="N11" s="72">
        <f t="shared" si="23"/>
        <v>0</v>
      </c>
      <c r="O11" s="72">
        <f t="shared" si="24"/>
        <v>0</v>
      </c>
      <c r="P11" s="72">
        <f t="shared" si="25"/>
        <v>0</v>
      </c>
      <c r="Q11" s="72">
        <f t="shared" si="26"/>
        <v>0</v>
      </c>
      <c r="R11" s="72">
        <f t="shared" si="27"/>
        <v>0</v>
      </c>
      <c r="S11" s="72">
        <f t="shared" si="28"/>
        <v>0</v>
      </c>
      <c r="T11" s="72">
        <f t="shared" si="29"/>
        <v>0</v>
      </c>
      <c r="U11" s="72">
        <f t="shared" si="30"/>
        <v>0</v>
      </c>
      <c r="V11" s="72">
        <f t="shared" si="5"/>
        <v>0</v>
      </c>
      <c r="W11" s="72">
        <f t="shared" si="1"/>
        <v>409.76</v>
      </c>
      <c r="X11" s="72">
        <f t="shared" si="1"/>
        <v>0</v>
      </c>
      <c r="Z11" s="72">
        <f t="shared" si="6"/>
        <v>0</v>
      </c>
      <c r="AA11" s="72">
        <f t="shared" si="7"/>
        <v>0</v>
      </c>
      <c r="AB11" s="72">
        <f t="shared" si="8"/>
        <v>0</v>
      </c>
      <c r="AC11" s="72">
        <f t="shared" si="9"/>
        <v>0</v>
      </c>
      <c r="AD11" s="72">
        <f t="shared" si="10"/>
        <v>0</v>
      </c>
      <c r="AE11" s="72">
        <f t="shared" si="11"/>
        <v>0</v>
      </c>
      <c r="AF11" s="72">
        <f t="shared" si="12"/>
        <v>0</v>
      </c>
      <c r="AG11" s="72">
        <f t="shared" si="13"/>
        <v>0</v>
      </c>
      <c r="AH11" s="72">
        <f t="shared" si="14"/>
        <v>0</v>
      </c>
      <c r="AI11" s="72">
        <f t="shared" si="15"/>
        <v>0</v>
      </c>
      <c r="AJ11" s="72">
        <f t="shared" si="16"/>
        <v>0</v>
      </c>
      <c r="AK11" s="72">
        <f t="shared" si="17"/>
        <v>0</v>
      </c>
      <c r="AL11" s="72">
        <f t="shared" si="18"/>
        <v>0</v>
      </c>
      <c r="AM11" s="72">
        <f t="shared" si="2"/>
        <v>0</v>
      </c>
      <c r="AN11" s="72">
        <f t="shared" si="2"/>
        <v>0</v>
      </c>
      <c r="AQ11" s="71" t="s">
        <v>55</v>
      </c>
      <c r="AR11" s="97">
        <f t="shared" si="0"/>
        <v>48.599999999999994</v>
      </c>
      <c r="AS11" s="58">
        <f>AI63</f>
        <v>0</v>
      </c>
      <c r="AT11" s="58">
        <f>S63</f>
        <v>48.599999999999994</v>
      </c>
      <c r="AY11" s="59"/>
    </row>
    <row r="12" spans="2:51">
      <c r="B12" s="60">
        <v>45244</v>
      </c>
      <c r="C12" s="62" t="s">
        <v>686</v>
      </c>
      <c r="D12" s="79" t="s">
        <v>57</v>
      </c>
      <c r="E12" s="56">
        <v>84.9</v>
      </c>
      <c r="F12" s="76" t="s">
        <v>65</v>
      </c>
      <c r="G12" s="77">
        <f t="shared" si="31"/>
        <v>0</v>
      </c>
      <c r="H12" s="78">
        <f t="shared" si="32"/>
        <v>84.9</v>
      </c>
      <c r="I12" s="481"/>
      <c r="J12" s="72">
        <f t="shared" si="19"/>
        <v>84.9</v>
      </c>
      <c r="K12" s="72">
        <f t="shared" si="20"/>
        <v>0</v>
      </c>
      <c r="L12" s="72">
        <f t="shared" si="21"/>
        <v>0</v>
      </c>
      <c r="M12" s="72">
        <f t="shared" si="22"/>
        <v>0</v>
      </c>
      <c r="N12" s="72">
        <f t="shared" si="23"/>
        <v>0</v>
      </c>
      <c r="O12" s="72">
        <f t="shared" si="24"/>
        <v>0</v>
      </c>
      <c r="P12" s="72">
        <f t="shared" si="25"/>
        <v>0</v>
      </c>
      <c r="Q12" s="72">
        <f t="shared" si="26"/>
        <v>0</v>
      </c>
      <c r="R12" s="72">
        <f t="shared" si="27"/>
        <v>0</v>
      </c>
      <c r="S12" s="72">
        <f t="shared" si="28"/>
        <v>0</v>
      </c>
      <c r="T12" s="72">
        <f t="shared" si="29"/>
        <v>0</v>
      </c>
      <c r="U12" s="72">
        <f t="shared" si="30"/>
        <v>0</v>
      </c>
      <c r="V12" s="72">
        <f t="shared" si="5"/>
        <v>0</v>
      </c>
      <c r="W12" s="72">
        <f t="shared" si="1"/>
        <v>0</v>
      </c>
      <c r="X12" s="72">
        <f t="shared" si="1"/>
        <v>0</v>
      </c>
      <c r="Z12" s="72">
        <f t="shared" si="6"/>
        <v>0</v>
      </c>
      <c r="AA12" s="72">
        <f t="shared" si="7"/>
        <v>0</v>
      </c>
      <c r="AB12" s="72">
        <f t="shared" si="8"/>
        <v>0</v>
      </c>
      <c r="AC12" s="72">
        <f t="shared" si="9"/>
        <v>0</v>
      </c>
      <c r="AD12" s="72">
        <f t="shared" si="10"/>
        <v>0</v>
      </c>
      <c r="AE12" s="72">
        <f t="shared" si="11"/>
        <v>0</v>
      </c>
      <c r="AF12" s="72">
        <f t="shared" si="12"/>
        <v>0</v>
      </c>
      <c r="AG12" s="72">
        <f t="shared" si="13"/>
        <v>0</v>
      </c>
      <c r="AH12" s="72">
        <f t="shared" si="14"/>
        <v>0</v>
      </c>
      <c r="AI12" s="72">
        <f t="shared" si="15"/>
        <v>0</v>
      </c>
      <c r="AJ12" s="72">
        <f t="shared" si="16"/>
        <v>0</v>
      </c>
      <c r="AK12" s="72">
        <f t="shared" si="17"/>
        <v>0</v>
      </c>
      <c r="AL12" s="72">
        <f t="shared" si="18"/>
        <v>0</v>
      </c>
      <c r="AM12" s="72">
        <f t="shared" si="2"/>
        <v>0</v>
      </c>
      <c r="AN12" s="72">
        <f t="shared" si="2"/>
        <v>0</v>
      </c>
      <c r="AQ12" s="71" t="s">
        <v>58</v>
      </c>
      <c r="AR12" s="97">
        <f t="shared" si="0"/>
        <v>0</v>
      </c>
      <c r="AS12" s="58">
        <f>AJ63</f>
        <v>0</v>
      </c>
      <c r="AT12" s="58">
        <f>T63</f>
        <v>0</v>
      </c>
      <c r="AY12" s="59"/>
    </row>
    <row r="13" spans="2:51">
      <c r="B13" s="60">
        <v>45221</v>
      </c>
      <c r="C13" s="62" t="s">
        <v>679</v>
      </c>
      <c r="D13" s="79" t="s">
        <v>51</v>
      </c>
      <c r="E13" s="56">
        <v>150</v>
      </c>
      <c r="F13" s="76" t="s">
        <v>66</v>
      </c>
      <c r="G13" s="77">
        <f t="shared" si="31"/>
        <v>75</v>
      </c>
      <c r="H13" s="78">
        <f t="shared" si="32"/>
        <v>75</v>
      </c>
      <c r="I13" s="481"/>
      <c r="J13" s="72">
        <f t="shared" si="19"/>
        <v>0</v>
      </c>
      <c r="K13" s="72">
        <f t="shared" si="20"/>
        <v>75</v>
      </c>
      <c r="L13" s="72">
        <f t="shared" si="21"/>
        <v>0</v>
      </c>
      <c r="M13" s="72">
        <f t="shared" si="22"/>
        <v>0</v>
      </c>
      <c r="N13" s="72">
        <f t="shared" si="23"/>
        <v>0</v>
      </c>
      <c r="O13" s="72">
        <f t="shared" si="24"/>
        <v>0</v>
      </c>
      <c r="P13" s="72">
        <f t="shared" si="25"/>
        <v>0</v>
      </c>
      <c r="Q13" s="72">
        <f t="shared" si="26"/>
        <v>0</v>
      </c>
      <c r="R13" s="72">
        <f t="shared" si="27"/>
        <v>0</v>
      </c>
      <c r="S13" s="72">
        <f t="shared" si="28"/>
        <v>0</v>
      </c>
      <c r="T13" s="72">
        <f t="shared" si="29"/>
        <v>0</v>
      </c>
      <c r="U13" s="72">
        <f t="shared" si="30"/>
        <v>0</v>
      </c>
      <c r="V13" s="72">
        <f t="shared" si="5"/>
        <v>0</v>
      </c>
      <c r="W13" s="72">
        <f t="shared" si="1"/>
        <v>0</v>
      </c>
      <c r="X13" s="72">
        <f t="shared" si="1"/>
        <v>0</v>
      </c>
      <c r="Z13" s="72">
        <f t="shared" si="6"/>
        <v>0</v>
      </c>
      <c r="AA13" s="72">
        <f t="shared" si="7"/>
        <v>75</v>
      </c>
      <c r="AB13" s="72">
        <f t="shared" si="8"/>
        <v>0</v>
      </c>
      <c r="AC13" s="72">
        <f t="shared" si="9"/>
        <v>0</v>
      </c>
      <c r="AD13" s="72">
        <f t="shared" si="10"/>
        <v>0</v>
      </c>
      <c r="AE13" s="72">
        <f t="shared" si="11"/>
        <v>0</v>
      </c>
      <c r="AF13" s="72">
        <f t="shared" si="12"/>
        <v>0</v>
      </c>
      <c r="AG13" s="72">
        <f t="shared" si="13"/>
        <v>0</v>
      </c>
      <c r="AH13" s="72">
        <f t="shared" si="14"/>
        <v>0</v>
      </c>
      <c r="AI13" s="72">
        <f t="shared" si="15"/>
        <v>0</v>
      </c>
      <c r="AJ13" s="72">
        <f t="shared" si="16"/>
        <v>0</v>
      </c>
      <c r="AK13" s="72">
        <f t="shared" si="17"/>
        <v>0</v>
      </c>
      <c r="AL13" s="72">
        <f t="shared" si="18"/>
        <v>0</v>
      </c>
      <c r="AM13" s="72">
        <f t="shared" si="2"/>
        <v>0</v>
      </c>
      <c r="AN13" s="72">
        <f t="shared" si="2"/>
        <v>0</v>
      </c>
      <c r="AQ13" s="71" t="s">
        <v>52</v>
      </c>
      <c r="AR13" s="97">
        <f t="shared" si="0"/>
        <v>0</v>
      </c>
      <c r="AS13" s="58">
        <f>AK63</f>
        <v>0</v>
      </c>
      <c r="AT13" s="58">
        <f>U63</f>
        <v>0</v>
      </c>
      <c r="AY13" s="59"/>
    </row>
    <row r="14" spans="2:51">
      <c r="B14" s="60">
        <v>45235</v>
      </c>
      <c r="C14" s="62" t="s">
        <v>693</v>
      </c>
      <c r="D14" s="79" t="s">
        <v>57</v>
      </c>
      <c r="E14" s="56">
        <v>93.8</v>
      </c>
      <c r="F14" s="76" t="s">
        <v>65</v>
      </c>
      <c r="G14" s="77">
        <f t="shared" ref="G14" si="33">IF(F14="MARCIA",E14,IF(F14="AMBOS",E14/2,0))</f>
        <v>0</v>
      </c>
      <c r="H14" s="78">
        <f t="shared" ref="H14" si="34">IF(F14="LUCIANO",E14,IF(F14="AMBOS",E14/2,0))</f>
        <v>93.8</v>
      </c>
      <c r="I14" s="481"/>
      <c r="J14" s="72">
        <f t="shared" si="19"/>
        <v>93.8</v>
      </c>
      <c r="K14" s="72">
        <f t="shared" si="20"/>
        <v>0</v>
      </c>
      <c r="L14" s="72">
        <f t="shared" si="21"/>
        <v>0</v>
      </c>
      <c r="M14" s="72">
        <f t="shared" si="22"/>
        <v>0</v>
      </c>
      <c r="N14" s="72">
        <f t="shared" si="23"/>
        <v>0</v>
      </c>
      <c r="O14" s="72">
        <f t="shared" si="24"/>
        <v>0</v>
      </c>
      <c r="P14" s="72">
        <f t="shared" si="25"/>
        <v>0</v>
      </c>
      <c r="Q14" s="72">
        <f t="shared" si="26"/>
        <v>0</v>
      </c>
      <c r="R14" s="72">
        <f t="shared" si="27"/>
        <v>0</v>
      </c>
      <c r="S14" s="72">
        <f t="shared" si="28"/>
        <v>0</v>
      </c>
      <c r="T14" s="72">
        <f t="shared" si="29"/>
        <v>0</v>
      </c>
      <c r="U14" s="72">
        <f t="shared" si="30"/>
        <v>0</v>
      </c>
      <c r="V14" s="72">
        <f t="shared" si="5"/>
        <v>0</v>
      </c>
      <c r="W14" s="72">
        <f t="shared" si="1"/>
        <v>0</v>
      </c>
      <c r="X14" s="72">
        <f t="shared" si="1"/>
        <v>0</v>
      </c>
      <c r="Z14" s="72">
        <f t="shared" si="6"/>
        <v>0</v>
      </c>
      <c r="AA14" s="72">
        <f t="shared" si="7"/>
        <v>0</v>
      </c>
      <c r="AB14" s="72">
        <f t="shared" si="8"/>
        <v>0</v>
      </c>
      <c r="AC14" s="72">
        <f t="shared" si="9"/>
        <v>0</v>
      </c>
      <c r="AD14" s="72">
        <f t="shared" si="10"/>
        <v>0</v>
      </c>
      <c r="AE14" s="72">
        <f t="shared" si="11"/>
        <v>0</v>
      </c>
      <c r="AF14" s="72">
        <f t="shared" si="12"/>
        <v>0</v>
      </c>
      <c r="AG14" s="72">
        <f t="shared" si="13"/>
        <v>0</v>
      </c>
      <c r="AH14" s="72">
        <f t="shared" si="14"/>
        <v>0</v>
      </c>
      <c r="AI14" s="72">
        <f t="shared" si="15"/>
        <v>0</v>
      </c>
      <c r="AJ14" s="72">
        <f t="shared" si="16"/>
        <v>0</v>
      </c>
      <c r="AK14" s="72">
        <f t="shared" si="17"/>
        <v>0</v>
      </c>
      <c r="AL14" s="72">
        <f t="shared" si="18"/>
        <v>0</v>
      </c>
      <c r="AM14" s="72">
        <f t="shared" si="2"/>
        <v>0</v>
      </c>
      <c r="AN14" s="72">
        <f t="shared" si="2"/>
        <v>0</v>
      </c>
      <c r="AQ14" s="71" t="s">
        <v>143</v>
      </c>
      <c r="AR14" s="97">
        <f t="shared" si="0"/>
        <v>191.86</v>
      </c>
      <c r="AS14" s="58">
        <f>AL63</f>
        <v>0</v>
      </c>
      <c r="AT14" s="58">
        <f>V63</f>
        <v>191.86</v>
      </c>
      <c r="AY14" s="59"/>
    </row>
    <row r="15" spans="2:51">
      <c r="B15" s="60">
        <v>45235</v>
      </c>
      <c r="C15" s="62" t="s">
        <v>482</v>
      </c>
      <c r="D15" s="79" t="s">
        <v>53</v>
      </c>
      <c r="E15" s="56">
        <v>166.7</v>
      </c>
      <c r="F15" s="76" t="s">
        <v>65</v>
      </c>
      <c r="G15" s="77">
        <f t="shared" ref="G15:G62" si="35">IF(F15="MARCIA",E15,IF(F15="AMBOS",E15/2,0))</f>
        <v>0</v>
      </c>
      <c r="H15" s="78">
        <f t="shared" ref="H15:H62" si="36">IF(F15="LUCIANO",E15,IF(F15="AMBOS",E15/2,0))</f>
        <v>166.7</v>
      </c>
      <c r="I15" s="481"/>
      <c r="J15" s="72">
        <f t="shared" si="19"/>
        <v>0</v>
      </c>
      <c r="K15" s="72">
        <f t="shared" si="20"/>
        <v>0</v>
      </c>
      <c r="L15" s="72">
        <f t="shared" si="21"/>
        <v>0</v>
      </c>
      <c r="M15" s="72">
        <f t="shared" si="22"/>
        <v>0</v>
      </c>
      <c r="N15" s="72">
        <f t="shared" si="23"/>
        <v>0</v>
      </c>
      <c r="O15" s="72">
        <f t="shared" si="24"/>
        <v>166.7</v>
      </c>
      <c r="P15" s="72">
        <f t="shared" si="25"/>
        <v>0</v>
      </c>
      <c r="Q15" s="72">
        <f t="shared" si="26"/>
        <v>0</v>
      </c>
      <c r="R15" s="72">
        <f t="shared" si="27"/>
        <v>0</v>
      </c>
      <c r="S15" s="72">
        <f t="shared" si="28"/>
        <v>0</v>
      </c>
      <c r="T15" s="72">
        <f t="shared" si="29"/>
        <v>0</v>
      </c>
      <c r="U15" s="72">
        <f t="shared" si="30"/>
        <v>0</v>
      </c>
      <c r="V15" s="72">
        <f t="shared" si="5"/>
        <v>0</v>
      </c>
      <c r="W15" s="72">
        <f t="shared" si="1"/>
        <v>0</v>
      </c>
      <c r="X15" s="72">
        <f t="shared" si="1"/>
        <v>0</v>
      </c>
      <c r="Z15" s="72">
        <f t="shared" si="6"/>
        <v>0</v>
      </c>
      <c r="AA15" s="72">
        <f t="shared" si="7"/>
        <v>0</v>
      </c>
      <c r="AB15" s="72">
        <f t="shared" si="8"/>
        <v>0</v>
      </c>
      <c r="AC15" s="72">
        <f t="shared" si="9"/>
        <v>0</v>
      </c>
      <c r="AD15" s="72">
        <f t="shared" si="10"/>
        <v>0</v>
      </c>
      <c r="AE15" s="72">
        <f t="shared" si="11"/>
        <v>0</v>
      </c>
      <c r="AF15" s="72">
        <f t="shared" si="12"/>
        <v>0</v>
      </c>
      <c r="AG15" s="72">
        <f t="shared" si="13"/>
        <v>0</v>
      </c>
      <c r="AH15" s="72">
        <f t="shared" si="14"/>
        <v>0</v>
      </c>
      <c r="AI15" s="72">
        <f t="shared" si="15"/>
        <v>0</v>
      </c>
      <c r="AJ15" s="72">
        <f t="shared" si="16"/>
        <v>0</v>
      </c>
      <c r="AK15" s="72">
        <f t="shared" si="17"/>
        <v>0</v>
      </c>
      <c r="AL15" s="72">
        <f t="shared" si="18"/>
        <v>0</v>
      </c>
      <c r="AM15" s="72">
        <f t="shared" si="2"/>
        <v>0</v>
      </c>
      <c r="AN15" s="72">
        <f t="shared" si="2"/>
        <v>0</v>
      </c>
      <c r="AQ15" s="71" t="s">
        <v>268</v>
      </c>
      <c r="AR15" s="97">
        <f t="shared" si="0"/>
        <v>409.76</v>
      </c>
      <c r="AS15" s="58">
        <f>AM63</f>
        <v>0</v>
      </c>
      <c r="AT15" s="58">
        <f>W63</f>
        <v>409.76</v>
      </c>
      <c r="AY15" s="59"/>
    </row>
    <row r="16" spans="2:51">
      <c r="B16" s="60">
        <v>45241</v>
      </c>
      <c r="C16" s="62" t="s">
        <v>482</v>
      </c>
      <c r="D16" s="79" t="s">
        <v>54</v>
      </c>
      <c r="E16" s="56">
        <v>211.85</v>
      </c>
      <c r="F16" s="76" t="s">
        <v>65</v>
      </c>
      <c r="G16" s="77">
        <f t="shared" si="35"/>
        <v>0</v>
      </c>
      <c r="H16" s="78">
        <f t="shared" si="36"/>
        <v>211.85</v>
      </c>
      <c r="I16" s="481"/>
      <c r="J16" s="72">
        <f t="shared" si="19"/>
        <v>0</v>
      </c>
      <c r="K16" s="72">
        <f t="shared" si="20"/>
        <v>0</v>
      </c>
      <c r="L16" s="72">
        <f t="shared" si="21"/>
        <v>0</v>
      </c>
      <c r="M16" s="72">
        <f t="shared" si="22"/>
        <v>0</v>
      </c>
      <c r="N16" s="72">
        <f t="shared" si="23"/>
        <v>0</v>
      </c>
      <c r="O16" s="72">
        <f t="shared" si="24"/>
        <v>0</v>
      </c>
      <c r="P16" s="72">
        <f t="shared" si="25"/>
        <v>211.85</v>
      </c>
      <c r="Q16" s="72">
        <f t="shared" si="26"/>
        <v>0</v>
      </c>
      <c r="R16" s="72">
        <f t="shared" si="27"/>
        <v>0</v>
      </c>
      <c r="S16" s="72">
        <f t="shared" si="28"/>
        <v>0</v>
      </c>
      <c r="T16" s="72">
        <f t="shared" si="29"/>
        <v>0</v>
      </c>
      <c r="U16" s="72">
        <f t="shared" si="30"/>
        <v>0</v>
      </c>
      <c r="V16" s="72">
        <f t="shared" si="5"/>
        <v>0</v>
      </c>
      <c r="W16" s="72">
        <f t="shared" si="1"/>
        <v>0</v>
      </c>
      <c r="X16" s="72">
        <f t="shared" si="1"/>
        <v>0</v>
      </c>
      <c r="Z16" s="72">
        <f t="shared" si="6"/>
        <v>0</v>
      </c>
      <c r="AA16" s="72">
        <f t="shared" si="7"/>
        <v>0</v>
      </c>
      <c r="AB16" s="72">
        <f t="shared" si="8"/>
        <v>0</v>
      </c>
      <c r="AC16" s="72">
        <f t="shared" si="9"/>
        <v>0</v>
      </c>
      <c r="AD16" s="72">
        <f t="shared" si="10"/>
        <v>0</v>
      </c>
      <c r="AE16" s="72">
        <f t="shared" si="11"/>
        <v>0</v>
      </c>
      <c r="AF16" s="72">
        <f t="shared" si="12"/>
        <v>0</v>
      </c>
      <c r="AG16" s="72">
        <f t="shared" si="13"/>
        <v>0</v>
      </c>
      <c r="AH16" s="72">
        <f t="shared" si="14"/>
        <v>0</v>
      </c>
      <c r="AI16" s="72">
        <f t="shared" si="15"/>
        <v>0</v>
      </c>
      <c r="AJ16" s="72">
        <f t="shared" si="16"/>
        <v>0</v>
      </c>
      <c r="AK16" s="72">
        <f t="shared" si="17"/>
        <v>0</v>
      </c>
      <c r="AL16" s="72">
        <f t="shared" si="18"/>
        <v>0</v>
      </c>
      <c r="AM16" s="72">
        <f t="shared" si="2"/>
        <v>0</v>
      </c>
      <c r="AN16" s="72">
        <f t="shared" si="2"/>
        <v>0</v>
      </c>
      <c r="AQ16" s="71"/>
      <c r="AR16" s="97">
        <f t="shared" si="0"/>
        <v>0</v>
      </c>
      <c r="AS16" s="95">
        <f>AN63</f>
        <v>0</v>
      </c>
      <c r="AT16" s="95">
        <f>X63</f>
        <v>0</v>
      </c>
      <c r="AU16" s="59"/>
      <c r="AY16" s="59"/>
    </row>
    <row r="17" spans="2:52" ht="16.5" customHeight="1">
      <c r="B17" s="881" t="s">
        <v>700</v>
      </c>
      <c r="C17" s="872"/>
      <c r="D17" s="872"/>
      <c r="E17" s="872"/>
      <c r="F17" s="872"/>
      <c r="G17" s="872"/>
      <c r="H17" s="873"/>
      <c r="I17" s="481"/>
      <c r="J17" s="72">
        <f t="shared" si="19"/>
        <v>0</v>
      </c>
      <c r="K17" s="72">
        <f t="shared" si="20"/>
        <v>0</v>
      </c>
      <c r="L17" s="72">
        <f t="shared" si="21"/>
        <v>0</v>
      </c>
      <c r="M17" s="72">
        <f t="shared" si="22"/>
        <v>0</v>
      </c>
      <c r="N17" s="72">
        <f t="shared" si="23"/>
        <v>0</v>
      </c>
      <c r="O17" s="72">
        <f t="shared" si="24"/>
        <v>0</v>
      </c>
      <c r="P17" s="72">
        <f t="shared" si="25"/>
        <v>0</v>
      </c>
      <c r="Q17" s="72">
        <f t="shared" si="26"/>
        <v>0</v>
      </c>
      <c r="R17" s="72">
        <f t="shared" si="27"/>
        <v>0</v>
      </c>
      <c r="S17" s="72">
        <f t="shared" si="28"/>
        <v>0</v>
      </c>
      <c r="T17" s="72">
        <f t="shared" si="29"/>
        <v>0</v>
      </c>
      <c r="U17" s="72">
        <f t="shared" si="30"/>
        <v>0</v>
      </c>
      <c r="V17" s="72">
        <f t="shared" si="5"/>
        <v>0</v>
      </c>
      <c r="W17" s="72">
        <f t="shared" si="1"/>
        <v>0</v>
      </c>
      <c r="X17" s="72">
        <f t="shared" si="1"/>
        <v>0</v>
      </c>
      <c r="Z17" s="72">
        <f>IF($D17="ALIMENTAÇÃO",$B17,0)</f>
        <v>0</v>
      </c>
      <c r="AA17" s="72">
        <f>IF($D17="ANIMAIS",$B17,0)</f>
        <v>0</v>
      </c>
      <c r="AB17" s="72">
        <f>IF($D17="FILHO",$B17,0)</f>
        <v>0</v>
      </c>
      <c r="AC17" s="72">
        <f>IF($D17="GASOLINA",$B17,0)</f>
        <v>0</v>
      </c>
      <c r="AD17" s="72">
        <f>IF($D17="LAZER",$B17,0)</f>
        <v>0</v>
      </c>
      <c r="AE17" s="72">
        <f>IF($D17="MANUT. IMÓVEL",$B17,0)</f>
        <v>0</v>
      </c>
      <c r="AF17" s="72">
        <f>IF($D17="MANUT. VEICULAR",$B17,0)</f>
        <v>0</v>
      </c>
      <c r="AG17" s="72">
        <f>IF($D17="MÓVEIS",$B17,0)</f>
        <v>0</v>
      </c>
      <c r="AH17" s="72">
        <f>IF($D17="OUTROS",$B17,0)</f>
        <v>0</v>
      </c>
      <c r="AI17" s="72">
        <f>IF($D17="PLANOS",$B17,0)</f>
        <v>0</v>
      </c>
      <c r="AJ17" s="72">
        <f>IF($D17="SAÚDE",$B17,0)</f>
        <v>0</v>
      </c>
      <c r="AK17" s="72">
        <f>IF($D17="TRANSPORTE",$B17,0)</f>
        <v>0</v>
      </c>
      <c r="AL17" s="72">
        <f>IF($D17=AL$2,$B17,0)</f>
        <v>0</v>
      </c>
      <c r="AM17" s="72">
        <f>IF($D17=AM$2,$B17,0)</f>
        <v>0</v>
      </c>
      <c r="AN17" s="72" t="str">
        <f>IF($D17=AN$2,$B17,0)</f>
        <v>PAGO</v>
      </c>
      <c r="AQ17" s="87" t="s">
        <v>67</v>
      </c>
      <c r="AR17" s="96">
        <f>SUM(AR2:AR16)</f>
        <v>2187.9499999999998</v>
      </c>
      <c r="AS17" s="88">
        <f>SUM(AS2:AS16)</f>
        <v>192.31</v>
      </c>
      <c r="AT17" s="88">
        <f>SUM(AT2:AT16)</f>
        <v>1995.64</v>
      </c>
    </row>
    <row r="18" spans="2:52" ht="16.5" customHeight="1">
      <c r="B18" s="882"/>
      <c r="C18" s="875"/>
      <c r="D18" s="875"/>
      <c r="E18" s="875"/>
      <c r="F18" s="875"/>
      <c r="G18" s="875"/>
      <c r="H18" s="876"/>
      <c r="I18" s="481"/>
      <c r="J18" s="72">
        <f t="shared" si="19"/>
        <v>0</v>
      </c>
      <c r="K18" s="72">
        <f t="shared" si="20"/>
        <v>0</v>
      </c>
      <c r="L18" s="72">
        <f t="shared" si="21"/>
        <v>0</v>
      </c>
      <c r="M18" s="72">
        <f t="shared" si="22"/>
        <v>0</v>
      </c>
      <c r="N18" s="72">
        <f t="shared" si="23"/>
        <v>0</v>
      </c>
      <c r="O18" s="72">
        <f t="shared" si="24"/>
        <v>0</v>
      </c>
      <c r="P18" s="72">
        <f t="shared" si="25"/>
        <v>0</v>
      </c>
      <c r="Q18" s="72">
        <f t="shared" si="26"/>
        <v>0</v>
      </c>
      <c r="R18" s="72">
        <f t="shared" si="27"/>
        <v>0</v>
      </c>
      <c r="S18" s="72">
        <f t="shared" si="28"/>
        <v>0</v>
      </c>
      <c r="T18" s="72">
        <f t="shared" si="29"/>
        <v>0</v>
      </c>
      <c r="U18" s="72">
        <f t="shared" si="30"/>
        <v>0</v>
      </c>
      <c r="V18" s="72">
        <f t="shared" si="5"/>
        <v>0</v>
      </c>
      <c r="W18" s="72">
        <f t="shared" si="1"/>
        <v>0</v>
      </c>
      <c r="X18" s="72">
        <f t="shared" si="1"/>
        <v>0</v>
      </c>
      <c r="Z18" s="72">
        <f t="shared" si="6"/>
        <v>0</v>
      </c>
      <c r="AA18" s="72">
        <f t="shared" si="7"/>
        <v>0</v>
      </c>
      <c r="AB18" s="72">
        <f t="shared" si="8"/>
        <v>0</v>
      </c>
      <c r="AC18" s="72">
        <f t="shared" si="9"/>
        <v>0</v>
      </c>
      <c r="AD18" s="72">
        <f t="shared" si="10"/>
        <v>0</v>
      </c>
      <c r="AE18" s="72">
        <f t="shared" si="11"/>
        <v>0</v>
      </c>
      <c r="AF18" s="72">
        <f t="shared" si="12"/>
        <v>0</v>
      </c>
      <c r="AG18" s="72">
        <f t="shared" si="13"/>
        <v>0</v>
      </c>
      <c r="AH18" s="72">
        <f t="shared" si="14"/>
        <v>0</v>
      </c>
      <c r="AI18" s="72">
        <f t="shared" si="15"/>
        <v>0</v>
      </c>
      <c r="AJ18" s="72">
        <f t="shared" si="16"/>
        <v>0</v>
      </c>
      <c r="AK18" s="72">
        <f t="shared" si="17"/>
        <v>0</v>
      </c>
      <c r="AL18" s="72">
        <f t="shared" si="18"/>
        <v>0</v>
      </c>
      <c r="AM18" s="72">
        <f t="shared" si="2"/>
        <v>0</v>
      </c>
      <c r="AN18" s="72">
        <f t="shared" si="2"/>
        <v>0</v>
      </c>
      <c r="AQ18" s="80" t="s">
        <v>65</v>
      </c>
      <c r="AR18" s="850" t="s">
        <v>45</v>
      </c>
      <c r="AS18" s="851"/>
      <c r="AT18" s="852"/>
      <c r="AU18" s="99"/>
      <c r="AV18" s="98"/>
      <c r="AY18" s="59"/>
    </row>
    <row r="19" spans="2:52" ht="16.5" customHeight="1">
      <c r="B19" s="882"/>
      <c r="C19" s="875"/>
      <c r="D19" s="875"/>
      <c r="E19" s="875"/>
      <c r="F19" s="875"/>
      <c r="G19" s="875"/>
      <c r="H19" s="876"/>
      <c r="I19" s="481"/>
      <c r="J19" s="72">
        <f t="shared" si="19"/>
        <v>0</v>
      </c>
      <c r="K19" s="72">
        <f t="shared" si="20"/>
        <v>0</v>
      </c>
      <c r="L19" s="72">
        <f t="shared" si="21"/>
        <v>0</v>
      </c>
      <c r="M19" s="72">
        <f t="shared" si="22"/>
        <v>0</v>
      </c>
      <c r="N19" s="72">
        <f t="shared" si="23"/>
        <v>0</v>
      </c>
      <c r="O19" s="72">
        <f t="shared" si="24"/>
        <v>0</v>
      </c>
      <c r="P19" s="72">
        <f t="shared" si="25"/>
        <v>0</v>
      </c>
      <c r="Q19" s="72">
        <f t="shared" si="26"/>
        <v>0</v>
      </c>
      <c r="R19" s="72">
        <f t="shared" si="27"/>
        <v>0</v>
      </c>
      <c r="S19" s="72">
        <f t="shared" si="28"/>
        <v>0</v>
      </c>
      <c r="T19" s="72">
        <f t="shared" si="29"/>
        <v>0</v>
      </c>
      <c r="U19" s="72">
        <f t="shared" si="30"/>
        <v>0</v>
      </c>
      <c r="V19" s="72">
        <f t="shared" si="5"/>
        <v>0</v>
      </c>
      <c r="W19" s="72">
        <f t="shared" si="5"/>
        <v>0</v>
      </c>
      <c r="X19" s="72">
        <f t="shared" si="5"/>
        <v>0</v>
      </c>
      <c r="Z19" s="72">
        <f t="shared" si="6"/>
        <v>0</v>
      </c>
      <c r="AA19" s="72">
        <f t="shared" si="7"/>
        <v>0</v>
      </c>
      <c r="AB19" s="72">
        <f t="shared" si="8"/>
        <v>0</v>
      </c>
      <c r="AC19" s="72">
        <f t="shared" si="9"/>
        <v>0</v>
      </c>
      <c r="AD19" s="72">
        <f t="shared" si="10"/>
        <v>0</v>
      </c>
      <c r="AE19" s="72">
        <f t="shared" si="11"/>
        <v>0</v>
      </c>
      <c r="AF19" s="72">
        <f t="shared" si="12"/>
        <v>0</v>
      </c>
      <c r="AG19" s="72">
        <f t="shared" si="13"/>
        <v>0</v>
      </c>
      <c r="AH19" s="72">
        <f t="shared" si="14"/>
        <v>0</v>
      </c>
      <c r="AI19" s="72">
        <f t="shared" si="15"/>
        <v>0</v>
      </c>
      <c r="AJ19" s="72">
        <f t="shared" si="16"/>
        <v>0</v>
      </c>
      <c r="AK19" s="72">
        <f t="shared" si="17"/>
        <v>0</v>
      </c>
      <c r="AL19" s="72">
        <f t="shared" si="18"/>
        <v>0</v>
      </c>
      <c r="AM19" s="72">
        <f t="shared" si="18"/>
        <v>0</v>
      </c>
      <c r="AN19" s="72">
        <f t="shared" si="18"/>
        <v>0</v>
      </c>
      <c r="AQ19" s="80" t="s">
        <v>66</v>
      </c>
      <c r="AU19" s="98"/>
    </row>
    <row r="20" spans="2:52" ht="16.5" customHeight="1">
      <c r="B20" s="882"/>
      <c r="C20" s="875"/>
      <c r="D20" s="875"/>
      <c r="E20" s="875"/>
      <c r="F20" s="875"/>
      <c r="G20" s="875"/>
      <c r="H20" s="876"/>
      <c r="I20" s="481"/>
      <c r="J20" s="72">
        <f t="shared" si="19"/>
        <v>0</v>
      </c>
      <c r="K20" s="72">
        <f t="shared" si="20"/>
        <v>0</v>
      </c>
      <c r="L20" s="72">
        <f t="shared" si="21"/>
        <v>0</v>
      </c>
      <c r="M20" s="72">
        <f t="shared" si="22"/>
        <v>0</v>
      </c>
      <c r="N20" s="72">
        <f t="shared" si="23"/>
        <v>0</v>
      </c>
      <c r="O20" s="72">
        <f t="shared" si="24"/>
        <v>0</v>
      </c>
      <c r="P20" s="72">
        <f t="shared" si="25"/>
        <v>0</v>
      </c>
      <c r="Q20" s="72">
        <f t="shared" si="26"/>
        <v>0</v>
      </c>
      <c r="R20" s="72">
        <f t="shared" si="27"/>
        <v>0</v>
      </c>
      <c r="S20" s="72">
        <f t="shared" si="28"/>
        <v>0</v>
      </c>
      <c r="T20" s="72">
        <f t="shared" si="29"/>
        <v>0</v>
      </c>
      <c r="U20" s="72">
        <f t="shared" si="30"/>
        <v>0</v>
      </c>
      <c r="V20" s="72">
        <f t="shared" si="5"/>
        <v>0</v>
      </c>
      <c r="W20" s="72">
        <f t="shared" si="5"/>
        <v>0</v>
      </c>
      <c r="X20" s="72">
        <f t="shared" si="5"/>
        <v>0</v>
      </c>
      <c r="Z20" s="72">
        <f t="shared" si="6"/>
        <v>0</v>
      </c>
      <c r="AA20" s="72">
        <f t="shared" si="7"/>
        <v>0</v>
      </c>
      <c r="AB20" s="72">
        <f t="shared" si="8"/>
        <v>0</v>
      </c>
      <c r="AC20" s="72">
        <f t="shared" si="9"/>
        <v>0</v>
      </c>
      <c r="AD20" s="72">
        <f t="shared" si="10"/>
        <v>0</v>
      </c>
      <c r="AE20" s="72">
        <f t="shared" si="11"/>
        <v>0</v>
      </c>
      <c r="AF20" s="72">
        <f t="shared" si="12"/>
        <v>0</v>
      </c>
      <c r="AG20" s="72">
        <f t="shared" si="13"/>
        <v>0</v>
      </c>
      <c r="AH20" s="72">
        <f t="shared" si="14"/>
        <v>0</v>
      </c>
      <c r="AI20" s="72">
        <f t="shared" si="15"/>
        <v>0</v>
      </c>
      <c r="AJ20" s="72">
        <f t="shared" si="16"/>
        <v>0</v>
      </c>
      <c r="AK20" s="72">
        <f t="shared" si="17"/>
        <v>0</v>
      </c>
      <c r="AL20" s="72">
        <f t="shared" si="18"/>
        <v>0</v>
      </c>
      <c r="AM20" s="72">
        <f t="shared" si="18"/>
        <v>0</v>
      </c>
      <c r="AN20" s="72">
        <f t="shared" si="18"/>
        <v>0</v>
      </c>
    </row>
    <row r="21" spans="2:52" ht="16.5" customHeight="1">
      <c r="B21" s="882"/>
      <c r="C21" s="875"/>
      <c r="D21" s="875"/>
      <c r="E21" s="875"/>
      <c r="F21" s="875"/>
      <c r="G21" s="875"/>
      <c r="H21" s="876"/>
      <c r="I21" s="481"/>
      <c r="J21" s="72">
        <f t="shared" si="19"/>
        <v>0</v>
      </c>
      <c r="K21" s="72">
        <f t="shared" si="20"/>
        <v>0</v>
      </c>
      <c r="L21" s="72">
        <f t="shared" si="21"/>
        <v>0</v>
      </c>
      <c r="M21" s="72">
        <f t="shared" si="22"/>
        <v>0</v>
      </c>
      <c r="N21" s="72">
        <f t="shared" si="23"/>
        <v>0</v>
      </c>
      <c r="O21" s="72">
        <f t="shared" si="24"/>
        <v>0</v>
      </c>
      <c r="P21" s="72">
        <f t="shared" si="25"/>
        <v>0</v>
      </c>
      <c r="Q21" s="72">
        <f t="shared" si="26"/>
        <v>0</v>
      </c>
      <c r="R21" s="72">
        <f t="shared" si="27"/>
        <v>0</v>
      </c>
      <c r="S21" s="72">
        <f t="shared" si="28"/>
        <v>0</v>
      </c>
      <c r="T21" s="72">
        <f t="shared" si="29"/>
        <v>0</v>
      </c>
      <c r="U21" s="72">
        <f t="shared" si="30"/>
        <v>0</v>
      </c>
      <c r="V21" s="72">
        <f t="shared" si="5"/>
        <v>0</v>
      </c>
      <c r="W21" s="72">
        <f t="shared" si="5"/>
        <v>0</v>
      </c>
      <c r="X21" s="72">
        <f t="shared" si="5"/>
        <v>0</v>
      </c>
      <c r="Z21" s="72">
        <f t="shared" si="6"/>
        <v>0</v>
      </c>
      <c r="AA21" s="72">
        <f t="shared" si="7"/>
        <v>0</v>
      </c>
      <c r="AB21" s="72">
        <f t="shared" si="8"/>
        <v>0</v>
      </c>
      <c r="AC21" s="72">
        <f t="shared" si="9"/>
        <v>0</v>
      </c>
      <c r="AD21" s="72">
        <f t="shared" si="10"/>
        <v>0</v>
      </c>
      <c r="AE21" s="72">
        <f t="shared" si="11"/>
        <v>0</v>
      </c>
      <c r="AF21" s="72">
        <f t="shared" si="12"/>
        <v>0</v>
      </c>
      <c r="AG21" s="72">
        <f t="shared" si="13"/>
        <v>0</v>
      </c>
      <c r="AH21" s="72">
        <f t="shared" si="14"/>
        <v>0</v>
      </c>
      <c r="AI21" s="72">
        <f t="shared" si="15"/>
        <v>0</v>
      </c>
      <c r="AJ21" s="72">
        <f t="shared" si="16"/>
        <v>0</v>
      </c>
      <c r="AK21" s="72">
        <f t="shared" si="17"/>
        <v>0</v>
      </c>
      <c r="AL21" s="72">
        <f t="shared" si="18"/>
        <v>0</v>
      </c>
      <c r="AM21" s="72">
        <f t="shared" si="18"/>
        <v>0</v>
      </c>
      <c r="AN21" s="72">
        <f t="shared" si="18"/>
        <v>0</v>
      </c>
    </row>
    <row r="22" spans="2:52" ht="16.5" customHeight="1">
      <c r="B22" s="882"/>
      <c r="C22" s="875"/>
      <c r="D22" s="875"/>
      <c r="E22" s="875"/>
      <c r="F22" s="875"/>
      <c r="G22" s="875"/>
      <c r="H22" s="876"/>
      <c r="I22" s="482"/>
      <c r="J22" s="72">
        <f t="shared" si="19"/>
        <v>0</v>
      </c>
      <c r="K22" s="72">
        <f t="shared" si="20"/>
        <v>0</v>
      </c>
      <c r="L22" s="72">
        <f t="shared" si="21"/>
        <v>0</v>
      </c>
      <c r="M22" s="72">
        <f t="shared" si="22"/>
        <v>0</v>
      </c>
      <c r="N22" s="72">
        <f t="shared" si="23"/>
        <v>0</v>
      </c>
      <c r="O22" s="72">
        <f t="shared" si="24"/>
        <v>0</v>
      </c>
      <c r="P22" s="72">
        <f t="shared" si="25"/>
        <v>0</v>
      </c>
      <c r="Q22" s="72">
        <f t="shared" si="26"/>
        <v>0</v>
      </c>
      <c r="R22" s="72">
        <f t="shared" si="27"/>
        <v>0</v>
      </c>
      <c r="S22" s="72">
        <f t="shared" si="28"/>
        <v>0</v>
      </c>
      <c r="T22" s="72">
        <f t="shared" si="29"/>
        <v>0</v>
      </c>
      <c r="U22" s="72">
        <f t="shared" si="30"/>
        <v>0</v>
      </c>
      <c r="V22" s="72">
        <f t="shared" si="5"/>
        <v>0</v>
      </c>
      <c r="W22" s="72">
        <f t="shared" si="5"/>
        <v>0</v>
      </c>
      <c r="X22" s="72">
        <f t="shared" si="5"/>
        <v>0</v>
      </c>
      <c r="Y22" s="61"/>
      <c r="Z22" s="72">
        <f t="shared" si="6"/>
        <v>0</v>
      </c>
      <c r="AA22" s="72">
        <f t="shared" si="7"/>
        <v>0</v>
      </c>
      <c r="AB22" s="72">
        <f t="shared" si="8"/>
        <v>0</v>
      </c>
      <c r="AC22" s="72">
        <f t="shared" si="9"/>
        <v>0</v>
      </c>
      <c r="AD22" s="72">
        <f t="shared" si="10"/>
        <v>0</v>
      </c>
      <c r="AE22" s="72">
        <f t="shared" si="11"/>
        <v>0</v>
      </c>
      <c r="AF22" s="72">
        <f t="shared" si="12"/>
        <v>0</v>
      </c>
      <c r="AG22" s="72">
        <f t="shared" si="13"/>
        <v>0</v>
      </c>
      <c r="AH22" s="72">
        <f t="shared" si="14"/>
        <v>0</v>
      </c>
      <c r="AI22" s="72">
        <f t="shared" si="15"/>
        <v>0</v>
      </c>
      <c r="AJ22" s="72">
        <f t="shared" si="16"/>
        <v>0</v>
      </c>
      <c r="AK22" s="72">
        <f t="shared" si="17"/>
        <v>0</v>
      </c>
      <c r="AL22" s="72">
        <f t="shared" si="18"/>
        <v>0</v>
      </c>
      <c r="AM22" s="72">
        <f t="shared" si="18"/>
        <v>0</v>
      </c>
      <c r="AN22" s="72">
        <f t="shared" si="18"/>
        <v>0</v>
      </c>
      <c r="AO22" s="61"/>
      <c r="AP22" s="61"/>
    </row>
    <row r="23" spans="2:52" ht="17.25" customHeight="1" thickBot="1">
      <c r="B23" s="882"/>
      <c r="C23" s="875"/>
      <c r="D23" s="875"/>
      <c r="E23" s="875"/>
      <c r="F23" s="875"/>
      <c r="G23" s="875"/>
      <c r="H23" s="876"/>
      <c r="I23" s="481"/>
      <c r="J23" s="72">
        <f t="shared" si="19"/>
        <v>0</v>
      </c>
      <c r="K23" s="72">
        <f t="shared" si="20"/>
        <v>0</v>
      </c>
      <c r="L23" s="72">
        <f t="shared" si="21"/>
        <v>0</v>
      </c>
      <c r="M23" s="72">
        <f t="shared" si="22"/>
        <v>0</v>
      </c>
      <c r="N23" s="72">
        <f t="shared" si="23"/>
        <v>0</v>
      </c>
      <c r="O23" s="72">
        <f t="shared" si="24"/>
        <v>0</v>
      </c>
      <c r="P23" s="72">
        <f t="shared" si="25"/>
        <v>0</v>
      </c>
      <c r="Q23" s="72">
        <f t="shared" si="26"/>
        <v>0</v>
      </c>
      <c r="R23" s="72">
        <f t="shared" si="27"/>
        <v>0</v>
      </c>
      <c r="S23" s="72">
        <f t="shared" si="28"/>
        <v>0</v>
      </c>
      <c r="T23" s="72">
        <f t="shared" si="29"/>
        <v>0</v>
      </c>
      <c r="U23" s="72">
        <f t="shared" si="30"/>
        <v>0</v>
      </c>
      <c r="V23" s="72">
        <f t="shared" si="5"/>
        <v>0</v>
      </c>
      <c r="W23" s="72">
        <f t="shared" si="5"/>
        <v>0</v>
      </c>
      <c r="X23" s="72">
        <f t="shared" si="5"/>
        <v>0</v>
      </c>
      <c r="Z23" s="72">
        <f t="shared" si="6"/>
        <v>0</v>
      </c>
      <c r="AA23" s="72">
        <f t="shared" si="7"/>
        <v>0</v>
      </c>
      <c r="AB23" s="72">
        <f t="shared" si="8"/>
        <v>0</v>
      </c>
      <c r="AC23" s="72">
        <f t="shared" si="9"/>
        <v>0</v>
      </c>
      <c r="AD23" s="72">
        <f t="shared" si="10"/>
        <v>0</v>
      </c>
      <c r="AE23" s="72">
        <f t="shared" si="11"/>
        <v>0</v>
      </c>
      <c r="AF23" s="72">
        <f t="shared" si="12"/>
        <v>0</v>
      </c>
      <c r="AG23" s="72">
        <f t="shared" si="13"/>
        <v>0</v>
      </c>
      <c r="AH23" s="72">
        <f t="shared" si="14"/>
        <v>0</v>
      </c>
      <c r="AI23" s="72">
        <f t="shared" si="15"/>
        <v>0</v>
      </c>
      <c r="AJ23" s="72">
        <f t="shared" si="16"/>
        <v>0</v>
      </c>
      <c r="AK23" s="72">
        <f t="shared" si="17"/>
        <v>0</v>
      </c>
      <c r="AL23" s="72">
        <f t="shared" si="18"/>
        <v>0</v>
      </c>
      <c r="AM23" s="72">
        <f t="shared" si="18"/>
        <v>0</v>
      </c>
      <c r="AN23" s="72">
        <f t="shared" si="18"/>
        <v>0</v>
      </c>
      <c r="AV23" s="864" t="s">
        <v>134</v>
      </c>
      <c r="AW23" s="864"/>
      <c r="AY23" s="866" t="s">
        <v>133</v>
      </c>
      <c r="AZ23" s="866"/>
    </row>
    <row r="24" spans="2:52" ht="16.5" customHeight="1">
      <c r="B24" s="882"/>
      <c r="C24" s="875"/>
      <c r="D24" s="875"/>
      <c r="E24" s="875"/>
      <c r="F24" s="875"/>
      <c r="G24" s="875"/>
      <c r="H24" s="876"/>
      <c r="I24" s="481"/>
      <c r="J24" s="72">
        <f t="shared" si="19"/>
        <v>0</v>
      </c>
      <c r="K24" s="72">
        <f t="shared" si="20"/>
        <v>0</v>
      </c>
      <c r="L24" s="72">
        <f t="shared" si="21"/>
        <v>0</v>
      </c>
      <c r="M24" s="72">
        <f t="shared" si="22"/>
        <v>0</v>
      </c>
      <c r="N24" s="72">
        <f t="shared" si="23"/>
        <v>0</v>
      </c>
      <c r="O24" s="72">
        <f t="shared" si="24"/>
        <v>0</v>
      </c>
      <c r="P24" s="72">
        <f t="shared" si="25"/>
        <v>0</v>
      </c>
      <c r="Q24" s="72">
        <f t="shared" si="26"/>
        <v>0</v>
      </c>
      <c r="R24" s="72">
        <f t="shared" si="27"/>
        <v>0</v>
      </c>
      <c r="S24" s="72">
        <f t="shared" si="28"/>
        <v>0</v>
      </c>
      <c r="T24" s="72">
        <f t="shared" si="29"/>
        <v>0</v>
      </c>
      <c r="U24" s="72">
        <f t="shared" si="30"/>
        <v>0</v>
      </c>
      <c r="V24" s="72">
        <f t="shared" si="5"/>
        <v>0</v>
      </c>
      <c r="W24" s="72">
        <f t="shared" si="5"/>
        <v>0</v>
      </c>
      <c r="X24" s="72">
        <f t="shared" si="5"/>
        <v>0</v>
      </c>
      <c r="Z24" s="72">
        <f t="shared" si="6"/>
        <v>0</v>
      </c>
      <c r="AA24" s="72">
        <f t="shared" si="7"/>
        <v>0</v>
      </c>
      <c r="AB24" s="72">
        <f t="shared" si="8"/>
        <v>0</v>
      </c>
      <c r="AC24" s="72">
        <f t="shared" si="9"/>
        <v>0</v>
      </c>
      <c r="AD24" s="72">
        <f t="shared" si="10"/>
        <v>0</v>
      </c>
      <c r="AE24" s="72">
        <f t="shared" si="11"/>
        <v>0</v>
      </c>
      <c r="AF24" s="72">
        <f t="shared" si="12"/>
        <v>0</v>
      </c>
      <c r="AG24" s="72">
        <f t="shared" si="13"/>
        <v>0</v>
      </c>
      <c r="AH24" s="72">
        <f t="shared" si="14"/>
        <v>0</v>
      </c>
      <c r="AI24" s="72">
        <f t="shared" si="15"/>
        <v>0</v>
      </c>
      <c r="AJ24" s="72">
        <f t="shared" si="16"/>
        <v>0</v>
      </c>
      <c r="AK24" s="72">
        <f t="shared" si="17"/>
        <v>0</v>
      </c>
      <c r="AL24" s="72">
        <f t="shared" si="18"/>
        <v>0</v>
      </c>
      <c r="AM24" s="72">
        <f t="shared" si="18"/>
        <v>0</v>
      </c>
      <c r="AN24" s="72">
        <f t="shared" si="18"/>
        <v>0</v>
      </c>
      <c r="AP24" s="491"/>
      <c r="AQ24" s="487" t="s">
        <v>350</v>
      </c>
      <c r="AR24" s="494">
        <f>AR17</f>
        <v>2187.9499999999998</v>
      </c>
      <c r="AV24" s="112" t="s">
        <v>75</v>
      </c>
      <c r="AW24" s="1">
        <v>129.82</v>
      </c>
      <c r="AY24" s="502" t="s">
        <v>130</v>
      </c>
      <c r="AZ24" s="503">
        <f>AS17</f>
        <v>192.31</v>
      </c>
    </row>
    <row r="25" spans="2:52" ht="16.5" customHeight="1">
      <c r="B25" s="882"/>
      <c r="C25" s="875"/>
      <c r="D25" s="875"/>
      <c r="E25" s="875"/>
      <c r="F25" s="875"/>
      <c r="G25" s="875"/>
      <c r="H25" s="876"/>
      <c r="I25" s="481"/>
      <c r="J25" s="72">
        <f t="shared" si="19"/>
        <v>0</v>
      </c>
      <c r="K25" s="72">
        <f t="shared" si="20"/>
        <v>0</v>
      </c>
      <c r="L25" s="72">
        <f t="shared" si="21"/>
        <v>0</v>
      </c>
      <c r="M25" s="72">
        <f t="shared" si="22"/>
        <v>0</v>
      </c>
      <c r="N25" s="72">
        <f t="shared" si="23"/>
        <v>0</v>
      </c>
      <c r="O25" s="72">
        <f t="shared" si="24"/>
        <v>0</v>
      </c>
      <c r="P25" s="72">
        <f t="shared" si="25"/>
        <v>0</v>
      </c>
      <c r="Q25" s="72">
        <f t="shared" si="26"/>
        <v>0</v>
      </c>
      <c r="R25" s="72">
        <f t="shared" si="27"/>
        <v>0</v>
      </c>
      <c r="S25" s="72">
        <f t="shared" si="28"/>
        <v>0</v>
      </c>
      <c r="T25" s="72">
        <f t="shared" si="29"/>
        <v>0</v>
      </c>
      <c r="U25" s="72">
        <f t="shared" si="30"/>
        <v>0</v>
      </c>
      <c r="V25" s="72">
        <f t="shared" si="5"/>
        <v>0</v>
      </c>
      <c r="W25" s="72">
        <f t="shared" si="5"/>
        <v>0</v>
      </c>
      <c r="X25" s="72">
        <f t="shared" si="5"/>
        <v>0</v>
      </c>
      <c r="Z25" s="72">
        <f t="shared" si="6"/>
        <v>0</v>
      </c>
      <c r="AA25" s="72">
        <f t="shared" si="7"/>
        <v>0</v>
      </c>
      <c r="AB25" s="72">
        <f t="shared" si="8"/>
        <v>0</v>
      </c>
      <c r="AC25" s="72">
        <f t="shared" si="9"/>
        <v>0</v>
      </c>
      <c r="AD25" s="72">
        <f t="shared" si="10"/>
        <v>0</v>
      </c>
      <c r="AE25" s="72">
        <f t="shared" si="11"/>
        <v>0</v>
      </c>
      <c r="AF25" s="72">
        <f t="shared" si="12"/>
        <v>0</v>
      </c>
      <c r="AG25" s="72">
        <f t="shared" si="13"/>
        <v>0</v>
      </c>
      <c r="AH25" s="72">
        <f t="shared" si="14"/>
        <v>0</v>
      </c>
      <c r="AI25" s="72">
        <f t="shared" si="15"/>
        <v>0</v>
      </c>
      <c r="AJ25" s="72">
        <f t="shared" si="16"/>
        <v>0</v>
      </c>
      <c r="AK25" s="72">
        <f t="shared" si="17"/>
        <v>0</v>
      </c>
      <c r="AL25" s="72">
        <f t="shared" si="18"/>
        <v>0</v>
      </c>
      <c r="AM25" s="72">
        <f t="shared" si="18"/>
        <v>0</v>
      </c>
      <c r="AN25" s="72">
        <f t="shared" si="18"/>
        <v>0</v>
      </c>
      <c r="AP25" s="492"/>
      <c r="AQ25" s="488" t="s">
        <v>349</v>
      </c>
      <c r="AR25" s="501">
        <f>AY4+AY6</f>
        <v>175.97</v>
      </c>
      <c r="AS25" s="869" t="s">
        <v>356</v>
      </c>
      <c r="AT25" s="870"/>
      <c r="AV25" s="112" t="s">
        <v>76</v>
      </c>
      <c r="AW25" s="1">
        <v>225.08</v>
      </c>
      <c r="AY25" s="502" t="s">
        <v>131</v>
      </c>
      <c r="AZ25" s="504">
        <f>AR27</f>
        <v>40.96</v>
      </c>
    </row>
    <row r="26" spans="2:52" ht="16.5" customHeight="1">
      <c r="B26" s="882"/>
      <c r="C26" s="875"/>
      <c r="D26" s="875"/>
      <c r="E26" s="875"/>
      <c r="F26" s="875"/>
      <c r="G26" s="875"/>
      <c r="H26" s="876"/>
      <c r="I26" s="481"/>
      <c r="J26" s="72">
        <f t="shared" si="19"/>
        <v>0</v>
      </c>
      <c r="K26" s="72">
        <f t="shared" si="20"/>
        <v>0</v>
      </c>
      <c r="L26" s="72">
        <f t="shared" si="21"/>
        <v>0</v>
      </c>
      <c r="M26" s="72">
        <f t="shared" si="22"/>
        <v>0</v>
      </c>
      <c r="N26" s="72">
        <f t="shared" si="23"/>
        <v>0</v>
      </c>
      <c r="O26" s="72">
        <f t="shared" si="24"/>
        <v>0</v>
      </c>
      <c r="P26" s="72">
        <f t="shared" si="25"/>
        <v>0</v>
      </c>
      <c r="Q26" s="72">
        <f t="shared" si="26"/>
        <v>0</v>
      </c>
      <c r="R26" s="72">
        <f t="shared" si="27"/>
        <v>0</v>
      </c>
      <c r="S26" s="72">
        <f t="shared" si="28"/>
        <v>0</v>
      </c>
      <c r="T26" s="72">
        <f t="shared" si="29"/>
        <v>0</v>
      </c>
      <c r="U26" s="72">
        <f t="shared" si="30"/>
        <v>0</v>
      </c>
      <c r="V26" s="72">
        <f t="shared" si="5"/>
        <v>0</v>
      </c>
      <c r="W26" s="72">
        <f t="shared" si="5"/>
        <v>0</v>
      </c>
      <c r="X26" s="72">
        <f t="shared" si="5"/>
        <v>0</v>
      </c>
      <c r="Z26" s="72">
        <f t="shared" si="6"/>
        <v>0</v>
      </c>
      <c r="AA26" s="72">
        <f t="shared" si="7"/>
        <v>0</v>
      </c>
      <c r="AB26" s="72">
        <f t="shared" si="8"/>
        <v>0</v>
      </c>
      <c r="AC26" s="72">
        <f t="shared" si="9"/>
        <v>0</v>
      </c>
      <c r="AD26" s="72">
        <f t="shared" si="10"/>
        <v>0</v>
      </c>
      <c r="AE26" s="72">
        <f t="shared" si="11"/>
        <v>0</v>
      </c>
      <c r="AF26" s="72">
        <f t="shared" si="12"/>
        <v>0</v>
      </c>
      <c r="AG26" s="72">
        <f t="shared" si="13"/>
        <v>0</v>
      </c>
      <c r="AH26" s="72">
        <f t="shared" si="14"/>
        <v>0</v>
      </c>
      <c r="AI26" s="72">
        <f t="shared" si="15"/>
        <v>0</v>
      </c>
      <c r="AJ26" s="72">
        <f t="shared" si="16"/>
        <v>0</v>
      </c>
      <c r="AK26" s="72">
        <f t="shared" si="17"/>
        <v>0</v>
      </c>
      <c r="AL26" s="72">
        <f t="shared" si="18"/>
        <v>0</v>
      </c>
      <c r="AM26" s="72">
        <f t="shared" si="18"/>
        <v>0</v>
      </c>
      <c r="AN26" s="72">
        <f t="shared" si="18"/>
        <v>0</v>
      </c>
      <c r="AP26" s="492"/>
      <c r="AQ26" s="488" t="s">
        <v>353</v>
      </c>
      <c r="AR26" s="495">
        <f>AR24-AR25</f>
        <v>2011.9799999999998</v>
      </c>
      <c r="AV26" s="112" t="s">
        <v>77</v>
      </c>
      <c r="AW26" s="1">
        <v>700</v>
      </c>
      <c r="AY26" s="502" t="s">
        <v>134</v>
      </c>
      <c r="AZ26" s="505">
        <f>AW31</f>
        <v>527.45000000000005</v>
      </c>
    </row>
    <row r="27" spans="2:52" ht="16.5" customHeight="1">
      <c r="B27" s="882"/>
      <c r="C27" s="875"/>
      <c r="D27" s="875"/>
      <c r="E27" s="875"/>
      <c r="F27" s="875"/>
      <c r="G27" s="875"/>
      <c r="H27" s="876"/>
      <c r="I27" s="481"/>
      <c r="J27" s="72">
        <f t="shared" si="19"/>
        <v>0</v>
      </c>
      <c r="K27" s="72">
        <f t="shared" si="20"/>
        <v>0</v>
      </c>
      <c r="L27" s="72">
        <f t="shared" si="21"/>
        <v>0</v>
      </c>
      <c r="M27" s="72">
        <f t="shared" si="22"/>
        <v>0</v>
      </c>
      <c r="N27" s="72">
        <f t="shared" si="23"/>
        <v>0</v>
      </c>
      <c r="O27" s="72">
        <f t="shared" si="24"/>
        <v>0</v>
      </c>
      <c r="P27" s="72">
        <f t="shared" si="25"/>
        <v>0</v>
      </c>
      <c r="Q27" s="72">
        <f t="shared" si="26"/>
        <v>0</v>
      </c>
      <c r="R27" s="72">
        <f t="shared" si="27"/>
        <v>0</v>
      </c>
      <c r="S27" s="72">
        <f t="shared" si="28"/>
        <v>0</v>
      </c>
      <c r="T27" s="72">
        <f t="shared" si="29"/>
        <v>0</v>
      </c>
      <c r="U27" s="72">
        <f t="shared" si="30"/>
        <v>0</v>
      </c>
      <c r="V27" s="72">
        <f t="shared" si="5"/>
        <v>0</v>
      </c>
      <c r="W27" s="72">
        <f t="shared" si="5"/>
        <v>0</v>
      </c>
      <c r="X27" s="72">
        <f t="shared" si="5"/>
        <v>0</v>
      </c>
      <c r="Z27" s="72">
        <f t="shared" si="6"/>
        <v>0</v>
      </c>
      <c r="AA27" s="72">
        <f t="shared" si="7"/>
        <v>0</v>
      </c>
      <c r="AB27" s="72">
        <f t="shared" si="8"/>
        <v>0</v>
      </c>
      <c r="AC27" s="72">
        <f t="shared" si="9"/>
        <v>0</v>
      </c>
      <c r="AD27" s="72">
        <f t="shared" si="10"/>
        <v>0</v>
      </c>
      <c r="AE27" s="72">
        <f t="shared" si="11"/>
        <v>0</v>
      </c>
      <c r="AF27" s="72">
        <f t="shared" si="12"/>
        <v>0</v>
      </c>
      <c r="AG27" s="72">
        <f t="shared" si="13"/>
        <v>0</v>
      </c>
      <c r="AH27" s="72">
        <f t="shared" si="14"/>
        <v>0</v>
      </c>
      <c r="AI27" s="72">
        <f t="shared" si="15"/>
        <v>0</v>
      </c>
      <c r="AJ27" s="72">
        <f t="shared" si="16"/>
        <v>0</v>
      </c>
      <c r="AK27" s="72">
        <f t="shared" si="17"/>
        <v>0</v>
      </c>
      <c r="AL27" s="72">
        <f t="shared" si="18"/>
        <v>0</v>
      </c>
      <c r="AM27" s="72">
        <f t="shared" si="18"/>
        <v>0</v>
      </c>
      <c r="AN27" s="72">
        <f t="shared" si="18"/>
        <v>0</v>
      </c>
      <c r="AP27" s="492"/>
      <c r="AQ27" s="489" t="s">
        <v>351</v>
      </c>
      <c r="AR27" s="486">
        <v>40.96</v>
      </c>
      <c r="AS27" s="867" t="s">
        <v>357</v>
      </c>
      <c r="AT27" s="868"/>
      <c r="AV27" s="112" t="s">
        <v>78</v>
      </c>
      <c r="AW27" s="54"/>
      <c r="AY27" s="502" t="s">
        <v>355</v>
      </c>
      <c r="AZ27" s="165">
        <v>0</v>
      </c>
    </row>
    <row r="28" spans="2:52" ht="17.25" customHeight="1" thickBot="1">
      <c r="B28" s="882"/>
      <c r="C28" s="875"/>
      <c r="D28" s="875"/>
      <c r="E28" s="875"/>
      <c r="F28" s="875"/>
      <c r="G28" s="875"/>
      <c r="H28" s="876"/>
      <c r="I28" s="481"/>
      <c r="J28" s="72">
        <f t="shared" si="19"/>
        <v>0</v>
      </c>
      <c r="K28" s="72">
        <f t="shared" si="20"/>
        <v>0</v>
      </c>
      <c r="L28" s="72">
        <f t="shared" si="21"/>
        <v>0</v>
      </c>
      <c r="M28" s="72">
        <f t="shared" si="22"/>
        <v>0</v>
      </c>
      <c r="N28" s="72">
        <f t="shared" si="23"/>
        <v>0</v>
      </c>
      <c r="O28" s="72">
        <f t="shared" si="24"/>
        <v>0</v>
      </c>
      <c r="P28" s="72">
        <f t="shared" si="25"/>
        <v>0</v>
      </c>
      <c r="Q28" s="72">
        <f t="shared" si="26"/>
        <v>0</v>
      </c>
      <c r="R28" s="72">
        <f t="shared" si="27"/>
        <v>0</v>
      </c>
      <c r="S28" s="72">
        <f t="shared" si="28"/>
        <v>0</v>
      </c>
      <c r="T28" s="72">
        <f t="shared" si="29"/>
        <v>0</v>
      </c>
      <c r="U28" s="72">
        <f t="shared" si="30"/>
        <v>0</v>
      </c>
      <c r="V28" s="72">
        <f t="shared" si="5"/>
        <v>0</v>
      </c>
      <c r="W28" s="72">
        <f t="shared" si="5"/>
        <v>0</v>
      </c>
      <c r="X28" s="72">
        <f t="shared" si="5"/>
        <v>0</v>
      </c>
      <c r="Z28" s="72">
        <f t="shared" si="6"/>
        <v>0</v>
      </c>
      <c r="AA28" s="72">
        <f t="shared" si="7"/>
        <v>0</v>
      </c>
      <c r="AB28" s="72">
        <f t="shared" si="8"/>
        <v>0</v>
      </c>
      <c r="AC28" s="72">
        <f t="shared" si="9"/>
        <v>0</v>
      </c>
      <c r="AD28" s="72">
        <f t="shared" si="10"/>
        <v>0</v>
      </c>
      <c r="AE28" s="72">
        <f t="shared" si="11"/>
        <v>0</v>
      </c>
      <c r="AF28" s="72">
        <f t="shared" si="12"/>
        <v>0</v>
      </c>
      <c r="AG28" s="72">
        <f t="shared" si="13"/>
        <v>0</v>
      </c>
      <c r="AH28" s="72">
        <f t="shared" si="14"/>
        <v>0</v>
      </c>
      <c r="AI28" s="72">
        <f t="shared" si="15"/>
        <v>0</v>
      </c>
      <c r="AJ28" s="72">
        <f t="shared" si="16"/>
        <v>0</v>
      </c>
      <c r="AK28" s="72">
        <f t="shared" si="17"/>
        <v>0</v>
      </c>
      <c r="AL28" s="72">
        <f t="shared" si="18"/>
        <v>0</v>
      </c>
      <c r="AM28" s="72">
        <f t="shared" si="18"/>
        <v>0</v>
      </c>
      <c r="AN28" s="72">
        <f t="shared" si="18"/>
        <v>0</v>
      </c>
      <c r="AP28" s="493"/>
      <c r="AQ28" s="490" t="s">
        <v>352</v>
      </c>
      <c r="AR28" s="500">
        <f>AR27+AR26</f>
        <v>2052.9399999999996</v>
      </c>
      <c r="AS28" s="867"/>
      <c r="AT28" s="868"/>
      <c r="AV28" s="112" t="s">
        <v>45</v>
      </c>
      <c r="AW28" s="1">
        <f>+SUM(AW24:AW27)</f>
        <v>1054.9000000000001</v>
      </c>
      <c r="AY28" s="502" t="s">
        <v>45</v>
      </c>
      <c r="AZ28" s="166">
        <f>AZ24+AZ25+AZ26-AZ27</f>
        <v>760.72</v>
      </c>
    </row>
    <row r="29" spans="2:52" ht="16.5" customHeight="1">
      <c r="B29" s="882"/>
      <c r="C29" s="875"/>
      <c r="D29" s="875"/>
      <c r="E29" s="875"/>
      <c r="F29" s="875"/>
      <c r="G29" s="875"/>
      <c r="H29" s="876"/>
      <c r="I29" s="481"/>
      <c r="J29" s="72">
        <f t="shared" si="19"/>
        <v>0</v>
      </c>
      <c r="K29" s="72">
        <f t="shared" si="20"/>
        <v>0</v>
      </c>
      <c r="L29" s="72">
        <f t="shared" si="21"/>
        <v>0</v>
      </c>
      <c r="M29" s="72">
        <f t="shared" si="22"/>
        <v>0</v>
      </c>
      <c r="N29" s="72">
        <f t="shared" si="23"/>
        <v>0</v>
      </c>
      <c r="O29" s="72">
        <f t="shared" si="24"/>
        <v>0</v>
      </c>
      <c r="P29" s="72">
        <f t="shared" si="25"/>
        <v>0</v>
      </c>
      <c r="Q29" s="72">
        <f t="shared" si="26"/>
        <v>0</v>
      </c>
      <c r="R29" s="72">
        <f t="shared" si="27"/>
        <v>0</v>
      </c>
      <c r="S29" s="72">
        <f t="shared" si="28"/>
        <v>0</v>
      </c>
      <c r="T29" s="72">
        <f t="shared" si="29"/>
        <v>0</v>
      </c>
      <c r="U29" s="72">
        <f t="shared" si="30"/>
        <v>0</v>
      </c>
      <c r="V29" s="72">
        <f t="shared" si="5"/>
        <v>0</v>
      </c>
      <c r="W29" s="72">
        <f t="shared" si="5"/>
        <v>0</v>
      </c>
      <c r="X29" s="72">
        <f t="shared" si="5"/>
        <v>0</v>
      </c>
      <c r="Z29" s="72">
        <f t="shared" si="6"/>
        <v>0</v>
      </c>
      <c r="AA29" s="72">
        <f t="shared" si="7"/>
        <v>0</v>
      </c>
      <c r="AB29" s="72">
        <f t="shared" si="8"/>
        <v>0</v>
      </c>
      <c r="AC29" s="72">
        <f t="shared" si="9"/>
        <v>0</v>
      </c>
      <c r="AD29" s="72">
        <f t="shared" si="10"/>
        <v>0</v>
      </c>
      <c r="AE29" s="72">
        <f t="shared" si="11"/>
        <v>0</v>
      </c>
      <c r="AF29" s="72">
        <f t="shared" si="12"/>
        <v>0</v>
      </c>
      <c r="AG29" s="72">
        <f t="shared" si="13"/>
        <v>0</v>
      </c>
      <c r="AH29" s="72">
        <f t="shared" si="14"/>
        <v>0</v>
      </c>
      <c r="AI29" s="72">
        <f t="shared" si="15"/>
        <v>0</v>
      </c>
      <c r="AJ29" s="72">
        <f t="shared" si="16"/>
        <v>0</v>
      </c>
      <c r="AK29" s="72">
        <f t="shared" si="17"/>
        <v>0</v>
      </c>
      <c r="AL29" s="72">
        <f t="shared" si="18"/>
        <v>0</v>
      </c>
      <c r="AM29" s="72">
        <f t="shared" si="18"/>
        <v>0</v>
      </c>
      <c r="AN29" s="72">
        <f t="shared" si="18"/>
        <v>0</v>
      </c>
      <c r="AR29" s="59">
        <f>AR28-E4</f>
        <v>2034.0399999999995</v>
      </c>
      <c r="AV29" s="112"/>
      <c r="AW29" s="1"/>
    </row>
    <row r="30" spans="2:52" ht="17.25" customHeight="1" thickBot="1">
      <c r="B30" s="882"/>
      <c r="C30" s="875"/>
      <c r="D30" s="875"/>
      <c r="E30" s="875"/>
      <c r="F30" s="875"/>
      <c r="G30" s="875"/>
      <c r="H30" s="876"/>
      <c r="I30" s="481"/>
      <c r="J30" s="72">
        <f t="shared" si="19"/>
        <v>0</v>
      </c>
      <c r="K30" s="72">
        <f t="shared" si="20"/>
        <v>0</v>
      </c>
      <c r="L30" s="72">
        <f t="shared" si="21"/>
        <v>0</v>
      </c>
      <c r="M30" s="72">
        <f t="shared" si="22"/>
        <v>0</v>
      </c>
      <c r="N30" s="72">
        <f t="shared" si="23"/>
        <v>0</v>
      </c>
      <c r="O30" s="72">
        <f t="shared" si="24"/>
        <v>0</v>
      </c>
      <c r="P30" s="72">
        <f t="shared" si="25"/>
        <v>0</v>
      </c>
      <c r="Q30" s="72">
        <f t="shared" si="26"/>
        <v>0</v>
      </c>
      <c r="R30" s="72">
        <f t="shared" si="27"/>
        <v>0</v>
      </c>
      <c r="S30" s="72">
        <f t="shared" si="28"/>
        <v>0</v>
      </c>
      <c r="T30" s="72">
        <f t="shared" si="29"/>
        <v>0</v>
      </c>
      <c r="U30" s="72">
        <f t="shared" si="30"/>
        <v>0</v>
      </c>
      <c r="V30" s="72">
        <f t="shared" si="5"/>
        <v>0</v>
      </c>
      <c r="W30" s="72">
        <f t="shared" si="5"/>
        <v>0</v>
      </c>
      <c r="X30" s="72">
        <f t="shared" si="5"/>
        <v>0</v>
      </c>
      <c r="Z30" s="72">
        <f t="shared" si="6"/>
        <v>0</v>
      </c>
      <c r="AA30" s="72">
        <f t="shared" si="7"/>
        <v>0</v>
      </c>
      <c r="AB30" s="72">
        <f t="shared" si="8"/>
        <v>0</v>
      </c>
      <c r="AC30" s="72">
        <f t="shared" si="9"/>
        <v>0</v>
      </c>
      <c r="AD30" s="72">
        <f t="shared" si="10"/>
        <v>0</v>
      </c>
      <c r="AE30" s="72">
        <f t="shared" si="11"/>
        <v>0</v>
      </c>
      <c r="AF30" s="72">
        <f t="shared" si="12"/>
        <v>0</v>
      </c>
      <c r="AG30" s="72">
        <f t="shared" si="13"/>
        <v>0</v>
      </c>
      <c r="AH30" s="72">
        <f t="shared" si="14"/>
        <v>0</v>
      </c>
      <c r="AI30" s="72">
        <f t="shared" si="15"/>
        <v>0</v>
      </c>
      <c r="AJ30" s="72">
        <f t="shared" si="16"/>
        <v>0</v>
      </c>
      <c r="AK30" s="72">
        <f t="shared" si="17"/>
        <v>0</v>
      </c>
      <c r="AL30" s="72">
        <f t="shared" si="18"/>
        <v>0</v>
      </c>
      <c r="AM30" s="72">
        <f t="shared" si="18"/>
        <v>0</v>
      </c>
      <c r="AN30" s="72">
        <f t="shared" si="18"/>
        <v>0</v>
      </c>
      <c r="AV30" s="1"/>
      <c r="AW30" s="1"/>
      <c r="AY30" s="485" t="s">
        <v>386</v>
      </c>
      <c r="AZ30" s="509">
        <f>AZ25+AZ24-AY6</f>
        <v>115.96000000000001</v>
      </c>
    </row>
    <row r="31" spans="2:52" ht="17.25" customHeight="1" thickBot="1">
      <c r="B31" s="882"/>
      <c r="C31" s="875"/>
      <c r="D31" s="875"/>
      <c r="E31" s="875"/>
      <c r="F31" s="875"/>
      <c r="G31" s="875"/>
      <c r="H31" s="876"/>
      <c r="I31" s="481"/>
      <c r="J31" s="72">
        <f t="shared" si="19"/>
        <v>0</v>
      </c>
      <c r="K31" s="72">
        <f t="shared" si="20"/>
        <v>0</v>
      </c>
      <c r="L31" s="72">
        <f t="shared" si="21"/>
        <v>0</v>
      </c>
      <c r="M31" s="72">
        <f t="shared" si="22"/>
        <v>0</v>
      </c>
      <c r="N31" s="72">
        <f t="shared" si="23"/>
        <v>0</v>
      </c>
      <c r="O31" s="72">
        <f t="shared" si="24"/>
        <v>0</v>
      </c>
      <c r="P31" s="72">
        <f t="shared" si="25"/>
        <v>0</v>
      </c>
      <c r="Q31" s="72">
        <f t="shared" si="26"/>
        <v>0</v>
      </c>
      <c r="R31" s="72">
        <f t="shared" si="27"/>
        <v>0</v>
      </c>
      <c r="S31" s="72">
        <f t="shared" si="28"/>
        <v>0</v>
      </c>
      <c r="T31" s="72">
        <f t="shared" si="29"/>
        <v>0</v>
      </c>
      <c r="U31" s="72">
        <f t="shared" si="30"/>
        <v>0</v>
      </c>
      <c r="V31" s="72">
        <f t="shared" si="5"/>
        <v>0</v>
      </c>
      <c r="W31" s="72">
        <f t="shared" si="5"/>
        <v>0</v>
      </c>
      <c r="X31" s="72">
        <f t="shared" si="5"/>
        <v>0</v>
      </c>
      <c r="Z31" s="72">
        <f t="shared" si="6"/>
        <v>0</v>
      </c>
      <c r="AA31" s="72">
        <f t="shared" si="7"/>
        <v>0</v>
      </c>
      <c r="AB31" s="72">
        <f t="shared" si="8"/>
        <v>0</v>
      </c>
      <c r="AC31" s="72">
        <f t="shared" si="9"/>
        <v>0</v>
      </c>
      <c r="AD31" s="72">
        <f t="shared" si="10"/>
        <v>0</v>
      </c>
      <c r="AE31" s="72">
        <f t="shared" si="11"/>
        <v>0</v>
      </c>
      <c r="AF31" s="72">
        <f t="shared" si="12"/>
        <v>0</v>
      </c>
      <c r="AG31" s="72">
        <f t="shared" si="13"/>
        <v>0</v>
      </c>
      <c r="AH31" s="72">
        <f t="shared" si="14"/>
        <v>0</v>
      </c>
      <c r="AI31" s="72">
        <f t="shared" si="15"/>
        <v>0</v>
      </c>
      <c r="AJ31" s="72">
        <f t="shared" si="16"/>
        <v>0</v>
      </c>
      <c r="AK31" s="72">
        <f t="shared" si="17"/>
        <v>0</v>
      </c>
      <c r="AL31" s="72">
        <f t="shared" si="18"/>
        <v>0</v>
      </c>
      <c r="AM31" s="72">
        <f t="shared" si="18"/>
        <v>0</v>
      </c>
      <c r="AN31" s="72">
        <f t="shared" si="18"/>
        <v>0</v>
      </c>
      <c r="AQ31" s="485" t="s">
        <v>67</v>
      </c>
      <c r="AR31" s="496">
        <f>AR27+AS17</f>
        <v>233.27</v>
      </c>
      <c r="AV31" s="112" t="s">
        <v>80</v>
      </c>
      <c r="AW31" s="113">
        <f>AW28/2</f>
        <v>527.45000000000005</v>
      </c>
    </row>
    <row r="32" spans="2:52" ht="16.5" customHeight="1">
      <c r="B32" s="882"/>
      <c r="C32" s="875"/>
      <c r="D32" s="875"/>
      <c r="E32" s="875"/>
      <c r="F32" s="875"/>
      <c r="G32" s="875"/>
      <c r="H32" s="876"/>
      <c r="I32" s="481"/>
      <c r="J32" s="72">
        <f t="shared" si="19"/>
        <v>0</v>
      </c>
      <c r="K32" s="72">
        <f t="shared" si="20"/>
        <v>0</v>
      </c>
      <c r="L32" s="72">
        <f t="shared" si="21"/>
        <v>0</v>
      </c>
      <c r="M32" s="72">
        <f t="shared" si="22"/>
        <v>0</v>
      </c>
      <c r="N32" s="72">
        <f t="shared" si="23"/>
        <v>0</v>
      </c>
      <c r="O32" s="72">
        <f t="shared" si="24"/>
        <v>0</v>
      </c>
      <c r="P32" s="72">
        <f t="shared" si="25"/>
        <v>0</v>
      </c>
      <c r="Q32" s="72">
        <f t="shared" si="26"/>
        <v>0</v>
      </c>
      <c r="R32" s="72">
        <f t="shared" si="27"/>
        <v>0</v>
      </c>
      <c r="S32" s="72">
        <f t="shared" si="28"/>
        <v>0</v>
      </c>
      <c r="T32" s="72">
        <f t="shared" si="29"/>
        <v>0</v>
      </c>
      <c r="U32" s="72">
        <f t="shared" si="30"/>
        <v>0</v>
      </c>
      <c r="V32" s="72">
        <f t="shared" si="5"/>
        <v>0</v>
      </c>
      <c r="W32" s="72">
        <f t="shared" si="5"/>
        <v>0</v>
      </c>
      <c r="X32" s="72">
        <f t="shared" si="5"/>
        <v>0</v>
      </c>
      <c r="Z32" s="72">
        <f t="shared" si="6"/>
        <v>0</v>
      </c>
      <c r="AA32" s="72">
        <f t="shared" si="7"/>
        <v>0</v>
      </c>
      <c r="AB32" s="72">
        <f t="shared" si="8"/>
        <v>0</v>
      </c>
      <c r="AC32" s="72">
        <f t="shared" si="9"/>
        <v>0</v>
      </c>
      <c r="AD32" s="72">
        <f t="shared" si="10"/>
        <v>0</v>
      </c>
      <c r="AE32" s="72">
        <f t="shared" si="11"/>
        <v>0</v>
      </c>
      <c r="AF32" s="72">
        <f t="shared" si="12"/>
        <v>0</v>
      </c>
      <c r="AG32" s="72">
        <f t="shared" si="13"/>
        <v>0</v>
      </c>
      <c r="AH32" s="72">
        <f t="shared" si="14"/>
        <v>0</v>
      </c>
      <c r="AI32" s="72">
        <f t="shared" si="15"/>
        <v>0</v>
      </c>
      <c r="AJ32" s="72">
        <f t="shared" si="16"/>
        <v>0</v>
      </c>
      <c r="AK32" s="72">
        <f t="shared" si="17"/>
        <v>0</v>
      </c>
      <c r="AL32" s="72">
        <f t="shared" si="18"/>
        <v>0</v>
      </c>
      <c r="AM32" s="72">
        <f t="shared" si="18"/>
        <v>0</v>
      </c>
      <c r="AN32" s="72">
        <f t="shared" si="18"/>
        <v>0</v>
      </c>
      <c r="AQ32" s="485" t="s">
        <v>65</v>
      </c>
      <c r="AR32" s="496">
        <f>AT17</f>
        <v>1995.64</v>
      </c>
      <c r="AY32" s="485" t="s">
        <v>389</v>
      </c>
      <c r="AZ32" s="509">
        <f>AT17-AY4</f>
        <v>1936.98</v>
      </c>
    </row>
    <row r="33" spans="2:52" ht="17.25" customHeight="1" thickBot="1">
      <c r="B33" s="882"/>
      <c r="C33" s="875"/>
      <c r="D33" s="875"/>
      <c r="E33" s="875"/>
      <c r="F33" s="875"/>
      <c r="G33" s="875"/>
      <c r="H33" s="876"/>
      <c r="I33" s="481"/>
      <c r="J33" s="72">
        <f t="shared" si="19"/>
        <v>0</v>
      </c>
      <c r="K33" s="72">
        <f t="shared" si="20"/>
        <v>0</v>
      </c>
      <c r="L33" s="72">
        <f t="shared" si="21"/>
        <v>0</v>
      </c>
      <c r="M33" s="72">
        <f t="shared" si="22"/>
        <v>0</v>
      </c>
      <c r="N33" s="72">
        <f t="shared" si="23"/>
        <v>0</v>
      </c>
      <c r="O33" s="72">
        <f t="shared" si="24"/>
        <v>0</v>
      </c>
      <c r="P33" s="72">
        <f t="shared" si="25"/>
        <v>0</v>
      </c>
      <c r="Q33" s="72">
        <f t="shared" si="26"/>
        <v>0</v>
      </c>
      <c r="R33" s="72">
        <f t="shared" si="27"/>
        <v>0</v>
      </c>
      <c r="S33" s="72">
        <f t="shared" si="28"/>
        <v>0</v>
      </c>
      <c r="T33" s="72">
        <f t="shared" si="29"/>
        <v>0</v>
      </c>
      <c r="U33" s="72">
        <f t="shared" si="30"/>
        <v>0</v>
      </c>
      <c r="V33" s="72">
        <f t="shared" si="5"/>
        <v>0</v>
      </c>
      <c r="W33" s="72">
        <f t="shared" si="5"/>
        <v>0</v>
      </c>
      <c r="X33" s="72">
        <f t="shared" si="5"/>
        <v>0</v>
      </c>
      <c r="Z33" s="72">
        <f t="shared" si="6"/>
        <v>0</v>
      </c>
      <c r="AA33" s="72">
        <f t="shared" si="7"/>
        <v>0</v>
      </c>
      <c r="AB33" s="72">
        <f t="shared" si="8"/>
        <v>0</v>
      </c>
      <c r="AC33" s="72">
        <f t="shared" si="9"/>
        <v>0</v>
      </c>
      <c r="AD33" s="72">
        <f t="shared" si="10"/>
        <v>0</v>
      </c>
      <c r="AE33" s="72">
        <f t="shared" si="11"/>
        <v>0</v>
      </c>
      <c r="AF33" s="72">
        <f t="shared" si="12"/>
        <v>0</v>
      </c>
      <c r="AG33" s="72">
        <f t="shared" si="13"/>
        <v>0</v>
      </c>
      <c r="AH33" s="72">
        <f t="shared" si="14"/>
        <v>0</v>
      </c>
      <c r="AI33" s="72">
        <f t="shared" si="15"/>
        <v>0</v>
      </c>
      <c r="AJ33" s="72">
        <f t="shared" si="16"/>
        <v>0</v>
      </c>
      <c r="AK33" s="72">
        <f t="shared" si="17"/>
        <v>0</v>
      </c>
      <c r="AL33" s="72">
        <f t="shared" si="18"/>
        <v>0</v>
      </c>
      <c r="AM33" s="72">
        <f t="shared" si="18"/>
        <v>0</v>
      </c>
      <c r="AN33" s="72">
        <f t="shared" si="18"/>
        <v>0</v>
      </c>
      <c r="AR33" s="59"/>
    </row>
    <row r="34" spans="2:52" ht="17.25" customHeight="1" thickBot="1">
      <c r="B34" s="882"/>
      <c r="C34" s="875"/>
      <c r="D34" s="875"/>
      <c r="E34" s="875"/>
      <c r="F34" s="875"/>
      <c r="G34" s="875"/>
      <c r="H34" s="876"/>
      <c r="I34" s="481"/>
      <c r="J34" s="72">
        <f t="shared" si="19"/>
        <v>0</v>
      </c>
      <c r="K34" s="72">
        <f t="shared" si="20"/>
        <v>0</v>
      </c>
      <c r="L34" s="72">
        <f t="shared" si="21"/>
        <v>0</v>
      </c>
      <c r="M34" s="72">
        <f t="shared" si="22"/>
        <v>0</v>
      </c>
      <c r="N34" s="72">
        <f t="shared" si="23"/>
        <v>0</v>
      </c>
      <c r="O34" s="72">
        <f t="shared" si="24"/>
        <v>0</v>
      </c>
      <c r="P34" s="72">
        <f t="shared" si="25"/>
        <v>0</v>
      </c>
      <c r="Q34" s="72">
        <f t="shared" si="26"/>
        <v>0</v>
      </c>
      <c r="R34" s="72">
        <f t="shared" si="27"/>
        <v>0</v>
      </c>
      <c r="S34" s="72">
        <f t="shared" si="28"/>
        <v>0</v>
      </c>
      <c r="T34" s="72">
        <f t="shared" si="29"/>
        <v>0</v>
      </c>
      <c r="U34" s="72">
        <f t="shared" si="30"/>
        <v>0</v>
      </c>
      <c r="V34" s="72">
        <f t="shared" si="5"/>
        <v>0</v>
      </c>
      <c r="W34" s="72">
        <f t="shared" si="5"/>
        <v>0</v>
      </c>
      <c r="X34" s="72">
        <f t="shared" si="5"/>
        <v>0</v>
      </c>
      <c r="Z34" s="72">
        <f t="shared" si="6"/>
        <v>0</v>
      </c>
      <c r="AA34" s="72">
        <f t="shared" si="7"/>
        <v>0</v>
      </c>
      <c r="AB34" s="72">
        <f t="shared" si="8"/>
        <v>0</v>
      </c>
      <c r="AC34" s="72">
        <f t="shared" si="9"/>
        <v>0</v>
      </c>
      <c r="AD34" s="72">
        <f t="shared" si="10"/>
        <v>0</v>
      </c>
      <c r="AE34" s="72">
        <f t="shared" si="11"/>
        <v>0</v>
      </c>
      <c r="AF34" s="72">
        <f t="shared" si="12"/>
        <v>0</v>
      </c>
      <c r="AG34" s="72">
        <f t="shared" si="13"/>
        <v>0</v>
      </c>
      <c r="AH34" s="72">
        <f t="shared" si="14"/>
        <v>0</v>
      </c>
      <c r="AI34" s="72">
        <f t="shared" si="15"/>
        <v>0</v>
      </c>
      <c r="AJ34" s="72">
        <f t="shared" si="16"/>
        <v>0</v>
      </c>
      <c r="AK34" s="72">
        <f t="shared" si="17"/>
        <v>0</v>
      </c>
      <c r="AL34" s="72">
        <f t="shared" si="18"/>
        <v>0</v>
      </c>
      <c r="AM34" s="72">
        <f t="shared" si="18"/>
        <v>0</v>
      </c>
      <c r="AN34" s="72">
        <f t="shared" si="18"/>
        <v>0</v>
      </c>
      <c r="AR34" s="497">
        <f>AR32+AR31</f>
        <v>2228.9100000000003</v>
      </c>
      <c r="AS34" s="498" t="s">
        <v>354</v>
      </c>
      <c r="AT34" s="499">
        <f>AR24+AR27</f>
        <v>2228.91</v>
      </c>
      <c r="AZ34" s="513">
        <f>AZ32+AZ30</f>
        <v>2052.94</v>
      </c>
    </row>
    <row r="35" spans="2:52" ht="0.75" customHeight="1">
      <c r="B35" s="60"/>
      <c r="C35" s="62"/>
      <c r="D35" s="79"/>
      <c r="E35" s="56"/>
      <c r="F35" s="76"/>
      <c r="G35" s="77">
        <f t="shared" si="35"/>
        <v>0</v>
      </c>
      <c r="H35" s="78">
        <f t="shared" si="36"/>
        <v>0</v>
      </c>
      <c r="I35" s="481"/>
      <c r="J35" s="72">
        <f t="shared" si="19"/>
        <v>0</v>
      </c>
      <c r="K35" s="72">
        <f t="shared" si="20"/>
        <v>0</v>
      </c>
      <c r="L35" s="72">
        <f t="shared" si="21"/>
        <v>0</v>
      </c>
      <c r="M35" s="72">
        <f t="shared" si="22"/>
        <v>0</v>
      </c>
      <c r="N35" s="72">
        <f t="shared" si="23"/>
        <v>0</v>
      </c>
      <c r="O35" s="72">
        <f t="shared" si="24"/>
        <v>0</v>
      </c>
      <c r="P35" s="72">
        <f t="shared" si="25"/>
        <v>0</v>
      </c>
      <c r="Q35" s="72">
        <f t="shared" si="26"/>
        <v>0</v>
      </c>
      <c r="R35" s="72">
        <f t="shared" si="27"/>
        <v>0</v>
      </c>
      <c r="S35" s="72">
        <f t="shared" si="28"/>
        <v>0</v>
      </c>
      <c r="T35" s="72">
        <f t="shared" si="29"/>
        <v>0</v>
      </c>
      <c r="U35" s="72">
        <f t="shared" si="30"/>
        <v>0</v>
      </c>
      <c r="V35" s="72">
        <f t="shared" si="5"/>
        <v>0</v>
      </c>
      <c r="W35" s="72">
        <f t="shared" si="5"/>
        <v>0</v>
      </c>
      <c r="X35" s="72">
        <f t="shared" si="5"/>
        <v>0</v>
      </c>
      <c r="Z35" s="72">
        <f t="shared" si="6"/>
        <v>0</v>
      </c>
      <c r="AA35" s="72">
        <f t="shared" si="7"/>
        <v>0</v>
      </c>
      <c r="AB35" s="72">
        <f t="shared" si="8"/>
        <v>0</v>
      </c>
      <c r="AC35" s="72">
        <f t="shared" si="9"/>
        <v>0</v>
      </c>
      <c r="AD35" s="72">
        <f t="shared" si="10"/>
        <v>0</v>
      </c>
      <c r="AE35" s="72">
        <f t="shared" si="11"/>
        <v>0</v>
      </c>
      <c r="AF35" s="72">
        <f t="shared" si="12"/>
        <v>0</v>
      </c>
      <c r="AG35" s="72">
        <f t="shared" si="13"/>
        <v>0</v>
      </c>
      <c r="AH35" s="72">
        <f t="shared" si="14"/>
        <v>0</v>
      </c>
      <c r="AI35" s="72">
        <f t="shared" si="15"/>
        <v>0</v>
      </c>
      <c r="AJ35" s="72">
        <f t="shared" si="16"/>
        <v>0</v>
      </c>
      <c r="AK35" s="72">
        <f t="shared" si="17"/>
        <v>0</v>
      </c>
      <c r="AL35" s="72">
        <f t="shared" si="18"/>
        <v>0</v>
      </c>
      <c r="AM35" s="72">
        <f t="shared" si="18"/>
        <v>0</v>
      </c>
      <c r="AN35" s="72">
        <f t="shared" si="18"/>
        <v>0</v>
      </c>
    </row>
    <row r="36" spans="2:52" ht="7.5" hidden="1" customHeight="1">
      <c r="B36" s="60"/>
      <c r="C36" s="62"/>
      <c r="D36" s="79"/>
      <c r="E36" s="56"/>
      <c r="F36" s="76"/>
      <c r="G36" s="77">
        <f t="shared" si="35"/>
        <v>0</v>
      </c>
      <c r="H36" s="78">
        <f t="shared" si="36"/>
        <v>0</v>
      </c>
      <c r="I36" s="481"/>
      <c r="J36" s="72">
        <f t="shared" si="19"/>
        <v>0</v>
      </c>
      <c r="K36" s="72">
        <f t="shared" si="20"/>
        <v>0</v>
      </c>
      <c r="L36" s="72">
        <f t="shared" si="21"/>
        <v>0</v>
      </c>
      <c r="M36" s="72">
        <f t="shared" si="22"/>
        <v>0</v>
      </c>
      <c r="N36" s="72">
        <f t="shared" si="23"/>
        <v>0</v>
      </c>
      <c r="O36" s="72">
        <f t="shared" si="24"/>
        <v>0</v>
      </c>
      <c r="P36" s="72">
        <f t="shared" si="25"/>
        <v>0</v>
      </c>
      <c r="Q36" s="72">
        <f t="shared" si="26"/>
        <v>0</v>
      </c>
      <c r="R36" s="72">
        <f t="shared" si="27"/>
        <v>0</v>
      </c>
      <c r="S36" s="72">
        <f t="shared" si="28"/>
        <v>0</v>
      </c>
      <c r="T36" s="72">
        <f t="shared" si="29"/>
        <v>0</v>
      </c>
      <c r="U36" s="72">
        <f t="shared" si="30"/>
        <v>0</v>
      </c>
      <c r="V36" s="72">
        <f t="shared" ref="V36:X62" si="37">IF($D36=V$2,$H36,0)</f>
        <v>0</v>
      </c>
      <c r="W36" s="72">
        <f t="shared" si="37"/>
        <v>0</v>
      </c>
      <c r="X36" s="72">
        <f t="shared" si="37"/>
        <v>0</v>
      </c>
      <c r="Z36" s="72">
        <f t="shared" si="6"/>
        <v>0</v>
      </c>
      <c r="AA36" s="72">
        <f t="shared" si="7"/>
        <v>0</v>
      </c>
      <c r="AB36" s="72">
        <f t="shared" si="8"/>
        <v>0</v>
      </c>
      <c r="AC36" s="72">
        <f t="shared" si="9"/>
        <v>0</v>
      </c>
      <c r="AD36" s="72">
        <f t="shared" si="10"/>
        <v>0</v>
      </c>
      <c r="AE36" s="72">
        <f t="shared" si="11"/>
        <v>0</v>
      </c>
      <c r="AF36" s="72">
        <f t="shared" si="12"/>
        <v>0</v>
      </c>
      <c r="AG36" s="72">
        <f t="shared" si="13"/>
        <v>0</v>
      </c>
      <c r="AH36" s="72">
        <f t="shared" si="14"/>
        <v>0</v>
      </c>
      <c r="AI36" s="72">
        <f t="shared" si="15"/>
        <v>0</v>
      </c>
      <c r="AJ36" s="72">
        <f t="shared" si="16"/>
        <v>0</v>
      </c>
      <c r="AK36" s="72">
        <f t="shared" si="17"/>
        <v>0</v>
      </c>
      <c r="AL36" s="72">
        <f t="shared" si="18"/>
        <v>0</v>
      </c>
      <c r="AM36" s="72">
        <f t="shared" si="18"/>
        <v>0</v>
      </c>
      <c r="AN36" s="72">
        <f t="shared" si="18"/>
        <v>0</v>
      </c>
    </row>
    <row r="37" spans="2:52" ht="16.5" hidden="1" customHeight="1">
      <c r="B37" s="60"/>
      <c r="C37" s="62"/>
      <c r="D37" s="79"/>
      <c r="E37" s="56"/>
      <c r="F37" s="76"/>
      <c r="G37" s="77">
        <f t="shared" si="35"/>
        <v>0</v>
      </c>
      <c r="H37" s="78">
        <f t="shared" si="36"/>
        <v>0</v>
      </c>
      <c r="I37" s="481"/>
      <c r="J37" s="72">
        <f t="shared" si="19"/>
        <v>0</v>
      </c>
      <c r="K37" s="72">
        <f t="shared" si="20"/>
        <v>0</v>
      </c>
      <c r="L37" s="72">
        <f t="shared" si="21"/>
        <v>0</v>
      </c>
      <c r="M37" s="72">
        <f t="shared" si="22"/>
        <v>0</v>
      </c>
      <c r="N37" s="72">
        <f t="shared" si="23"/>
        <v>0</v>
      </c>
      <c r="O37" s="72">
        <f t="shared" si="24"/>
        <v>0</v>
      </c>
      <c r="P37" s="72">
        <f t="shared" si="25"/>
        <v>0</v>
      </c>
      <c r="Q37" s="72">
        <f t="shared" si="26"/>
        <v>0</v>
      </c>
      <c r="R37" s="72">
        <f t="shared" si="27"/>
        <v>0</v>
      </c>
      <c r="S37" s="72">
        <f t="shared" si="28"/>
        <v>0</v>
      </c>
      <c r="T37" s="72">
        <f t="shared" si="29"/>
        <v>0</v>
      </c>
      <c r="U37" s="72">
        <f t="shared" si="30"/>
        <v>0</v>
      </c>
      <c r="V37" s="72">
        <f t="shared" si="37"/>
        <v>0</v>
      </c>
      <c r="W37" s="72">
        <f t="shared" si="37"/>
        <v>0</v>
      </c>
      <c r="X37" s="72">
        <f t="shared" si="37"/>
        <v>0</v>
      </c>
      <c r="Z37" s="72">
        <f t="shared" si="6"/>
        <v>0</v>
      </c>
      <c r="AA37" s="72">
        <f t="shared" si="7"/>
        <v>0</v>
      </c>
      <c r="AB37" s="72">
        <f t="shared" si="8"/>
        <v>0</v>
      </c>
      <c r="AC37" s="72">
        <f t="shared" si="9"/>
        <v>0</v>
      </c>
      <c r="AD37" s="72">
        <f t="shared" si="10"/>
        <v>0</v>
      </c>
      <c r="AE37" s="72">
        <f t="shared" si="11"/>
        <v>0</v>
      </c>
      <c r="AF37" s="72">
        <f t="shared" si="12"/>
        <v>0</v>
      </c>
      <c r="AG37" s="72">
        <f t="shared" si="13"/>
        <v>0</v>
      </c>
      <c r="AH37" s="72">
        <f t="shared" si="14"/>
        <v>0</v>
      </c>
      <c r="AI37" s="72">
        <f t="shared" si="15"/>
        <v>0</v>
      </c>
      <c r="AJ37" s="72">
        <f t="shared" si="16"/>
        <v>0</v>
      </c>
      <c r="AK37" s="72">
        <f t="shared" si="17"/>
        <v>0</v>
      </c>
      <c r="AL37" s="72">
        <f t="shared" si="18"/>
        <v>0</v>
      </c>
      <c r="AM37" s="72">
        <f t="shared" si="18"/>
        <v>0</v>
      </c>
      <c r="AN37" s="72">
        <f t="shared" si="18"/>
        <v>0</v>
      </c>
    </row>
    <row r="38" spans="2:52" ht="16.5" hidden="1" customHeight="1">
      <c r="B38" s="60"/>
      <c r="C38" s="62"/>
      <c r="D38" s="79"/>
      <c r="E38" s="56"/>
      <c r="F38" s="76"/>
      <c r="G38" s="77">
        <f t="shared" si="35"/>
        <v>0</v>
      </c>
      <c r="H38" s="78">
        <f t="shared" si="36"/>
        <v>0</v>
      </c>
      <c r="I38" s="481"/>
      <c r="J38" s="72">
        <f t="shared" si="19"/>
        <v>0</v>
      </c>
      <c r="K38" s="72">
        <f t="shared" si="20"/>
        <v>0</v>
      </c>
      <c r="L38" s="72">
        <f t="shared" si="21"/>
        <v>0</v>
      </c>
      <c r="M38" s="72">
        <f t="shared" si="22"/>
        <v>0</v>
      </c>
      <c r="N38" s="72">
        <f t="shared" si="23"/>
        <v>0</v>
      </c>
      <c r="O38" s="72">
        <f t="shared" si="24"/>
        <v>0</v>
      </c>
      <c r="P38" s="72">
        <f t="shared" si="25"/>
        <v>0</v>
      </c>
      <c r="Q38" s="72">
        <f t="shared" si="26"/>
        <v>0</v>
      </c>
      <c r="R38" s="72">
        <f t="shared" si="27"/>
        <v>0</v>
      </c>
      <c r="S38" s="72">
        <f t="shared" si="28"/>
        <v>0</v>
      </c>
      <c r="T38" s="72">
        <f t="shared" si="29"/>
        <v>0</v>
      </c>
      <c r="U38" s="72">
        <f t="shared" si="30"/>
        <v>0</v>
      </c>
      <c r="V38" s="72">
        <f t="shared" si="37"/>
        <v>0</v>
      </c>
      <c r="W38" s="72">
        <f t="shared" si="37"/>
        <v>0</v>
      </c>
      <c r="X38" s="72">
        <f t="shared" si="37"/>
        <v>0</v>
      </c>
      <c r="Z38" s="72">
        <f t="shared" si="6"/>
        <v>0</v>
      </c>
      <c r="AA38" s="72">
        <f t="shared" si="7"/>
        <v>0</v>
      </c>
      <c r="AB38" s="72">
        <f t="shared" si="8"/>
        <v>0</v>
      </c>
      <c r="AC38" s="72">
        <f t="shared" si="9"/>
        <v>0</v>
      </c>
      <c r="AD38" s="72">
        <f t="shared" si="10"/>
        <v>0</v>
      </c>
      <c r="AE38" s="72">
        <f t="shared" si="11"/>
        <v>0</v>
      </c>
      <c r="AF38" s="72">
        <f t="shared" si="12"/>
        <v>0</v>
      </c>
      <c r="AG38" s="72">
        <f t="shared" si="13"/>
        <v>0</v>
      </c>
      <c r="AH38" s="72">
        <f t="shared" si="14"/>
        <v>0</v>
      </c>
      <c r="AI38" s="72">
        <f t="shared" si="15"/>
        <v>0</v>
      </c>
      <c r="AJ38" s="72">
        <f t="shared" si="16"/>
        <v>0</v>
      </c>
      <c r="AK38" s="72">
        <f t="shared" si="17"/>
        <v>0</v>
      </c>
      <c r="AL38" s="72">
        <f t="shared" si="18"/>
        <v>0</v>
      </c>
      <c r="AM38" s="72">
        <f t="shared" si="18"/>
        <v>0</v>
      </c>
      <c r="AN38" s="72">
        <f t="shared" si="18"/>
        <v>0</v>
      </c>
    </row>
    <row r="39" spans="2:52" ht="16.5" hidden="1" customHeight="1">
      <c r="B39" s="60"/>
      <c r="C39" s="62"/>
      <c r="D39" s="79"/>
      <c r="E39" s="56"/>
      <c r="F39" s="76"/>
      <c r="G39" s="77">
        <f t="shared" si="35"/>
        <v>0</v>
      </c>
      <c r="H39" s="78">
        <f t="shared" si="36"/>
        <v>0</v>
      </c>
      <c r="I39" s="481"/>
      <c r="J39" s="72">
        <f t="shared" si="19"/>
        <v>0</v>
      </c>
      <c r="K39" s="72">
        <f t="shared" si="20"/>
        <v>0</v>
      </c>
      <c r="L39" s="72">
        <f t="shared" si="21"/>
        <v>0</v>
      </c>
      <c r="M39" s="72">
        <f t="shared" si="22"/>
        <v>0</v>
      </c>
      <c r="N39" s="72">
        <f t="shared" si="23"/>
        <v>0</v>
      </c>
      <c r="O39" s="72">
        <f t="shared" si="24"/>
        <v>0</v>
      </c>
      <c r="P39" s="72">
        <f t="shared" si="25"/>
        <v>0</v>
      </c>
      <c r="Q39" s="72">
        <f t="shared" si="26"/>
        <v>0</v>
      </c>
      <c r="R39" s="72">
        <f t="shared" si="27"/>
        <v>0</v>
      </c>
      <c r="S39" s="72">
        <f t="shared" si="28"/>
        <v>0</v>
      </c>
      <c r="T39" s="72">
        <f t="shared" si="29"/>
        <v>0</v>
      </c>
      <c r="U39" s="72">
        <f t="shared" si="30"/>
        <v>0</v>
      </c>
      <c r="V39" s="72">
        <f t="shared" si="37"/>
        <v>0</v>
      </c>
      <c r="W39" s="72">
        <f t="shared" si="37"/>
        <v>0</v>
      </c>
      <c r="X39" s="72">
        <f t="shared" si="37"/>
        <v>0</v>
      </c>
      <c r="Z39" s="72">
        <f t="shared" si="6"/>
        <v>0</v>
      </c>
      <c r="AA39" s="72">
        <f t="shared" si="7"/>
        <v>0</v>
      </c>
      <c r="AB39" s="72">
        <f t="shared" si="8"/>
        <v>0</v>
      </c>
      <c r="AC39" s="72">
        <f t="shared" si="9"/>
        <v>0</v>
      </c>
      <c r="AD39" s="72">
        <f t="shared" si="10"/>
        <v>0</v>
      </c>
      <c r="AE39" s="72">
        <f t="shared" si="11"/>
        <v>0</v>
      </c>
      <c r="AF39" s="72">
        <f t="shared" si="12"/>
        <v>0</v>
      </c>
      <c r="AG39" s="72">
        <f t="shared" si="13"/>
        <v>0</v>
      </c>
      <c r="AH39" s="72">
        <f t="shared" si="14"/>
        <v>0</v>
      </c>
      <c r="AI39" s="72">
        <f t="shared" si="15"/>
        <v>0</v>
      </c>
      <c r="AJ39" s="72">
        <f t="shared" si="16"/>
        <v>0</v>
      </c>
      <c r="AK39" s="72">
        <f t="shared" si="17"/>
        <v>0</v>
      </c>
      <c r="AL39" s="72">
        <f t="shared" si="18"/>
        <v>0</v>
      </c>
      <c r="AM39" s="72">
        <f t="shared" si="18"/>
        <v>0</v>
      </c>
      <c r="AN39" s="72">
        <f t="shared" si="18"/>
        <v>0</v>
      </c>
      <c r="AZ39" s="55">
        <v>1834.19</v>
      </c>
    </row>
    <row r="40" spans="2:52" hidden="1">
      <c r="B40" s="60"/>
      <c r="C40" s="62"/>
      <c r="D40" s="79"/>
      <c r="E40" s="56"/>
      <c r="F40" s="76"/>
      <c r="G40" s="77">
        <f t="shared" si="35"/>
        <v>0</v>
      </c>
      <c r="H40" s="78">
        <f t="shared" si="36"/>
        <v>0</v>
      </c>
      <c r="I40" s="481"/>
      <c r="J40" s="72">
        <f>IF($D40="ALIMENTAÇÃO",$H40,0)</f>
        <v>0</v>
      </c>
      <c r="K40" s="72">
        <f>IF($D40="ANIMAIS",$H40,0)</f>
        <v>0</v>
      </c>
      <c r="L40" s="72">
        <f>IF($D40="FILHO",$H40,0)</f>
        <v>0</v>
      </c>
      <c r="M40" s="72">
        <f>IF($D40="GASOLINA",$H40,0)</f>
        <v>0</v>
      </c>
      <c r="N40" s="72">
        <f>IF($D40="LAZER",$H40,0)</f>
        <v>0</v>
      </c>
      <c r="O40" s="72">
        <f>IF($D40="MANUT. IMÓVEL",$H40,0)</f>
        <v>0</v>
      </c>
      <c r="P40" s="72">
        <f>IF($D40="MANUT. VEICULAR",$H40,0)</f>
        <v>0</v>
      </c>
      <c r="Q40" s="72">
        <f>IF($D40="MÓVEIS",$H40,0)</f>
        <v>0</v>
      </c>
      <c r="R40" s="72">
        <f>IF($D40="OUTROS",$H40,0)</f>
        <v>0</v>
      </c>
      <c r="S40" s="72">
        <f>IF($D40="PLANOS",$H40,0)</f>
        <v>0</v>
      </c>
      <c r="T40" s="72">
        <f>IF($D40="SAÚDE",$H40,0)</f>
        <v>0</v>
      </c>
      <c r="U40" s="72">
        <f>IF($D40="TRANSPORTE",$H40,0)</f>
        <v>0</v>
      </c>
      <c r="V40" s="72">
        <f>IF($D40=V$2,$H40,0)</f>
        <v>0</v>
      </c>
      <c r="W40" s="72">
        <f>IF($D40=W$2,$H40,0)</f>
        <v>0</v>
      </c>
      <c r="X40" s="72">
        <f>IF($D40=X$2,$H40,0)</f>
        <v>0</v>
      </c>
      <c r="Z40" s="72">
        <f>IF($D40="ALIMENTAÇÃO",$G40,0)</f>
        <v>0</v>
      </c>
      <c r="AA40" s="72">
        <f>IF($D40="ANIMAIS",$G40,0)</f>
        <v>0</v>
      </c>
      <c r="AB40" s="72">
        <f>IF($D40="FILHO",$G40,0)</f>
        <v>0</v>
      </c>
      <c r="AC40" s="72">
        <f>IF($D40="GASOLINA",$G40,0)</f>
        <v>0</v>
      </c>
      <c r="AD40" s="72">
        <f>IF($D40="LAZER",$G40,0)</f>
        <v>0</v>
      </c>
      <c r="AE40" s="72">
        <f>IF($D40="MANUT. IMÓVEL",$G40,0)</f>
        <v>0</v>
      </c>
      <c r="AF40" s="72">
        <f>IF($D40="MANUT. VEICULAR",$G40,0)</f>
        <v>0</v>
      </c>
      <c r="AG40" s="72">
        <f>IF($D40="MÓVEIS",$G40,0)</f>
        <v>0</v>
      </c>
      <c r="AH40" s="72">
        <f>IF($D40="OUTROS",$G40,0)</f>
        <v>0</v>
      </c>
      <c r="AI40" s="72">
        <f>IF($D40="PLANOS",$G40,0)</f>
        <v>0</v>
      </c>
      <c r="AJ40" s="72">
        <f>IF($D40="SAÚDE",$G40,0)</f>
        <v>0</v>
      </c>
      <c r="AK40" s="72">
        <f>IF($D40="TRANSPORTE",$G40,0)</f>
        <v>0</v>
      </c>
      <c r="AL40" s="72">
        <f>IF($D40=AL$2,$G40,0)</f>
        <v>0</v>
      </c>
      <c r="AM40" s="72">
        <f>IF($D40=AM$2,$G40,0)</f>
        <v>0</v>
      </c>
      <c r="AN40" s="72">
        <f>IF($D40=AN$2,$G40,0)</f>
        <v>0</v>
      </c>
    </row>
    <row r="41" spans="2:52" hidden="1">
      <c r="B41" s="60"/>
      <c r="C41" s="62"/>
      <c r="D41" s="79"/>
      <c r="E41" s="56"/>
      <c r="F41" s="76"/>
      <c r="G41" s="77">
        <f t="shared" si="35"/>
        <v>0</v>
      </c>
      <c r="H41" s="78">
        <f t="shared" si="36"/>
        <v>0</v>
      </c>
      <c r="I41" s="481"/>
      <c r="J41" s="72">
        <f t="shared" si="19"/>
        <v>0</v>
      </c>
      <c r="K41" s="72">
        <f t="shared" si="20"/>
        <v>0</v>
      </c>
      <c r="L41" s="72">
        <f t="shared" si="21"/>
        <v>0</v>
      </c>
      <c r="M41" s="72">
        <f t="shared" si="22"/>
        <v>0</v>
      </c>
      <c r="N41" s="72">
        <f t="shared" si="23"/>
        <v>0</v>
      </c>
      <c r="O41" s="72">
        <f t="shared" si="24"/>
        <v>0</v>
      </c>
      <c r="P41" s="72">
        <f t="shared" si="25"/>
        <v>0</v>
      </c>
      <c r="Q41" s="72">
        <f t="shared" si="26"/>
        <v>0</v>
      </c>
      <c r="R41" s="72">
        <f t="shared" si="27"/>
        <v>0</v>
      </c>
      <c r="S41" s="72">
        <f t="shared" si="28"/>
        <v>0</v>
      </c>
      <c r="T41" s="72">
        <f t="shared" si="29"/>
        <v>0</v>
      </c>
      <c r="U41" s="72">
        <f t="shared" si="30"/>
        <v>0</v>
      </c>
      <c r="V41" s="72">
        <f t="shared" si="37"/>
        <v>0</v>
      </c>
      <c r="W41" s="72">
        <f t="shared" si="37"/>
        <v>0</v>
      </c>
      <c r="X41" s="72">
        <f t="shared" si="37"/>
        <v>0</v>
      </c>
      <c r="Z41" s="72">
        <f t="shared" si="6"/>
        <v>0</v>
      </c>
      <c r="AA41" s="72">
        <f t="shared" si="7"/>
        <v>0</v>
      </c>
      <c r="AB41" s="72">
        <f t="shared" si="8"/>
        <v>0</v>
      </c>
      <c r="AC41" s="72">
        <f t="shared" si="9"/>
        <v>0</v>
      </c>
      <c r="AD41" s="72">
        <f t="shared" si="10"/>
        <v>0</v>
      </c>
      <c r="AE41" s="72">
        <f t="shared" si="11"/>
        <v>0</v>
      </c>
      <c r="AF41" s="72">
        <f t="shared" si="12"/>
        <v>0</v>
      </c>
      <c r="AG41" s="72">
        <f t="shared" si="13"/>
        <v>0</v>
      </c>
      <c r="AH41" s="72">
        <f t="shared" si="14"/>
        <v>0</v>
      </c>
      <c r="AI41" s="72">
        <f t="shared" si="15"/>
        <v>0</v>
      </c>
      <c r="AJ41" s="72">
        <f t="shared" si="16"/>
        <v>0</v>
      </c>
      <c r="AK41" s="72">
        <f t="shared" si="17"/>
        <v>0</v>
      </c>
      <c r="AL41" s="72">
        <f t="shared" si="18"/>
        <v>0</v>
      </c>
      <c r="AM41" s="72">
        <f t="shared" si="18"/>
        <v>0</v>
      </c>
      <c r="AN41" s="72">
        <f t="shared" si="18"/>
        <v>0</v>
      </c>
    </row>
    <row r="42" spans="2:52" hidden="1">
      <c r="B42" s="60"/>
      <c r="C42" s="62"/>
      <c r="D42" s="79"/>
      <c r="E42" s="56"/>
      <c r="F42" s="76"/>
      <c r="G42" s="77">
        <f t="shared" si="35"/>
        <v>0</v>
      </c>
      <c r="H42" s="78">
        <f t="shared" si="36"/>
        <v>0</v>
      </c>
      <c r="I42" s="481"/>
      <c r="J42" s="72">
        <f t="shared" si="19"/>
        <v>0</v>
      </c>
      <c r="K42" s="72">
        <f t="shared" si="20"/>
        <v>0</v>
      </c>
      <c r="L42" s="72">
        <f t="shared" si="21"/>
        <v>0</v>
      </c>
      <c r="M42" s="72">
        <f t="shared" si="22"/>
        <v>0</v>
      </c>
      <c r="N42" s="72">
        <f t="shared" si="23"/>
        <v>0</v>
      </c>
      <c r="O42" s="72">
        <f t="shared" si="24"/>
        <v>0</v>
      </c>
      <c r="P42" s="72">
        <f t="shared" si="25"/>
        <v>0</v>
      </c>
      <c r="Q42" s="72">
        <f t="shared" si="26"/>
        <v>0</v>
      </c>
      <c r="R42" s="72">
        <f t="shared" si="27"/>
        <v>0</v>
      </c>
      <c r="S42" s="72">
        <f t="shared" si="28"/>
        <v>0</v>
      </c>
      <c r="T42" s="72">
        <f t="shared" si="29"/>
        <v>0</v>
      </c>
      <c r="U42" s="72">
        <f t="shared" si="30"/>
        <v>0</v>
      </c>
      <c r="V42" s="72">
        <f t="shared" si="37"/>
        <v>0</v>
      </c>
      <c r="W42" s="72">
        <f t="shared" si="37"/>
        <v>0</v>
      </c>
      <c r="X42" s="72">
        <f t="shared" si="37"/>
        <v>0</v>
      </c>
      <c r="Z42" s="72">
        <f t="shared" si="6"/>
        <v>0</v>
      </c>
      <c r="AA42" s="72">
        <f t="shared" si="7"/>
        <v>0</v>
      </c>
      <c r="AB42" s="72">
        <f t="shared" si="8"/>
        <v>0</v>
      </c>
      <c r="AC42" s="72">
        <f t="shared" si="9"/>
        <v>0</v>
      </c>
      <c r="AD42" s="72">
        <f t="shared" si="10"/>
        <v>0</v>
      </c>
      <c r="AE42" s="72">
        <f t="shared" si="11"/>
        <v>0</v>
      </c>
      <c r="AF42" s="72">
        <f t="shared" si="12"/>
        <v>0</v>
      </c>
      <c r="AG42" s="72">
        <f t="shared" si="13"/>
        <v>0</v>
      </c>
      <c r="AH42" s="72">
        <f t="shared" si="14"/>
        <v>0</v>
      </c>
      <c r="AI42" s="72">
        <f t="shared" si="15"/>
        <v>0</v>
      </c>
      <c r="AJ42" s="72">
        <f t="shared" si="16"/>
        <v>0</v>
      </c>
      <c r="AK42" s="72">
        <f t="shared" si="17"/>
        <v>0</v>
      </c>
      <c r="AL42" s="72">
        <f t="shared" si="18"/>
        <v>0</v>
      </c>
      <c r="AM42" s="72">
        <f t="shared" si="18"/>
        <v>0</v>
      </c>
      <c r="AN42" s="72">
        <f t="shared" si="18"/>
        <v>0</v>
      </c>
    </row>
    <row r="43" spans="2:52" hidden="1">
      <c r="B43" s="60"/>
      <c r="C43" s="62"/>
      <c r="D43" s="79"/>
      <c r="E43" s="56"/>
      <c r="F43" s="76"/>
      <c r="G43" s="77">
        <f t="shared" si="35"/>
        <v>0</v>
      </c>
      <c r="H43" s="78">
        <f t="shared" si="36"/>
        <v>0</v>
      </c>
      <c r="I43" s="481"/>
      <c r="J43" s="72">
        <f t="shared" si="19"/>
        <v>0</v>
      </c>
      <c r="K43" s="72">
        <f t="shared" si="20"/>
        <v>0</v>
      </c>
      <c r="L43" s="72">
        <f t="shared" si="21"/>
        <v>0</v>
      </c>
      <c r="M43" s="72">
        <f t="shared" si="22"/>
        <v>0</v>
      </c>
      <c r="N43" s="72">
        <f t="shared" si="23"/>
        <v>0</v>
      </c>
      <c r="O43" s="72">
        <f t="shared" si="24"/>
        <v>0</v>
      </c>
      <c r="P43" s="72">
        <f t="shared" si="25"/>
        <v>0</v>
      </c>
      <c r="Q43" s="72">
        <f t="shared" si="26"/>
        <v>0</v>
      </c>
      <c r="R43" s="72">
        <f t="shared" si="27"/>
        <v>0</v>
      </c>
      <c r="S43" s="72">
        <f t="shared" si="28"/>
        <v>0</v>
      </c>
      <c r="T43" s="72">
        <f t="shared" si="29"/>
        <v>0</v>
      </c>
      <c r="U43" s="72">
        <f t="shared" si="30"/>
        <v>0</v>
      </c>
      <c r="V43" s="72">
        <f t="shared" si="37"/>
        <v>0</v>
      </c>
      <c r="W43" s="72">
        <f t="shared" si="37"/>
        <v>0</v>
      </c>
      <c r="X43" s="72">
        <f t="shared" si="37"/>
        <v>0</v>
      </c>
      <c r="Z43" s="72">
        <f t="shared" si="6"/>
        <v>0</v>
      </c>
      <c r="AA43" s="72">
        <f t="shared" si="7"/>
        <v>0</v>
      </c>
      <c r="AB43" s="72">
        <f t="shared" si="8"/>
        <v>0</v>
      </c>
      <c r="AC43" s="72">
        <f t="shared" si="9"/>
        <v>0</v>
      </c>
      <c r="AD43" s="72">
        <f t="shared" si="10"/>
        <v>0</v>
      </c>
      <c r="AE43" s="72">
        <f t="shared" si="11"/>
        <v>0</v>
      </c>
      <c r="AF43" s="72">
        <f t="shared" si="12"/>
        <v>0</v>
      </c>
      <c r="AG43" s="72">
        <f t="shared" si="13"/>
        <v>0</v>
      </c>
      <c r="AH43" s="72">
        <f t="shared" si="14"/>
        <v>0</v>
      </c>
      <c r="AI43" s="72">
        <f t="shared" si="15"/>
        <v>0</v>
      </c>
      <c r="AJ43" s="72">
        <f t="shared" si="16"/>
        <v>0</v>
      </c>
      <c r="AK43" s="72">
        <f t="shared" si="17"/>
        <v>0</v>
      </c>
      <c r="AL43" s="72">
        <f t="shared" si="18"/>
        <v>0</v>
      </c>
      <c r="AM43" s="72">
        <f t="shared" si="18"/>
        <v>0</v>
      </c>
      <c r="AN43" s="72">
        <f t="shared" si="18"/>
        <v>0</v>
      </c>
    </row>
    <row r="44" spans="2:52" hidden="1">
      <c r="B44" s="60"/>
      <c r="C44" s="62"/>
      <c r="D44" s="79"/>
      <c r="E44" s="56"/>
      <c r="F44" s="76"/>
      <c r="G44" s="77">
        <f t="shared" si="35"/>
        <v>0</v>
      </c>
      <c r="H44" s="78">
        <f t="shared" si="36"/>
        <v>0</v>
      </c>
      <c r="I44" s="481"/>
      <c r="J44" s="72">
        <f t="shared" si="19"/>
        <v>0</v>
      </c>
      <c r="K44" s="72">
        <f t="shared" si="20"/>
        <v>0</v>
      </c>
      <c r="L44" s="72">
        <f t="shared" si="21"/>
        <v>0</v>
      </c>
      <c r="M44" s="72">
        <f t="shared" si="22"/>
        <v>0</v>
      </c>
      <c r="N44" s="72">
        <f t="shared" si="23"/>
        <v>0</v>
      </c>
      <c r="O44" s="72">
        <f t="shared" si="24"/>
        <v>0</v>
      </c>
      <c r="P44" s="72">
        <f t="shared" si="25"/>
        <v>0</v>
      </c>
      <c r="Q44" s="72">
        <f t="shared" si="26"/>
        <v>0</v>
      </c>
      <c r="R44" s="72">
        <f t="shared" si="27"/>
        <v>0</v>
      </c>
      <c r="S44" s="72">
        <f t="shared" si="28"/>
        <v>0</v>
      </c>
      <c r="T44" s="72">
        <f t="shared" si="29"/>
        <v>0</v>
      </c>
      <c r="U44" s="72">
        <f t="shared" si="30"/>
        <v>0</v>
      </c>
      <c r="V44" s="72">
        <f t="shared" si="37"/>
        <v>0</v>
      </c>
      <c r="W44" s="72">
        <f t="shared" si="37"/>
        <v>0</v>
      </c>
      <c r="X44" s="72">
        <f t="shared" si="37"/>
        <v>0</v>
      </c>
      <c r="Z44" s="72">
        <f t="shared" si="6"/>
        <v>0</v>
      </c>
      <c r="AA44" s="72">
        <f t="shared" si="7"/>
        <v>0</v>
      </c>
      <c r="AB44" s="72">
        <f t="shared" si="8"/>
        <v>0</v>
      </c>
      <c r="AC44" s="72">
        <f t="shared" si="9"/>
        <v>0</v>
      </c>
      <c r="AD44" s="72">
        <f t="shared" si="10"/>
        <v>0</v>
      </c>
      <c r="AE44" s="72">
        <f t="shared" si="11"/>
        <v>0</v>
      </c>
      <c r="AF44" s="72">
        <f t="shared" si="12"/>
        <v>0</v>
      </c>
      <c r="AG44" s="72">
        <f t="shared" si="13"/>
        <v>0</v>
      </c>
      <c r="AH44" s="72">
        <f t="shared" si="14"/>
        <v>0</v>
      </c>
      <c r="AI44" s="72">
        <f t="shared" si="15"/>
        <v>0</v>
      </c>
      <c r="AJ44" s="72">
        <f t="shared" si="16"/>
        <v>0</v>
      </c>
      <c r="AK44" s="72">
        <f t="shared" si="17"/>
        <v>0</v>
      </c>
      <c r="AL44" s="72">
        <f t="shared" si="18"/>
        <v>0</v>
      </c>
      <c r="AM44" s="72">
        <f t="shared" si="18"/>
        <v>0</v>
      </c>
      <c r="AN44" s="72">
        <f t="shared" si="18"/>
        <v>0</v>
      </c>
    </row>
    <row r="45" spans="2:52" hidden="1">
      <c r="B45" s="60"/>
      <c r="C45" s="62"/>
      <c r="D45" s="79"/>
      <c r="E45" s="56"/>
      <c r="F45" s="76"/>
      <c r="G45" s="77">
        <f t="shared" si="35"/>
        <v>0</v>
      </c>
      <c r="H45" s="78">
        <f t="shared" si="36"/>
        <v>0</v>
      </c>
      <c r="I45" s="481"/>
      <c r="J45" s="72">
        <f t="shared" si="19"/>
        <v>0</v>
      </c>
      <c r="K45" s="72">
        <f t="shared" si="20"/>
        <v>0</v>
      </c>
      <c r="L45" s="72">
        <f t="shared" si="21"/>
        <v>0</v>
      </c>
      <c r="M45" s="72">
        <f t="shared" si="22"/>
        <v>0</v>
      </c>
      <c r="N45" s="72">
        <f t="shared" si="23"/>
        <v>0</v>
      </c>
      <c r="O45" s="72">
        <f t="shared" si="24"/>
        <v>0</v>
      </c>
      <c r="P45" s="72">
        <f t="shared" si="25"/>
        <v>0</v>
      </c>
      <c r="Q45" s="72">
        <f t="shared" si="26"/>
        <v>0</v>
      </c>
      <c r="R45" s="72">
        <f t="shared" si="27"/>
        <v>0</v>
      </c>
      <c r="S45" s="72">
        <f t="shared" si="28"/>
        <v>0</v>
      </c>
      <c r="T45" s="72">
        <f t="shared" si="29"/>
        <v>0</v>
      </c>
      <c r="U45" s="72">
        <f t="shared" si="30"/>
        <v>0</v>
      </c>
      <c r="V45" s="72">
        <f t="shared" si="37"/>
        <v>0</v>
      </c>
      <c r="W45" s="72">
        <f t="shared" si="37"/>
        <v>0</v>
      </c>
      <c r="X45" s="72">
        <f t="shared" si="37"/>
        <v>0</v>
      </c>
      <c r="Z45" s="72">
        <f t="shared" si="6"/>
        <v>0</v>
      </c>
      <c r="AA45" s="72">
        <f t="shared" si="7"/>
        <v>0</v>
      </c>
      <c r="AB45" s="72">
        <f t="shared" si="8"/>
        <v>0</v>
      </c>
      <c r="AC45" s="72">
        <f t="shared" si="9"/>
        <v>0</v>
      </c>
      <c r="AD45" s="72">
        <f t="shared" si="10"/>
        <v>0</v>
      </c>
      <c r="AE45" s="72">
        <f t="shared" si="11"/>
        <v>0</v>
      </c>
      <c r="AF45" s="72">
        <f t="shared" si="12"/>
        <v>0</v>
      </c>
      <c r="AG45" s="72">
        <f t="shared" si="13"/>
        <v>0</v>
      </c>
      <c r="AH45" s="72">
        <f t="shared" si="14"/>
        <v>0</v>
      </c>
      <c r="AI45" s="72">
        <f t="shared" si="15"/>
        <v>0</v>
      </c>
      <c r="AJ45" s="72">
        <f t="shared" si="16"/>
        <v>0</v>
      </c>
      <c r="AK45" s="72">
        <f t="shared" si="17"/>
        <v>0</v>
      </c>
      <c r="AL45" s="72">
        <f t="shared" si="18"/>
        <v>0</v>
      </c>
      <c r="AM45" s="72">
        <f t="shared" si="18"/>
        <v>0</v>
      </c>
      <c r="AN45" s="72">
        <f t="shared" si="18"/>
        <v>0</v>
      </c>
    </row>
    <row r="46" spans="2:52" hidden="1">
      <c r="B46" s="60"/>
      <c r="C46" s="62"/>
      <c r="D46" s="79"/>
      <c r="E46" s="56"/>
      <c r="F46" s="76"/>
      <c r="G46" s="77">
        <f t="shared" si="35"/>
        <v>0</v>
      </c>
      <c r="H46" s="78">
        <f t="shared" si="36"/>
        <v>0</v>
      </c>
      <c r="I46" s="481"/>
      <c r="J46" s="72">
        <f t="shared" si="19"/>
        <v>0</v>
      </c>
      <c r="K46" s="72">
        <f t="shared" si="20"/>
        <v>0</v>
      </c>
      <c r="L46" s="72">
        <f t="shared" si="21"/>
        <v>0</v>
      </c>
      <c r="M46" s="72">
        <f t="shared" si="22"/>
        <v>0</v>
      </c>
      <c r="N46" s="72">
        <f t="shared" si="23"/>
        <v>0</v>
      </c>
      <c r="O46" s="72">
        <f t="shared" si="24"/>
        <v>0</v>
      </c>
      <c r="P46" s="72">
        <f t="shared" si="25"/>
        <v>0</v>
      </c>
      <c r="Q46" s="72">
        <f t="shared" si="26"/>
        <v>0</v>
      </c>
      <c r="R46" s="72">
        <f t="shared" si="27"/>
        <v>0</v>
      </c>
      <c r="S46" s="72">
        <f t="shared" si="28"/>
        <v>0</v>
      </c>
      <c r="T46" s="72">
        <f t="shared" si="29"/>
        <v>0</v>
      </c>
      <c r="U46" s="72">
        <f t="shared" si="30"/>
        <v>0</v>
      </c>
      <c r="V46" s="72">
        <f t="shared" si="37"/>
        <v>0</v>
      </c>
      <c r="W46" s="72">
        <f t="shared" si="37"/>
        <v>0</v>
      </c>
      <c r="X46" s="72">
        <f t="shared" si="37"/>
        <v>0</v>
      </c>
      <c r="Z46" s="72">
        <f t="shared" si="6"/>
        <v>0</v>
      </c>
      <c r="AA46" s="72">
        <f t="shared" si="7"/>
        <v>0</v>
      </c>
      <c r="AB46" s="72">
        <f t="shared" si="8"/>
        <v>0</v>
      </c>
      <c r="AC46" s="72">
        <f t="shared" si="9"/>
        <v>0</v>
      </c>
      <c r="AD46" s="72">
        <f t="shared" si="10"/>
        <v>0</v>
      </c>
      <c r="AE46" s="72">
        <f t="shared" si="11"/>
        <v>0</v>
      </c>
      <c r="AF46" s="72">
        <f t="shared" si="12"/>
        <v>0</v>
      </c>
      <c r="AG46" s="72">
        <f t="shared" si="13"/>
        <v>0</v>
      </c>
      <c r="AH46" s="72">
        <f t="shared" si="14"/>
        <v>0</v>
      </c>
      <c r="AI46" s="72">
        <f t="shared" si="15"/>
        <v>0</v>
      </c>
      <c r="AJ46" s="72">
        <f t="shared" si="16"/>
        <v>0</v>
      </c>
      <c r="AK46" s="72">
        <f t="shared" si="17"/>
        <v>0</v>
      </c>
      <c r="AL46" s="72">
        <f t="shared" si="18"/>
        <v>0</v>
      </c>
      <c r="AM46" s="72">
        <f t="shared" si="18"/>
        <v>0</v>
      </c>
      <c r="AN46" s="72">
        <f t="shared" si="18"/>
        <v>0</v>
      </c>
    </row>
    <row r="47" spans="2:52" hidden="1">
      <c r="B47" s="60"/>
      <c r="C47" s="62"/>
      <c r="D47" s="79"/>
      <c r="E47" s="56"/>
      <c r="F47" s="76"/>
      <c r="G47" s="77">
        <f t="shared" si="35"/>
        <v>0</v>
      </c>
      <c r="H47" s="78">
        <f t="shared" si="36"/>
        <v>0</v>
      </c>
      <c r="I47" s="481"/>
      <c r="J47" s="72">
        <f t="shared" si="19"/>
        <v>0</v>
      </c>
      <c r="K47" s="72">
        <f t="shared" si="20"/>
        <v>0</v>
      </c>
      <c r="L47" s="72">
        <f t="shared" si="21"/>
        <v>0</v>
      </c>
      <c r="M47" s="72">
        <f t="shared" si="22"/>
        <v>0</v>
      </c>
      <c r="N47" s="72">
        <f t="shared" si="23"/>
        <v>0</v>
      </c>
      <c r="O47" s="72">
        <f t="shared" si="24"/>
        <v>0</v>
      </c>
      <c r="P47" s="72">
        <f t="shared" si="25"/>
        <v>0</v>
      </c>
      <c r="Q47" s="72">
        <f t="shared" si="26"/>
        <v>0</v>
      </c>
      <c r="R47" s="72">
        <f t="shared" si="27"/>
        <v>0</v>
      </c>
      <c r="S47" s="72">
        <f t="shared" si="28"/>
        <v>0</v>
      </c>
      <c r="T47" s="72">
        <f t="shared" si="29"/>
        <v>0</v>
      </c>
      <c r="U47" s="72">
        <f t="shared" si="30"/>
        <v>0</v>
      </c>
      <c r="V47" s="72">
        <f t="shared" si="37"/>
        <v>0</v>
      </c>
      <c r="W47" s="72">
        <f t="shared" si="37"/>
        <v>0</v>
      </c>
      <c r="X47" s="72">
        <f t="shared" si="37"/>
        <v>0</v>
      </c>
      <c r="Z47" s="72">
        <f t="shared" si="6"/>
        <v>0</v>
      </c>
      <c r="AA47" s="72">
        <f t="shared" si="7"/>
        <v>0</v>
      </c>
      <c r="AB47" s="72">
        <f t="shared" si="8"/>
        <v>0</v>
      </c>
      <c r="AC47" s="72">
        <f t="shared" si="9"/>
        <v>0</v>
      </c>
      <c r="AD47" s="72">
        <f t="shared" si="10"/>
        <v>0</v>
      </c>
      <c r="AE47" s="72">
        <f t="shared" si="11"/>
        <v>0</v>
      </c>
      <c r="AF47" s="72">
        <f t="shared" si="12"/>
        <v>0</v>
      </c>
      <c r="AG47" s="72">
        <f t="shared" si="13"/>
        <v>0</v>
      </c>
      <c r="AH47" s="72">
        <f t="shared" si="14"/>
        <v>0</v>
      </c>
      <c r="AI47" s="72">
        <f t="shared" si="15"/>
        <v>0</v>
      </c>
      <c r="AJ47" s="72">
        <f t="shared" si="16"/>
        <v>0</v>
      </c>
      <c r="AK47" s="72">
        <f t="shared" si="17"/>
        <v>0</v>
      </c>
      <c r="AL47" s="72">
        <f t="shared" si="18"/>
        <v>0</v>
      </c>
      <c r="AM47" s="72">
        <f t="shared" si="18"/>
        <v>0</v>
      </c>
      <c r="AN47" s="72">
        <f t="shared" si="18"/>
        <v>0</v>
      </c>
    </row>
    <row r="48" spans="2:52" hidden="1">
      <c r="B48" s="60"/>
      <c r="C48" s="62"/>
      <c r="D48" s="79"/>
      <c r="E48" s="56"/>
      <c r="F48" s="76"/>
      <c r="G48" s="77">
        <f t="shared" si="35"/>
        <v>0</v>
      </c>
      <c r="H48" s="78">
        <f t="shared" si="36"/>
        <v>0</v>
      </c>
      <c r="I48" s="481"/>
      <c r="J48" s="72">
        <f t="shared" si="19"/>
        <v>0</v>
      </c>
      <c r="K48" s="72">
        <f t="shared" si="20"/>
        <v>0</v>
      </c>
      <c r="L48" s="72">
        <f t="shared" si="21"/>
        <v>0</v>
      </c>
      <c r="M48" s="72">
        <f t="shared" si="22"/>
        <v>0</v>
      </c>
      <c r="N48" s="72">
        <f t="shared" si="23"/>
        <v>0</v>
      </c>
      <c r="O48" s="72">
        <f t="shared" si="24"/>
        <v>0</v>
      </c>
      <c r="P48" s="72">
        <f t="shared" si="25"/>
        <v>0</v>
      </c>
      <c r="Q48" s="72">
        <f t="shared" si="26"/>
        <v>0</v>
      </c>
      <c r="R48" s="72">
        <f t="shared" si="27"/>
        <v>0</v>
      </c>
      <c r="S48" s="72">
        <f t="shared" si="28"/>
        <v>0</v>
      </c>
      <c r="T48" s="72">
        <f t="shared" si="29"/>
        <v>0</v>
      </c>
      <c r="U48" s="72">
        <f t="shared" si="30"/>
        <v>0</v>
      </c>
      <c r="V48" s="72">
        <f t="shared" si="37"/>
        <v>0</v>
      </c>
      <c r="W48" s="72">
        <f t="shared" si="37"/>
        <v>0</v>
      </c>
      <c r="X48" s="72">
        <f t="shared" si="37"/>
        <v>0</v>
      </c>
      <c r="Z48" s="72">
        <f t="shared" si="6"/>
        <v>0</v>
      </c>
      <c r="AA48" s="72">
        <f t="shared" si="7"/>
        <v>0</v>
      </c>
      <c r="AB48" s="72">
        <f t="shared" si="8"/>
        <v>0</v>
      </c>
      <c r="AC48" s="72">
        <f t="shared" si="9"/>
        <v>0</v>
      </c>
      <c r="AD48" s="72">
        <f t="shared" si="10"/>
        <v>0</v>
      </c>
      <c r="AE48" s="72">
        <f t="shared" si="11"/>
        <v>0</v>
      </c>
      <c r="AF48" s="72">
        <f t="shared" si="12"/>
        <v>0</v>
      </c>
      <c r="AG48" s="72">
        <f t="shared" si="13"/>
        <v>0</v>
      </c>
      <c r="AH48" s="72">
        <f t="shared" si="14"/>
        <v>0</v>
      </c>
      <c r="AI48" s="72">
        <f t="shared" si="15"/>
        <v>0</v>
      </c>
      <c r="AJ48" s="72">
        <f t="shared" si="16"/>
        <v>0</v>
      </c>
      <c r="AK48" s="72">
        <f t="shared" si="17"/>
        <v>0</v>
      </c>
      <c r="AL48" s="72">
        <f t="shared" si="18"/>
        <v>0</v>
      </c>
      <c r="AM48" s="72">
        <f t="shared" si="18"/>
        <v>0</v>
      </c>
      <c r="AN48" s="72">
        <f t="shared" si="18"/>
        <v>0</v>
      </c>
    </row>
    <row r="49" spans="2:52" hidden="1">
      <c r="B49" s="60"/>
      <c r="C49" s="62"/>
      <c r="D49" s="79"/>
      <c r="E49" s="56"/>
      <c r="F49" s="76"/>
      <c r="G49" s="77">
        <f t="shared" si="35"/>
        <v>0</v>
      </c>
      <c r="H49" s="78">
        <f t="shared" si="36"/>
        <v>0</v>
      </c>
      <c r="I49" s="481"/>
      <c r="J49" s="72">
        <f t="shared" si="19"/>
        <v>0</v>
      </c>
      <c r="K49" s="72">
        <f t="shared" si="20"/>
        <v>0</v>
      </c>
      <c r="L49" s="72">
        <f t="shared" si="21"/>
        <v>0</v>
      </c>
      <c r="M49" s="72">
        <f t="shared" si="22"/>
        <v>0</v>
      </c>
      <c r="N49" s="72">
        <f t="shared" si="23"/>
        <v>0</v>
      </c>
      <c r="O49" s="72">
        <f t="shared" si="24"/>
        <v>0</v>
      </c>
      <c r="P49" s="72">
        <f t="shared" si="25"/>
        <v>0</v>
      </c>
      <c r="Q49" s="72">
        <f t="shared" si="26"/>
        <v>0</v>
      </c>
      <c r="R49" s="72">
        <f t="shared" si="27"/>
        <v>0</v>
      </c>
      <c r="S49" s="72">
        <f t="shared" si="28"/>
        <v>0</v>
      </c>
      <c r="T49" s="72">
        <f t="shared" si="29"/>
        <v>0</v>
      </c>
      <c r="U49" s="72">
        <f t="shared" si="30"/>
        <v>0</v>
      </c>
      <c r="V49" s="72">
        <f t="shared" si="37"/>
        <v>0</v>
      </c>
      <c r="W49" s="72">
        <f t="shared" si="37"/>
        <v>0</v>
      </c>
      <c r="X49" s="72">
        <f t="shared" si="37"/>
        <v>0</v>
      </c>
      <c r="Z49" s="72">
        <f t="shared" si="6"/>
        <v>0</v>
      </c>
      <c r="AA49" s="72">
        <f t="shared" si="7"/>
        <v>0</v>
      </c>
      <c r="AB49" s="72">
        <f t="shared" si="8"/>
        <v>0</v>
      </c>
      <c r="AC49" s="72">
        <f t="shared" si="9"/>
        <v>0</v>
      </c>
      <c r="AD49" s="72">
        <f t="shared" si="10"/>
        <v>0</v>
      </c>
      <c r="AE49" s="72">
        <f t="shared" si="11"/>
        <v>0</v>
      </c>
      <c r="AF49" s="72">
        <f t="shared" si="12"/>
        <v>0</v>
      </c>
      <c r="AG49" s="72">
        <f t="shared" si="13"/>
        <v>0</v>
      </c>
      <c r="AH49" s="72">
        <f t="shared" si="14"/>
        <v>0</v>
      </c>
      <c r="AI49" s="72">
        <f t="shared" si="15"/>
        <v>0</v>
      </c>
      <c r="AJ49" s="72">
        <f t="shared" si="16"/>
        <v>0</v>
      </c>
      <c r="AK49" s="72">
        <f t="shared" si="17"/>
        <v>0</v>
      </c>
      <c r="AL49" s="72">
        <f t="shared" si="18"/>
        <v>0</v>
      </c>
      <c r="AM49" s="72">
        <f t="shared" si="18"/>
        <v>0</v>
      </c>
      <c r="AN49" s="72">
        <f t="shared" si="18"/>
        <v>0</v>
      </c>
      <c r="AZ49" s="621">
        <f>AR28-AZ39</f>
        <v>218.74999999999955</v>
      </c>
    </row>
    <row r="50" spans="2:52" hidden="1">
      <c r="B50" s="60"/>
      <c r="C50" s="62"/>
      <c r="D50" s="79"/>
      <c r="E50" s="56"/>
      <c r="F50" s="76"/>
      <c r="G50" s="77">
        <f t="shared" si="35"/>
        <v>0</v>
      </c>
      <c r="H50" s="78">
        <f t="shared" si="36"/>
        <v>0</v>
      </c>
      <c r="I50" s="481"/>
      <c r="J50" s="72">
        <f t="shared" si="19"/>
        <v>0</v>
      </c>
      <c r="K50" s="72">
        <f t="shared" si="20"/>
        <v>0</v>
      </c>
      <c r="L50" s="72">
        <f t="shared" si="21"/>
        <v>0</v>
      </c>
      <c r="M50" s="72">
        <f t="shared" si="22"/>
        <v>0</v>
      </c>
      <c r="N50" s="72">
        <f t="shared" si="23"/>
        <v>0</v>
      </c>
      <c r="O50" s="72">
        <f t="shared" si="24"/>
        <v>0</v>
      </c>
      <c r="P50" s="72">
        <f t="shared" si="25"/>
        <v>0</v>
      </c>
      <c r="Q50" s="72">
        <f t="shared" si="26"/>
        <v>0</v>
      </c>
      <c r="R50" s="72">
        <f t="shared" si="27"/>
        <v>0</v>
      </c>
      <c r="S50" s="72">
        <f t="shared" si="28"/>
        <v>0</v>
      </c>
      <c r="T50" s="72">
        <f t="shared" si="29"/>
        <v>0</v>
      </c>
      <c r="U50" s="72">
        <f t="shared" si="30"/>
        <v>0</v>
      </c>
      <c r="V50" s="72">
        <f t="shared" si="37"/>
        <v>0</v>
      </c>
      <c r="W50" s="72">
        <f t="shared" si="37"/>
        <v>0</v>
      </c>
      <c r="X50" s="72">
        <f t="shared" si="37"/>
        <v>0</v>
      </c>
      <c r="Z50" s="72">
        <f t="shared" si="6"/>
        <v>0</v>
      </c>
      <c r="AA50" s="72">
        <f t="shared" si="7"/>
        <v>0</v>
      </c>
      <c r="AB50" s="72">
        <f t="shared" si="8"/>
        <v>0</v>
      </c>
      <c r="AC50" s="72">
        <f t="shared" si="9"/>
        <v>0</v>
      </c>
      <c r="AD50" s="72">
        <f t="shared" si="10"/>
        <v>0</v>
      </c>
      <c r="AE50" s="72">
        <f t="shared" si="11"/>
        <v>0</v>
      </c>
      <c r="AF50" s="72">
        <f t="shared" si="12"/>
        <v>0</v>
      </c>
      <c r="AG50" s="72">
        <f t="shared" si="13"/>
        <v>0</v>
      </c>
      <c r="AH50" s="72">
        <f t="shared" si="14"/>
        <v>0</v>
      </c>
      <c r="AI50" s="72">
        <f t="shared" si="15"/>
        <v>0</v>
      </c>
      <c r="AJ50" s="72">
        <f t="shared" si="16"/>
        <v>0</v>
      </c>
      <c r="AK50" s="72">
        <f t="shared" si="17"/>
        <v>0</v>
      </c>
      <c r="AL50" s="72">
        <f t="shared" si="18"/>
        <v>0</v>
      </c>
      <c r="AM50" s="72">
        <f t="shared" si="18"/>
        <v>0</v>
      </c>
      <c r="AN50" s="72">
        <f t="shared" si="18"/>
        <v>0</v>
      </c>
    </row>
    <row r="51" spans="2:52" hidden="1">
      <c r="B51" s="60"/>
      <c r="C51" s="62"/>
      <c r="D51" s="79"/>
      <c r="E51" s="56"/>
      <c r="F51" s="76"/>
      <c r="G51" s="77">
        <f t="shared" si="35"/>
        <v>0</v>
      </c>
      <c r="H51" s="78">
        <f t="shared" si="36"/>
        <v>0</v>
      </c>
      <c r="I51" s="481"/>
      <c r="J51" s="72">
        <f t="shared" si="19"/>
        <v>0</v>
      </c>
      <c r="K51" s="72">
        <f t="shared" si="20"/>
        <v>0</v>
      </c>
      <c r="L51" s="72">
        <f t="shared" si="21"/>
        <v>0</v>
      </c>
      <c r="M51" s="72">
        <f t="shared" si="22"/>
        <v>0</v>
      </c>
      <c r="N51" s="72">
        <f t="shared" si="23"/>
        <v>0</v>
      </c>
      <c r="O51" s="72">
        <f t="shared" si="24"/>
        <v>0</v>
      </c>
      <c r="P51" s="72">
        <f t="shared" si="25"/>
        <v>0</v>
      </c>
      <c r="Q51" s="72">
        <f t="shared" si="26"/>
        <v>0</v>
      </c>
      <c r="R51" s="72">
        <f t="shared" si="27"/>
        <v>0</v>
      </c>
      <c r="S51" s="72">
        <f t="shared" si="28"/>
        <v>0</v>
      </c>
      <c r="T51" s="72">
        <f t="shared" si="29"/>
        <v>0</v>
      </c>
      <c r="U51" s="72">
        <f t="shared" si="30"/>
        <v>0</v>
      </c>
      <c r="V51" s="72">
        <f t="shared" si="37"/>
        <v>0</v>
      </c>
      <c r="W51" s="72">
        <f t="shared" si="37"/>
        <v>0</v>
      </c>
      <c r="X51" s="72">
        <f t="shared" si="37"/>
        <v>0</v>
      </c>
      <c r="Z51" s="72">
        <f t="shared" si="6"/>
        <v>0</v>
      </c>
      <c r="AA51" s="72">
        <f t="shared" si="7"/>
        <v>0</v>
      </c>
      <c r="AB51" s="72">
        <f t="shared" si="8"/>
        <v>0</v>
      </c>
      <c r="AC51" s="72">
        <f t="shared" si="9"/>
        <v>0</v>
      </c>
      <c r="AD51" s="72">
        <f t="shared" si="10"/>
        <v>0</v>
      </c>
      <c r="AE51" s="72">
        <f t="shared" si="11"/>
        <v>0</v>
      </c>
      <c r="AF51" s="72">
        <f t="shared" si="12"/>
        <v>0</v>
      </c>
      <c r="AG51" s="72">
        <f t="shared" si="13"/>
        <v>0</v>
      </c>
      <c r="AH51" s="72">
        <f t="shared" si="14"/>
        <v>0</v>
      </c>
      <c r="AI51" s="72">
        <f t="shared" si="15"/>
        <v>0</v>
      </c>
      <c r="AJ51" s="72">
        <f t="shared" si="16"/>
        <v>0</v>
      </c>
      <c r="AK51" s="72">
        <f t="shared" si="17"/>
        <v>0</v>
      </c>
      <c r="AL51" s="72">
        <f t="shared" si="18"/>
        <v>0</v>
      </c>
      <c r="AM51" s="72">
        <f t="shared" si="18"/>
        <v>0</v>
      </c>
      <c r="AN51" s="72">
        <f t="shared" si="18"/>
        <v>0</v>
      </c>
    </row>
    <row r="52" spans="2:52" hidden="1">
      <c r="B52" s="60"/>
      <c r="C52" s="62"/>
      <c r="D52" s="79"/>
      <c r="E52" s="56"/>
      <c r="F52" s="76"/>
      <c r="G52" s="77">
        <f t="shared" si="35"/>
        <v>0</v>
      </c>
      <c r="H52" s="78">
        <f t="shared" si="36"/>
        <v>0</v>
      </c>
      <c r="I52" s="481"/>
      <c r="J52" s="72">
        <f t="shared" si="19"/>
        <v>0</v>
      </c>
      <c r="K52" s="72">
        <f t="shared" si="20"/>
        <v>0</v>
      </c>
      <c r="L52" s="72">
        <f t="shared" si="21"/>
        <v>0</v>
      </c>
      <c r="M52" s="72">
        <f t="shared" si="22"/>
        <v>0</v>
      </c>
      <c r="N52" s="72">
        <f t="shared" si="23"/>
        <v>0</v>
      </c>
      <c r="O52" s="72">
        <f t="shared" si="24"/>
        <v>0</v>
      </c>
      <c r="P52" s="72">
        <f t="shared" si="25"/>
        <v>0</v>
      </c>
      <c r="Q52" s="72">
        <f t="shared" si="26"/>
        <v>0</v>
      </c>
      <c r="R52" s="72">
        <f t="shared" si="27"/>
        <v>0</v>
      </c>
      <c r="S52" s="72">
        <f t="shared" si="28"/>
        <v>0</v>
      </c>
      <c r="T52" s="72">
        <f t="shared" si="29"/>
        <v>0</v>
      </c>
      <c r="U52" s="72">
        <f t="shared" si="30"/>
        <v>0</v>
      </c>
      <c r="V52" s="72">
        <f t="shared" si="37"/>
        <v>0</v>
      </c>
      <c r="W52" s="72">
        <f t="shared" si="37"/>
        <v>0</v>
      </c>
      <c r="X52" s="72">
        <f t="shared" si="37"/>
        <v>0</v>
      </c>
      <c r="Z52" s="72">
        <f t="shared" si="6"/>
        <v>0</v>
      </c>
      <c r="AA52" s="72">
        <f t="shared" si="7"/>
        <v>0</v>
      </c>
      <c r="AB52" s="72">
        <f t="shared" si="8"/>
        <v>0</v>
      </c>
      <c r="AC52" s="72">
        <f t="shared" si="9"/>
        <v>0</v>
      </c>
      <c r="AD52" s="72">
        <f t="shared" si="10"/>
        <v>0</v>
      </c>
      <c r="AE52" s="72">
        <f t="shared" si="11"/>
        <v>0</v>
      </c>
      <c r="AF52" s="72">
        <f t="shared" si="12"/>
        <v>0</v>
      </c>
      <c r="AG52" s="72">
        <f t="shared" si="13"/>
        <v>0</v>
      </c>
      <c r="AH52" s="72">
        <f t="shared" si="14"/>
        <v>0</v>
      </c>
      <c r="AI52" s="72">
        <f t="shared" si="15"/>
        <v>0</v>
      </c>
      <c r="AJ52" s="72">
        <f t="shared" si="16"/>
        <v>0</v>
      </c>
      <c r="AK52" s="72">
        <f t="shared" si="17"/>
        <v>0</v>
      </c>
      <c r="AL52" s="72">
        <f t="shared" si="18"/>
        <v>0</v>
      </c>
      <c r="AM52" s="72">
        <f t="shared" si="18"/>
        <v>0</v>
      </c>
      <c r="AN52" s="72">
        <f t="shared" si="18"/>
        <v>0</v>
      </c>
    </row>
    <row r="53" spans="2:52" hidden="1">
      <c r="B53" s="60"/>
      <c r="C53" s="62"/>
      <c r="D53" s="79"/>
      <c r="E53" s="56"/>
      <c r="F53" s="76"/>
      <c r="G53" s="77">
        <f t="shared" si="35"/>
        <v>0</v>
      </c>
      <c r="H53" s="78">
        <f t="shared" si="36"/>
        <v>0</v>
      </c>
      <c r="I53" s="481"/>
      <c r="J53" s="72">
        <f t="shared" si="19"/>
        <v>0</v>
      </c>
      <c r="K53" s="72">
        <f t="shared" si="20"/>
        <v>0</v>
      </c>
      <c r="L53" s="72">
        <f t="shared" si="21"/>
        <v>0</v>
      </c>
      <c r="M53" s="72">
        <f t="shared" si="22"/>
        <v>0</v>
      </c>
      <c r="N53" s="72">
        <f t="shared" si="23"/>
        <v>0</v>
      </c>
      <c r="O53" s="72">
        <f t="shared" si="24"/>
        <v>0</v>
      </c>
      <c r="P53" s="72">
        <f t="shared" si="25"/>
        <v>0</v>
      </c>
      <c r="Q53" s="72">
        <f t="shared" si="26"/>
        <v>0</v>
      </c>
      <c r="R53" s="72">
        <f t="shared" si="27"/>
        <v>0</v>
      </c>
      <c r="S53" s="72">
        <f t="shared" si="28"/>
        <v>0</v>
      </c>
      <c r="T53" s="72">
        <f t="shared" si="29"/>
        <v>0</v>
      </c>
      <c r="U53" s="72">
        <f t="shared" si="30"/>
        <v>0</v>
      </c>
      <c r="V53" s="72">
        <f t="shared" si="37"/>
        <v>0</v>
      </c>
      <c r="W53" s="72">
        <f t="shared" si="37"/>
        <v>0</v>
      </c>
      <c r="X53" s="72">
        <f t="shared" si="37"/>
        <v>0</v>
      </c>
      <c r="Z53" s="72">
        <f t="shared" si="6"/>
        <v>0</v>
      </c>
      <c r="AA53" s="72">
        <f t="shared" si="7"/>
        <v>0</v>
      </c>
      <c r="AB53" s="72">
        <f t="shared" si="8"/>
        <v>0</v>
      </c>
      <c r="AC53" s="72">
        <f t="shared" si="9"/>
        <v>0</v>
      </c>
      <c r="AD53" s="72">
        <f t="shared" si="10"/>
        <v>0</v>
      </c>
      <c r="AE53" s="72">
        <f t="shared" si="11"/>
        <v>0</v>
      </c>
      <c r="AF53" s="72">
        <f t="shared" si="12"/>
        <v>0</v>
      </c>
      <c r="AG53" s="72">
        <f t="shared" si="13"/>
        <v>0</v>
      </c>
      <c r="AH53" s="72">
        <f t="shared" si="14"/>
        <v>0</v>
      </c>
      <c r="AI53" s="72">
        <f t="shared" si="15"/>
        <v>0</v>
      </c>
      <c r="AJ53" s="72">
        <f t="shared" si="16"/>
        <v>0</v>
      </c>
      <c r="AK53" s="72">
        <f t="shared" si="17"/>
        <v>0</v>
      </c>
      <c r="AL53" s="72">
        <f t="shared" si="18"/>
        <v>0</v>
      </c>
      <c r="AM53" s="72">
        <f t="shared" si="18"/>
        <v>0</v>
      </c>
      <c r="AN53" s="72">
        <f t="shared" si="18"/>
        <v>0</v>
      </c>
    </row>
    <row r="54" spans="2:52" hidden="1">
      <c r="B54" s="60"/>
      <c r="C54" s="62"/>
      <c r="D54" s="79"/>
      <c r="E54" s="56"/>
      <c r="F54" s="76"/>
      <c r="G54" s="77">
        <f t="shared" si="35"/>
        <v>0</v>
      </c>
      <c r="H54" s="78">
        <f t="shared" si="36"/>
        <v>0</v>
      </c>
      <c r="I54" s="481"/>
      <c r="J54" s="72">
        <f t="shared" si="19"/>
        <v>0</v>
      </c>
      <c r="K54" s="72">
        <f t="shared" si="20"/>
        <v>0</v>
      </c>
      <c r="L54" s="72">
        <f t="shared" si="21"/>
        <v>0</v>
      </c>
      <c r="M54" s="72">
        <f t="shared" si="22"/>
        <v>0</v>
      </c>
      <c r="N54" s="72">
        <f t="shared" si="23"/>
        <v>0</v>
      </c>
      <c r="O54" s="72">
        <f t="shared" si="24"/>
        <v>0</v>
      </c>
      <c r="P54" s="72">
        <f t="shared" si="25"/>
        <v>0</v>
      </c>
      <c r="Q54" s="72">
        <f t="shared" si="26"/>
        <v>0</v>
      </c>
      <c r="R54" s="72">
        <f t="shared" si="27"/>
        <v>0</v>
      </c>
      <c r="S54" s="72">
        <f t="shared" si="28"/>
        <v>0</v>
      </c>
      <c r="T54" s="72">
        <f t="shared" si="29"/>
        <v>0</v>
      </c>
      <c r="U54" s="72">
        <f t="shared" si="30"/>
        <v>0</v>
      </c>
      <c r="V54" s="72">
        <f t="shared" si="37"/>
        <v>0</v>
      </c>
      <c r="W54" s="72">
        <f t="shared" si="37"/>
        <v>0</v>
      </c>
      <c r="X54" s="72">
        <f t="shared" si="37"/>
        <v>0</v>
      </c>
      <c r="Z54" s="72">
        <f t="shared" si="6"/>
        <v>0</v>
      </c>
      <c r="AA54" s="72">
        <f t="shared" si="7"/>
        <v>0</v>
      </c>
      <c r="AB54" s="72">
        <f t="shared" si="8"/>
        <v>0</v>
      </c>
      <c r="AC54" s="72">
        <f t="shared" si="9"/>
        <v>0</v>
      </c>
      <c r="AD54" s="72">
        <f t="shared" si="10"/>
        <v>0</v>
      </c>
      <c r="AE54" s="72">
        <f t="shared" si="11"/>
        <v>0</v>
      </c>
      <c r="AF54" s="72">
        <f t="shared" si="12"/>
        <v>0</v>
      </c>
      <c r="AG54" s="72">
        <f t="shared" si="13"/>
        <v>0</v>
      </c>
      <c r="AH54" s="72">
        <f t="shared" si="14"/>
        <v>0</v>
      </c>
      <c r="AI54" s="72">
        <f t="shared" si="15"/>
        <v>0</v>
      </c>
      <c r="AJ54" s="72">
        <f t="shared" si="16"/>
        <v>0</v>
      </c>
      <c r="AK54" s="72">
        <f t="shared" si="17"/>
        <v>0</v>
      </c>
      <c r="AL54" s="72">
        <f t="shared" si="18"/>
        <v>0</v>
      </c>
      <c r="AM54" s="72">
        <f t="shared" si="18"/>
        <v>0</v>
      </c>
      <c r="AN54" s="72">
        <f t="shared" si="18"/>
        <v>0</v>
      </c>
    </row>
    <row r="55" spans="2:52" hidden="1">
      <c r="B55" s="60"/>
      <c r="C55" s="62"/>
      <c r="D55" s="79"/>
      <c r="E55" s="56"/>
      <c r="F55" s="76"/>
      <c r="G55" s="77">
        <f t="shared" si="35"/>
        <v>0</v>
      </c>
      <c r="H55" s="78">
        <f t="shared" si="36"/>
        <v>0</v>
      </c>
      <c r="I55" s="481"/>
      <c r="J55" s="72">
        <f t="shared" si="19"/>
        <v>0</v>
      </c>
      <c r="K55" s="72">
        <f t="shared" si="20"/>
        <v>0</v>
      </c>
      <c r="L55" s="72">
        <f t="shared" si="21"/>
        <v>0</v>
      </c>
      <c r="M55" s="72">
        <f t="shared" si="22"/>
        <v>0</v>
      </c>
      <c r="N55" s="72">
        <f t="shared" si="23"/>
        <v>0</v>
      </c>
      <c r="O55" s="72">
        <f t="shared" si="24"/>
        <v>0</v>
      </c>
      <c r="P55" s="72">
        <f t="shared" si="25"/>
        <v>0</v>
      </c>
      <c r="Q55" s="72">
        <f t="shared" si="26"/>
        <v>0</v>
      </c>
      <c r="R55" s="72">
        <f t="shared" si="27"/>
        <v>0</v>
      </c>
      <c r="S55" s="72">
        <f t="shared" si="28"/>
        <v>0</v>
      </c>
      <c r="T55" s="72">
        <f t="shared" si="29"/>
        <v>0</v>
      </c>
      <c r="U55" s="72">
        <f t="shared" si="30"/>
        <v>0</v>
      </c>
      <c r="V55" s="72">
        <f t="shared" si="37"/>
        <v>0</v>
      </c>
      <c r="W55" s="72">
        <f t="shared" si="37"/>
        <v>0</v>
      </c>
      <c r="X55" s="72">
        <f t="shared" si="37"/>
        <v>0</v>
      </c>
      <c r="Z55" s="72">
        <f t="shared" si="6"/>
        <v>0</v>
      </c>
      <c r="AA55" s="72">
        <f t="shared" si="7"/>
        <v>0</v>
      </c>
      <c r="AB55" s="72">
        <f t="shared" si="8"/>
        <v>0</v>
      </c>
      <c r="AC55" s="72">
        <f t="shared" si="9"/>
        <v>0</v>
      </c>
      <c r="AD55" s="72">
        <f t="shared" si="10"/>
        <v>0</v>
      </c>
      <c r="AE55" s="72">
        <f t="shared" si="11"/>
        <v>0</v>
      </c>
      <c r="AF55" s="72">
        <f t="shared" si="12"/>
        <v>0</v>
      </c>
      <c r="AG55" s="72">
        <f t="shared" si="13"/>
        <v>0</v>
      </c>
      <c r="AH55" s="72">
        <f t="shared" si="14"/>
        <v>0</v>
      </c>
      <c r="AI55" s="72">
        <f t="shared" si="15"/>
        <v>0</v>
      </c>
      <c r="AJ55" s="72">
        <f t="shared" si="16"/>
        <v>0</v>
      </c>
      <c r="AK55" s="72">
        <f t="shared" si="17"/>
        <v>0</v>
      </c>
      <c r="AL55" s="72">
        <f t="shared" si="18"/>
        <v>0</v>
      </c>
      <c r="AM55" s="72">
        <f t="shared" si="18"/>
        <v>0</v>
      </c>
      <c r="AN55" s="72">
        <f t="shared" si="18"/>
        <v>0</v>
      </c>
    </row>
    <row r="56" spans="2:52" hidden="1">
      <c r="B56" s="60"/>
      <c r="C56" s="62"/>
      <c r="D56" s="79"/>
      <c r="E56" s="56"/>
      <c r="F56" s="76"/>
      <c r="G56" s="77">
        <f t="shared" si="35"/>
        <v>0</v>
      </c>
      <c r="H56" s="78">
        <f t="shared" si="36"/>
        <v>0</v>
      </c>
      <c r="I56" s="481"/>
      <c r="J56" s="72">
        <f t="shared" si="19"/>
        <v>0</v>
      </c>
      <c r="K56" s="72">
        <f t="shared" si="20"/>
        <v>0</v>
      </c>
      <c r="L56" s="72">
        <f t="shared" si="21"/>
        <v>0</v>
      </c>
      <c r="M56" s="72">
        <f t="shared" si="22"/>
        <v>0</v>
      </c>
      <c r="N56" s="72">
        <f t="shared" si="23"/>
        <v>0</v>
      </c>
      <c r="O56" s="72">
        <f t="shared" si="24"/>
        <v>0</v>
      </c>
      <c r="P56" s="72">
        <f t="shared" si="25"/>
        <v>0</v>
      </c>
      <c r="Q56" s="72">
        <f t="shared" si="26"/>
        <v>0</v>
      </c>
      <c r="R56" s="72">
        <f t="shared" si="27"/>
        <v>0</v>
      </c>
      <c r="S56" s="72">
        <f t="shared" si="28"/>
        <v>0</v>
      </c>
      <c r="T56" s="72">
        <f t="shared" si="29"/>
        <v>0</v>
      </c>
      <c r="U56" s="72">
        <f t="shared" si="30"/>
        <v>0</v>
      </c>
      <c r="V56" s="72">
        <f t="shared" si="37"/>
        <v>0</v>
      </c>
      <c r="W56" s="72">
        <f t="shared" si="37"/>
        <v>0</v>
      </c>
      <c r="X56" s="72">
        <f t="shared" si="37"/>
        <v>0</v>
      </c>
      <c r="Z56" s="72">
        <f t="shared" si="6"/>
        <v>0</v>
      </c>
      <c r="AA56" s="72">
        <f t="shared" si="7"/>
        <v>0</v>
      </c>
      <c r="AB56" s="72">
        <f t="shared" si="8"/>
        <v>0</v>
      </c>
      <c r="AC56" s="72">
        <f t="shared" si="9"/>
        <v>0</v>
      </c>
      <c r="AD56" s="72">
        <f t="shared" si="10"/>
        <v>0</v>
      </c>
      <c r="AE56" s="72">
        <f t="shared" si="11"/>
        <v>0</v>
      </c>
      <c r="AF56" s="72">
        <f t="shared" si="12"/>
        <v>0</v>
      </c>
      <c r="AG56" s="72">
        <f t="shared" si="13"/>
        <v>0</v>
      </c>
      <c r="AH56" s="72">
        <f t="shared" si="14"/>
        <v>0</v>
      </c>
      <c r="AI56" s="72">
        <f t="shared" si="15"/>
        <v>0</v>
      </c>
      <c r="AJ56" s="72">
        <f t="shared" si="16"/>
        <v>0</v>
      </c>
      <c r="AK56" s="72">
        <f t="shared" si="17"/>
        <v>0</v>
      </c>
      <c r="AL56" s="72">
        <f t="shared" si="18"/>
        <v>0</v>
      </c>
      <c r="AM56" s="72">
        <f t="shared" si="18"/>
        <v>0</v>
      </c>
      <c r="AN56" s="72">
        <f t="shared" si="18"/>
        <v>0</v>
      </c>
    </row>
    <row r="57" spans="2:52" hidden="1">
      <c r="B57" s="60"/>
      <c r="C57" s="62"/>
      <c r="D57" s="79"/>
      <c r="E57" s="56"/>
      <c r="F57" s="76"/>
      <c r="G57" s="77">
        <f t="shared" si="35"/>
        <v>0</v>
      </c>
      <c r="H57" s="78">
        <f t="shared" si="36"/>
        <v>0</v>
      </c>
      <c r="I57" s="481"/>
      <c r="J57" s="72">
        <f t="shared" si="19"/>
        <v>0</v>
      </c>
      <c r="K57" s="72">
        <f t="shared" si="20"/>
        <v>0</v>
      </c>
      <c r="L57" s="72">
        <f t="shared" si="21"/>
        <v>0</v>
      </c>
      <c r="M57" s="72">
        <f t="shared" si="22"/>
        <v>0</v>
      </c>
      <c r="N57" s="72">
        <f t="shared" si="23"/>
        <v>0</v>
      </c>
      <c r="O57" s="72">
        <f t="shared" si="24"/>
        <v>0</v>
      </c>
      <c r="P57" s="72">
        <f t="shared" si="25"/>
        <v>0</v>
      </c>
      <c r="Q57" s="72">
        <f t="shared" si="26"/>
        <v>0</v>
      </c>
      <c r="R57" s="72">
        <f t="shared" si="27"/>
        <v>0</v>
      </c>
      <c r="S57" s="72">
        <f t="shared" si="28"/>
        <v>0</v>
      </c>
      <c r="T57" s="72">
        <f t="shared" si="29"/>
        <v>0</v>
      </c>
      <c r="U57" s="72">
        <f t="shared" si="30"/>
        <v>0</v>
      </c>
      <c r="V57" s="72">
        <f t="shared" si="37"/>
        <v>0</v>
      </c>
      <c r="W57" s="72">
        <f t="shared" si="37"/>
        <v>0</v>
      </c>
      <c r="X57" s="72">
        <f t="shared" si="37"/>
        <v>0</v>
      </c>
      <c r="Z57" s="72">
        <f t="shared" si="6"/>
        <v>0</v>
      </c>
      <c r="AA57" s="72">
        <f t="shared" si="7"/>
        <v>0</v>
      </c>
      <c r="AB57" s="72">
        <f t="shared" si="8"/>
        <v>0</v>
      </c>
      <c r="AC57" s="72">
        <f t="shared" si="9"/>
        <v>0</v>
      </c>
      <c r="AD57" s="72">
        <f t="shared" si="10"/>
        <v>0</v>
      </c>
      <c r="AE57" s="72">
        <f t="shared" si="11"/>
        <v>0</v>
      </c>
      <c r="AF57" s="72">
        <f t="shared" si="12"/>
        <v>0</v>
      </c>
      <c r="AG57" s="72">
        <f t="shared" si="13"/>
        <v>0</v>
      </c>
      <c r="AH57" s="72">
        <f t="shared" si="14"/>
        <v>0</v>
      </c>
      <c r="AI57" s="72">
        <f t="shared" si="15"/>
        <v>0</v>
      </c>
      <c r="AJ57" s="72">
        <f t="shared" si="16"/>
        <v>0</v>
      </c>
      <c r="AK57" s="72">
        <f t="shared" si="17"/>
        <v>0</v>
      </c>
      <c r="AL57" s="72">
        <f t="shared" si="18"/>
        <v>0</v>
      </c>
      <c r="AM57" s="72">
        <f t="shared" si="18"/>
        <v>0</v>
      </c>
      <c r="AN57" s="72">
        <f t="shared" si="18"/>
        <v>0</v>
      </c>
    </row>
    <row r="58" spans="2:52" hidden="1">
      <c r="B58" s="60"/>
      <c r="C58" s="62"/>
      <c r="D58" s="79"/>
      <c r="E58" s="56"/>
      <c r="F58" s="76"/>
      <c r="G58" s="77">
        <f t="shared" si="35"/>
        <v>0</v>
      </c>
      <c r="H58" s="78">
        <f t="shared" si="36"/>
        <v>0</v>
      </c>
      <c r="I58" s="481"/>
      <c r="J58" s="72">
        <f t="shared" si="19"/>
        <v>0</v>
      </c>
      <c r="K58" s="72">
        <f t="shared" si="20"/>
        <v>0</v>
      </c>
      <c r="L58" s="72">
        <f t="shared" si="21"/>
        <v>0</v>
      </c>
      <c r="M58" s="72">
        <f t="shared" si="22"/>
        <v>0</v>
      </c>
      <c r="N58" s="72">
        <f t="shared" si="23"/>
        <v>0</v>
      </c>
      <c r="O58" s="72">
        <f t="shared" si="24"/>
        <v>0</v>
      </c>
      <c r="P58" s="72">
        <f t="shared" si="25"/>
        <v>0</v>
      </c>
      <c r="Q58" s="72">
        <f t="shared" si="26"/>
        <v>0</v>
      </c>
      <c r="R58" s="72">
        <f t="shared" si="27"/>
        <v>0</v>
      </c>
      <c r="S58" s="72">
        <f t="shared" si="28"/>
        <v>0</v>
      </c>
      <c r="T58" s="72">
        <f t="shared" si="29"/>
        <v>0</v>
      </c>
      <c r="U58" s="72">
        <f t="shared" si="30"/>
        <v>0</v>
      </c>
      <c r="V58" s="72">
        <f t="shared" si="37"/>
        <v>0</v>
      </c>
      <c r="W58" s="72">
        <f t="shared" si="37"/>
        <v>0</v>
      </c>
      <c r="X58" s="72">
        <f t="shared" si="37"/>
        <v>0</v>
      </c>
      <c r="Z58" s="72">
        <f t="shared" si="6"/>
        <v>0</v>
      </c>
      <c r="AA58" s="72">
        <f t="shared" si="7"/>
        <v>0</v>
      </c>
      <c r="AB58" s="72">
        <f t="shared" si="8"/>
        <v>0</v>
      </c>
      <c r="AC58" s="72">
        <f t="shared" si="9"/>
        <v>0</v>
      </c>
      <c r="AD58" s="72">
        <f t="shared" si="10"/>
        <v>0</v>
      </c>
      <c r="AE58" s="72">
        <f t="shared" si="11"/>
        <v>0</v>
      </c>
      <c r="AF58" s="72">
        <f t="shared" si="12"/>
        <v>0</v>
      </c>
      <c r="AG58" s="72">
        <f t="shared" si="13"/>
        <v>0</v>
      </c>
      <c r="AH58" s="72">
        <f t="shared" si="14"/>
        <v>0</v>
      </c>
      <c r="AI58" s="72">
        <f t="shared" si="15"/>
        <v>0</v>
      </c>
      <c r="AJ58" s="72">
        <f t="shared" si="16"/>
        <v>0</v>
      </c>
      <c r="AK58" s="72">
        <f t="shared" si="17"/>
        <v>0</v>
      </c>
      <c r="AL58" s="72">
        <f t="shared" si="18"/>
        <v>0</v>
      </c>
      <c r="AM58" s="72">
        <f t="shared" si="18"/>
        <v>0</v>
      </c>
      <c r="AN58" s="72">
        <f t="shared" si="18"/>
        <v>0</v>
      </c>
    </row>
    <row r="59" spans="2:52" hidden="1">
      <c r="B59" s="60"/>
      <c r="C59" s="62"/>
      <c r="D59" s="79"/>
      <c r="E59" s="56"/>
      <c r="F59" s="76"/>
      <c r="G59" s="77">
        <f t="shared" si="35"/>
        <v>0</v>
      </c>
      <c r="H59" s="78">
        <f t="shared" si="36"/>
        <v>0</v>
      </c>
      <c r="I59" s="481"/>
      <c r="J59" s="72">
        <f t="shared" si="19"/>
        <v>0</v>
      </c>
      <c r="K59" s="72">
        <f t="shared" si="20"/>
        <v>0</v>
      </c>
      <c r="L59" s="72">
        <f t="shared" si="21"/>
        <v>0</v>
      </c>
      <c r="M59" s="72">
        <f t="shared" si="22"/>
        <v>0</v>
      </c>
      <c r="N59" s="72">
        <f t="shared" si="23"/>
        <v>0</v>
      </c>
      <c r="O59" s="72">
        <f t="shared" si="24"/>
        <v>0</v>
      </c>
      <c r="P59" s="72">
        <f t="shared" si="25"/>
        <v>0</v>
      </c>
      <c r="Q59" s="72">
        <f t="shared" si="26"/>
        <v>0</v>
      </c>
      <c r="R59" s="72">
        <f t="shared" si="27"/>
        <v>0</v>
      </c>
      <c r="S59" s="72">
        <f t="shared" si="28"/>
        <v>0</v>
      </c>
      <c r="T59" s="72">
        <f t="shared" si="29"/>
        <v>0</v>
      </c>
      <c r="U59" s="72">
        <f t="shared" si="30"/>
        <v>0</v>
      </c>
      <c r="V59" s="72">
        <f t="shared" si="37"/>
        <v>0</v>
      </c>
      <c r="W59" s="72">
        <f t="shared" si="37"/>
        <v>0</v>
      </c>
      <c r="X59" s="72">
        <f t="shared" si="37"/>
        <v>0</v>
      </c>
      <c r="Z59" s="72">
        <f t="shared" si="6"/>
        <v>0</v>
      </c>
      <c r="AA59" s="72">
        <f t="shared" si="7"/>
        <v>0</v>
      </c>
      <c r="AB59" s="72">
        <f t="shared" si="8"/>
        <v>0</v>
      </c>
      <c r="AC59" s="72">
        <f t="shared" si="9"/>
        <v>0</v>
      </c>
      <c r="AD59" s="72">
        <f t="shared" si="10"/>
        <v>0</v>
      </c>
      <c r="AE59" s="72">
        <f t="shared" si="11"/>
        <v>0</v>
      </c>
      <c r="AF59" s="72">
        <f t="shared" si="12"/>
        <v>0</v>
      </c>
      <c r="AG59" s="72">
        <f t="shared" si="13"/>
        <v>0</v>
      </c>
      <c r="AH59" s="72">
        <f t="shared" si="14"/>
        <v>0</v>
      </c>
      <c r="AI59" s="72">
        <f t="shared" si="15"/>
        <v>0</v>
      </c>
      <c r="AJ59" s="72">
        <f t="shared" si="16"/>
        <v>0</v>
      </c>
      <c r="AK59" s="72">
        <f t="shared" si="17"/>
        <v>0</v>
      </c>
      <c r="AL59" s="72">
        <f t="shared" si="18"/>
        <v>0</v>
      </c>
      <c r="AM59" s="72">
        <f t="shared" si="18"/>
        <v>0</v>
      </c>
      <c r="AN59" s="72">
        <f t="shared" si="18"/>
        <v>0</v>
      </c>
    </row>
    <row r="60" spans="2:52" hidden="1">
      <c r="B60" s="60"/>
      <c r="C60" s="62"/>
      <c r="D60" s="79"/>
      <c r="E60" s="56"/>
      <c r="F60" s="76"/>
      <c r="G60" s="77">
        <f t="shared" si="35"/>
        <v>0</v>
      </c>
      <c r="H60" s="78">
        <f t="shared" si="36"/>
        <v>0</v>
      </c>
      <c r="I60" s="481"/>
      <c r="J60" s="72">
        <f t="shared" si="19"/>
        <v>0</v>
      </c>
      <c r="K60" s="72">
        <f t="shared" si="20"/>
        <v>0</v>
      </c>
      <c r="L60" s="72">
        <f t="shared" si="21"/>
        <v>0</v>
      </c>
      <c r="M60" s="72">
        <f t="shared" si="22"/>
        <v>0</v>
      </c>
      <c r="N60" s="72">
        <f t="shared" si="23"/>
        <v>0</v>
      </c>
      <c r="O60" s="72">
        <f t="shared" si="24"/>
        <v>0</v>
      </c>
      <c r="P60" s="72">
        <f t="shared" si="25"/>
        <v>0</v>
      </c>
      <c r="Q60" s="72">
        <f t="shared" si="26"/>
        <v>0</v>
      </c>
      <c r="R60" s="72">
        <f t="shared" si="27"/>
        <v>0</v>
      </c>
      <c r="S60" s="72">
        <f t="shared" si="28"/>
        <v>0</v>
      </c>
      <c r="T60" s="72">
        <f t="shared" si="29"/>
        <v>0</v>
      </c>
      <c r="U60" s="72">
        <f t="shared" si="30"/>
        <v>0</v>
      </c>
      <c r="V60" s="72">
        <f t="shared" si="37"/>
        <v>0</v>
      </c>
      <c r="W60" s="72">
        <f t="shared" si="37"/>
        <v>0</v>
      </c>
      <c r="X60" s="72">
        <f t="shared" si="37"/>
        <v>0</v>
      </c>
      <c r="Z60" s="72">
        <f t="shared" si="6"/>
        <v>0</v>
      </c>
      <c r="AA60" s="72">
        <f t="shared" si="7"/>
        <v>0</v>
      </c>
      <c r="AB60" s="72">
        <f t="shared" si="8"/>
        <v>0</v>
      </c>
      <c r="AC60" s="72">
        <f t="shared" si="9"/>
        <v>0</v>
      </c>
      <c r="AD60" s="72">
        <f t="shared" si="10"/>
        <v>0</v>
      </c>
      <c r="AE60" s="72">
        <f t="shared" si="11"/>
        <v>0</v>
      </c>
      <c r="AF60" s="72">
        <f t="shared" si="12"/>
        <v>0</v>
      </c>
      <c r="AG60" s="72">
        <f t="shared" si="13"/>
        <v>0</v>
      </c>
      <c r="AH60" s="72">
        <f t="shared" si="14"/>
        <v>0</v>
      </c>
      <c r="AI60" s="72">
        <f t="shared" si="15"/>
        <v>0</v>
      </c>
      <c r="AJ60" s="72">
        <f t="shared" si="16"/>
        <v>0</v>
      </c>
      <c r="AK60" s="72">
        <f t="shared" si="17"/>
        <v>0</v>
      </c>
      <c r="AL60" s="72">
        <f t="shared" si="18"/>
        <v>0</v>
      </c>
      <c r="AM60" s="72">
        <f t="shared" si="18"/>
        <v>0</v>
      </c>
      <c r="AN60" s="72">
        <f t="shared" si="18"/>
        <v>0</v>
      </c>
    </row>
    <row r="61" spans="2:52" hidden="1">
      <c r="B61" s="60"/>
      <c r="C61" s="62"/>
      <c r="D61" s="79"/>
      <c r="E61" s="56"/>
      <c r="F61" s="76"/>
      <c r="G61" s="77">
        <f t="shared" si="35"/>
        <v>0</v>
      </c>
      <c r="H61" s="78">
        <f t="shared" si="36"/>
        <v>0</v>
      </c>
      <c r="I61" s="481"/>
      <c r="J61" s="72">
        <f t="shared" si="19"/>
        <v>0</v>
      </c>
      <c r="K61" s="72">
        <f t="shared" si="20"/>
        <v>0</v>
      </c>
      <c r="L61" s="72">
        <f t="shared" si="21"/>
        <v>0</v>
      </c>
      <c r="M61" s="72">
        <f t="shared" si="22"/>
        <v>0</v>
      </c>
      <c r="N61" s="72">
        <f t="shared" si="23"/>
        <v>0</v>
      </c>
      <c r="O61" s="72">
        <f t="shared" si="24"/>
        <v>0</v>
      </c>
      <c r="P61" s="72">
        <f t="shared" si="25"/>
        <v>0</v>
      </c>
      <c r="Q61" s="72">
        <f t="shared" si="26"/>
        <v>0</v>
      </c>
      <c r="R61" s="72">
        <f t="shared" si="27"/>
        <v>0</v>
      </c>
      <c r="S61" s="72">
        <f t="shared" si="28"/>
        <v>0</v>
      </c>
      <c r="T61" s="72">
        <f t="shared" si="29"/>
        <v>0</v>
      </c>
      <c r="U61" s="72">
        <f t="shared" si="30"/>
        <v>0</v>
      </c>
      <c r="V61" s="72">
        <f t="shared" si="37"/>
        <v>0</v>
      </c>
      <c r="W61" s="72">
        <f t="shared" si="37"/>
        <v>0</v>
      </c>
      <c r="X61" s="72">
        <f t="shared" si="37"/>
        <v>0</v>
      </c>
      <c r="Z61" s="72">
        <f t="shared" si="6"/>
        <v>0</v>
      </c>
      <c r="AA61" s="72">
        <f t="shared" si="7"/>
        <v>0</v>
      </c>
      <c r="AB61" s="72">
        <f t="shared" si="8"/>
        <v>0</v>
      </c>
      <c r="AC61" s="72">
        <f t="shared" si="9"/>
        <v>0</v>
      </c>
      <c r="AD61" s="72">
        <f t="shared" si="10"/>
        <v>0</v>
      </c>
      <c r="AE61" s="72">
        <f t="shared" si="11"/>
        <v>0</v>
      </c>
      <c r="AF61" s="72">
        <f t="shared" si="12"/>
        <v>0</v>
      </c>
      <c r="AG61" s="72">
        <f t="shared" si="13"/>
        <v>0</v>
      </c>
      <c r="AH61" s="72">
        <f t="shared" si="14"/>
        <v>0</v>
      </c>
      <c r="AI61" s="72">
        <f t="shared" si="15"/>
        <v>0</v>
      </c>
      <c r="AJ61" s="72">
        <f t="shared" si="16"/>
        <v>0</v>
      </c>
      <c r="AK61" s="72">
        <f t="shared" si="17"/>
        <v>0</v>
      </c>
      <c r="AL61" s="72">
        <f t="shared" si="18"/>
        <v>0</v>
      </c>
      <c r="AM61" s="72">
        <f t="shared" si="18"/>
        <v>0</v>
      </c>
      <c r="AN61" s="72">
        <f t="shared" si="18"/>
        <v>0</v>
      </c>
    </row>
    <row r="62" spans="2:52" ht="17.25" hidden="1" thickBot="1">
      <c r="B62" s="100"/>
      <c r="C62" s="84"/>
      <c r="D62" s="171"/>
      <c r="E62" s="86"/>
      <c r="F62" s="163"/>
      <c r="G62" s="161">
        <f t="shared" si="35"/>
        <v>0</v>
      </c>
      <c r="H62" s="162">
        <f t="shared" si="36"/>
        <v>0</v>
      </c>
      <c r="I62" s="481"/>
      <c r="J62" s="72">
        <f t="shared" si="19"/>
        <v>0</v>
      </c>
      <c r="K62" s="72">
        <f t="shared" si="20"/>
        <v>0</v>
      </c>
      <c r="L62" s="72">
        <f t="shared" si="21"/>
        <v>0</v>
      </c>
      <c r="M62" s="72">
        <f t="shared" si="22"/>
        <v>0</v>
      </c>
      <c r="N62" s="72">
        <f t="shared" si="23"/>
        <v>0</v>
      </c>
      <c r="O62" s="72">
        <f t="shared" si="24"/>
        <v>0</v>
      </c>
      <c r="P62" s="72">
        <f t="shared" si="25"/>
        <v>0</v>
      </c>
      <c r="Q62" s="72">
        <f t="shared" si="26"/>
        <v>0</v>
      </c>
      <c r="R62" s="72">
        <f t="shared" si="27"/>
        <v>0</v>
      </c>
      <c r="S62" s="72">
        <f t="shared" si="28"/>
        <v>0</v>
      </c>
      <c r="T62" s="72">
        <f t="shared" si="29"/>
        <v>0</v>
      </c>
      <c r="U62" s="72">
        <f t="shared" si="30"/>
        <v>0</v>
      </c>
      <c r="V62" s="72">
        <f t="shared" si="37"/>
        <v>0</v>
      </c>
      <c r="W62" s="72">
        <f t="shared" si="37"/>
        <v>0</v>
      </c>
      <c r="X62" s="72">
        <f t="shared" si="37"/>
        <v>0</v>
      </c>
      <c r="Z62" s="72">
        <f t="shared" si="6"/>
        <v>0</v>
      </c>
      <c r="AA62" s="72">
        <f t="shared" si="7"/>
        <v>0</v>
      </c>
      <c r="AB62" s="72">
        <f t="shared" si="8"/>
        <v>0</v>
      </c>
      <c r="AC62" s="72">
        <f t="shared" si="9"/>
        <v>0</v>
      </c>
      <c r="AD62" s="72">
        <f t="shared" si="10"/>
        <v>0</v>
      </c>
      <c r="AE62" s="72">
        <f t="shared" si="11"/>
        <v>0</v>
      </c>
      <c r="AF62" s="72">
        <f t="shared" si="12"/>
        <v>0</v>
      </c>
      <c r="AG62" s="72">
        <f t="shared" si="13"/>
        <v>0</v>
      </c>
      <c r="AH62" s="72">
        <f t="shared" si="14"/>
        <v>0</v>
      </c>
      <c r="AI62" s="72">
        <f t="shared" si="15"/>
        <v>0</v>
      </c>
      <c r="AJ62" s="72">
        <f t="shared" si="16"/>
        <v>0</v>
      </c>
      <c r="AK62" s="72">
        <f t="shared" si="17"/>
        <v>0</v>
      </c>
      <c r="AL62" s="72">
        <f t="shared" si="18"/>
        <v>0</v>
      </c>
      <c r="AM62" s="72">
        <f t="shared" si="18"/>
        <v>0</v>
      </c>
      <c r="AN62" s="72">
        <f t="shared" si="18"/>
        <v>0</v>
      </c>
    </row>
    <row r="63" spans="2:52" ht="17.25" thickBot="1">
      <c r="C63" s="853" t="s">
        <v>45</v>
      </c>
      <c r="D63" s="854"/>
      <c r="E63" s="63">
        <f>SUM(E3:E62)</f>
        <v>2187.9500000000003</v>
      </c>
      <c r="F63" s="69"/>
      <c r="G63" s="64">
        <f>SUM(G3:G62)</f>
        <v>192.31</v>
      </c>
      <c r="H63" s="65">
        <f>SUM(H3:H62)</f>
        <v>1995.6399999999999</v>
      </c>
      <c r="I63" s="483"/>
      <c r="J63" s="73">
        <f>SUM(J3:J62)</f>
        <v>178.7</v>
      </c>
      <c r="K63" s="73">
        <f t="shared" ref="K63:X63" si="38">SUM(K3:K62)</f>
        <v>75</v>
      </c>
      <c r="L63" s="73">
        <f t="shared" si="38"/>
        <v>77</v>
      </c>
      <c r="M63" s="73">
        <f t="shared" si="38"/>
        <v>0</v>
      </c>
      <c r="N63" s="73">
        <f t="shared" si="38"/>
        <v>58.66</v>
      </c>
      <c r="O63" s="73">
        <f t="shared" si="38"/>
        <v>415.13</v>
      </c>
      <c r="P63" s="73">
        <f t="shared" si="38"/>
        <v>500.98</v>
      </c>
      <c r="Q63" s="73">
        <f t="shared" si="38"/>
        <v>0</v>
      </c>
      <c r="R63" s="73">
        <f t="shared" si="38"/>
        <v>39.950000000000003</v>
      </c>
      <c r="S63" s="73">
        <f t="shared" si="38"/>
        <v>48.599999999999994</v>
      </c>
      <c r="T63" s="73">
        <f t="shared" si="38"/>
        <v>0</v>
      </c>
      <c r="U63" s="73">
        <f t="shared" si="38"/>
        <v>0</v>
      </c>
      <c r="V63" s="73">
        <f t="shared" si="38"/>
        <v>191.86</v>
      </c>
      <c r="W63" s="73">
        <f t="shared" si="38"/>
        <v>409.76</v>
      </c>
      <c r="X63" s="73">
        <f t="shared" si="38"/>
        <v>0</v>
      </c>
      <c r="Y63" s="73"/>
      <c r="Z63" s="73">
        <f>SUM(Z3:Z62)</f>
        <v>0</v>
      </c>
      <c r="AA63" s="73">
        <f t="shared" ref="AA63:AN63" si="39">SUM(AA3:AA62)</f>
        <v>75</v>
      </c>
      <c r="AB63" s="73">
        <f t="shared" si="39"/>
        <v>0</v>
      </c>
      <c r="AC63" s="73">
        <f t="shared" si="39"/>
        <v>0</v>
      </c>
      <c r="AD63" s="73">
        <f t="shared" si="39"/>
        <v>117.31</v>
      </c>
      <c r="AE63" s="73">
        <f t="shared" si="39"/>
        <v>0</v>
      </c>
      <c r="AF63" s="73">
        <f t="shared" si="39"/>
        <v>0</v>
      </c>
      <c r="AG63" s="73">
        <f t="shared" si="39"/>
        <v>0</v>
      </c>
      <c r="AH63" s="73">
        <f t="shared" si="39"/>
        <v>0</v>
      </c>
      <c r="AI63" s="73">
        <f t="shared" si="39"/>
        <v>0</v>
      </c>
      <c r="AJ63" s="73">
        <f t="shared" si="39"/>
        <v>0</v>
      </c>
      <c r="AK63" s="73">
        <f t="shared" si="39"/>
        <v>0</v>
      </c>
      <c r="AL63" s="73">
        <f t="shared" si="39"/>
        <v>0</v>
      </c>
      <c r="AM63" s="73">
        <f t="shared" si="39"/>
        <v>0</v>
      </c>
      <c r="AN63" s="73">
        <f t="shared" si="39"/>
        <v>0</v>
      </c>
      <c r="AO63" s="73"/>
      <c r="AP63" s="73"/>
    </row>
    <row r="64" spans="2:52">
      <c r="H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Z64" s="59"/>
      <c r="AA64" s="59"/>
      <c r="AB64" s="59"/>
      <c r="AC64" s="59"/>
      <c r="AD64" s="59"/>
      <c r="AE64" s="59"/>
      <c r="AF64" s="59"/>
      <c r="AG64" s="59"/>
      <c r="AH64" s="59"/>
      <c r="AI64" s="59"/>
    </row>
    <row r="70" spans="2:38">
      <c r="B70" s="55"/>
      <c r="E70" s="59"/>
      <c r="F70" s="70"/>
      <c r="I70" s="55"/>
      <c r="AL70" s="55"/>
    </row>
  </sheetData>
  <mergeCells count="7">
    <mergeCell ref="AR18:AT18"/>
    <mergeCell ref="C63:D63"/>
    <mergeCell ref="AV23:AW23"/>
    <mergeCell ref="AY23:AZ23"/>
    <mergeCell ref="AS25:AT25"/>
    <mergeCell ref="AS27:AT28"/>
    <mergeCell ref="B17:H34"/>
  </mergeCells>
  <dataValidations count="3">
    <dataValidation type="list" allowBlank="1" showInputMessage="1" showErrorMessage="1" sqref="F3:F16 F35:F62">
      <formula1>$AQ$17:$AQ$19</formula1>
    </dataValidation>
    <dataValidation type="list" allowBlank="1" showInputMessage="1" showErrorMessage="1" sqref="D3:D5 D8:D16 D35:D62">
      <formula1>$AQ$2:$AQ$16</formula1>
    </dataValidation>
    <dataValidation type="list" allowBlank="1" showInputMessage="1" showErrorMessage="1" sqref="D6:D7">
      <formula1>$AQ$2:$AQ$12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AZ70"/>
  <sheetViews>
    <sheetView workbookViewId="0">
      <selection activeCell="AT2" sqref="AT2:AT16"/>
    </sheetView>
  </sheetViews>
  <sheetFormatPr defaultRowHeight="16.5"/>
  <cols>
    <col min="1" max="1" width="1" style="55" customWidth="1"/>
    <col min="2" max="2" width="6.5703125" style="134" bestFit="1" customWidth="1"/>
    <col min="3" max="3" width="16.7109375" style="55" customWidth="1"/>
    <col min="4" max="4" width="17.5703125" style="55" customWidth="1"/>
    <col min="5" max="5" width="13.7109375" style="55" customWidth="1"/>
    <col min="6" max="6" width="13.7109375" style="134" customWidth="1"/>
    <col min="7" max="8" width="13.7109375" style="55" customWidth="1"/>
    <col min="9" max="9" width="8.42578125" style="479" customWidth="1"/>
    <col min="10" max="10" width="13.5703125" style="55" hidden="1" customWidth="1"/>
    <col min="11" max="11" width="7.85546875" style="55" hidden="1" customWidth="1"/>
    <col min="12" max="12" width="7.42578125" style="55" hidden="1" customWidth="1"/>
    <col min="13" max="13" width="9.7109375" style="55" hidden="1" customWidth="1"/>
    <col min="14" max="14" width="7.42578125" style="55" hidden="1" customWidth="1"/>
    <col min="15" max="15" width="14.5703125" style="55" hidden="1" customWidth="1"/>
    <col min="16" max="16" width="16.85546875" style="55" hidden="1" customWidth="1"/>
    <col min="17" max="17" width="7.7109375" style="55" hidden="1" customWidth="1"/>
    <col min="18" max="18" width="8.85546875" style="55" hidden="1" customWidth="1"/>
    <col min="19" max="19" width="8" style="55" hidden="1" customWidth="1"/>
    <col min="20" max="20" width="7.42578125" style="55" hidden="1" customWidth="1"/>
    <col min="21" max="21" width="2" style="55" hidden="1" customWidth="1"/>
    <col min="22" max="22" width="9.7109375" style="55" hidden="1" customWidth="1"/>
    <col min="23" max="24" width="7.42578125" style="55" hidden="1" customWidth="1"/>
    <col min="25" max="25" width="1.7109375" style="55" hidden="1" customWidth="1"/>
    <col min="26" max="26" width="13.5703125" style="55" hidden="1" customWidth="1"/>
    <col min="27" max="27" width="7.85546875" style="55" hidden="1" customWidth="1"/>
    <col min="28" max="28" width="7.42578125" style="55" hidden="1" customWidth="1"/>
    <col min="29" max="29" width="9.7109375" style="55" hidden="1" customWidth="1"/>
    <col min="30" max="30" width="7.42578125" style="55" hidden="1" customWidth="1"/>
    <col min="31" max="31" width="14.5703125" style="55" hidden="1" customWidth="1"/>
    <col min="32" max="32" width="16.85546875" style="55" hidden="1" customWidth="1"/>
    <col min="33" max="33" width="7.7109375" style="55" hidden="1" customWidth="1"/>
    <col min="34" max="34" width="8.85546875" style="55" hidden="1" customWidth="1"/>
    <col min="35" max="35" width="8" style="55" hidden="1" customWidth="1"/>
    <col min="36" max="36" width="7.42578125" style="55" hidden="1" customWidth="1"/>
    <col min="37" max="37" width="13.42578125" style="55" hidden="1" customWidth="1"/>
    <col min="38" max="38" width="10.28515625" style="450" hidden="1" customWidth="1"/>
    <col min="39" max="40" width="7.42578125" style="55" hidden="1" customWidth="1"/>
    <col min="41" max="41" width="4" style="55" hidden="1" customWidth="1"/>
    <col min="42" max="42" width="4.42578125" style="55" customWidth="1"/>
    <col min="43" max="43" width="16.85546875" style="55" bestFit="1" customWidth="1"/>
    <col min="44" max="47" width="12.7109375" style="55" customWidth="1"/>
    <col min="48" max="48" width="8.28515625" style="55" bestFit="1" customWidth="1"/>
    <col min="49" max="49" width="10.5703125" style="55" bestFit="1" customWidth="1"/>
    <col min="50" max="50" width="3.28515625" style="55" customWidth="1"/>
    <col min="51" max="51" width="18.42578125" style="55" bestFit="1" customWidth="1"/>
    <col min="52" max="52" width="11.7109375" style="55" bestFit="1" customWidth="1"/>
    <col min="53" max="16384" width="9.140625" style="55"/>
  </cols>
  <sheetData>
    <row r="1" spans="2:51" ht="17.25" thickBot="1">
      <c r="AR1" s="134" t="s">
        <v>66</v>
      </c>
      <c r="AS1" s="134" t="s">
        <v>67</v>
      </c>
      <c r="AT1" s="81" t="s">
        <v>65</v>
      </c>
      <c r="AV1" s="134"/>
    </row>
    <row r="2" spans="2:51" ht="17.25" thickBot="1">
      <c r="B2" s="68" t="s">
        <v>1</v>
      </c>
      <c r="C2" s="66" t="s">
        <v>0</v>
      </c>
      <c r="D2" s="66" t="s">
        <v>63</v>
      </c>
      <c r="E2" s="66" t="s">
        <v>2</v>
      </c>
      <c r="F2" s="66" t="s">
        <v>64</v>
      </c>
      <c r="G2" s="66" t="s">
        <v>3</v>
      </c>
      <c r="H2" s="67" t="s">
        <v>4</v>
      </c>
      <c r="I2" s="480"/>
      <c r="J2" s="75" t="s">
        <v>57</v>
      </c>
      <c r="K2" s="74" t="s">
        <v>51</v>
      </c>
      <c r="L2" s="74" t="s">
        <v>120</v>
      </c>
      <c r="M2" s="74" t="s">
        <v>36</v>
      </c>
      <c r="N2" s="74" t="s">
        <v>56</v>
      </c>
      <c r="O2" s="74" t="s">
        <v>125</v>
      </c>
      <c r="P2" s="74" t="s">
        <v>54</v>
      </c>
      <c r="Q2" s="74" t="s">
        <v>59</v>
      </c>
      <c r="R2" s="74" t="s">
        <v>40</v>
      </c>
      <c r="S2" s="74" t="s">
        <v>55</v>
      </c>
      <c r="T2" s="74" t="s">
        <v>58</v>
      </c>
      <c r="U2" s="74" t="s">
        <v>52</v>
      </c>
      <c r="V2" s="451" t="str">
        <f>AQ14</f>
        <v>ESTUDOS</v>
      </c>
      <c r="W2" s="74" t="str">
        <f>AQ15</f>
        <v>MALU</v>
      </c>
      <c r="X2" s="74">
        <f>AQ16</f>
        <v>0</v>
      </c>
      <c r="Z2" s="75" t="s">
        <v>57</v>
      </c>
      <c r="AA2" s="74" t="s">
        <v>51</v>
      </c>
      <c r="AB2" s="74" t="s">
        <v>120</v>
      </c>
      <c r="AC2" s="74" t="s">
        <v>36</v>
      </c>
      <c r="AD2" s="74" t="s">
        <v>56</v>
      </c>
      <c r="AE2" s="74" t="s">
        <v>125</v>
      </c>
      <c r="AF2" s="74" t="s">
        <v>54</v>
      </c>
      <c r="AG2" s="74" t="s">
        <v>59</v>
      </c>
      <c r="AH2" s="74" t="s">
        <v>40</v>
      </c>
      <c r="AI2" s="74" t="s">
        <v>55</v>
      </c>
      <c r="AJ2" s="74" t="s">
        <v>58</v>
      </c>
      <c r="AK2" s="74" t="s">
        <v>52</v>
      </c>
      <c r="AL2" s="451" t="str">
        <f>AQ14</f>
        <v>ESTUDOS</v>
      </c>
      <c r="AM2" s="74" t="str">
        <f>AQ15</f>
        <v>MALU</v>
      </c>
      <c r="AN2" s="74">
        <f>AQ16</f>
        <v>0</v>
      </c>
      <c r="AO2" s="74"/>
      <c r="AP2" s="74"/>
      <c r="AQ2" s="71" t="s">
        <v>57</v>
      </c>
      <c r="AR2" s="97">
        <f t="shared" ref="AR2:AR16" si="0">AT2+AS2</f>
        <v>21.98</v>
      </c>
      <c r="AS2" s="58">
        <f>Z63</f>
        <v>0</v>
      </c>
      <c r="AT2" s="58">
        <f>J63</f>
        <v>21.98</v>
      </c>
    </row>
    <row r="3" spans="2:51">
      <c r="B3" s="60">
        <v>45097</v>
      </c>
      <c r="C3" s="62" t="s">
        <v>532</v>
      </c>
      <c r="D3" s="79" t="s">
        <v>55</v>
      </c>
      <c r="E3" s="56">
        <v>29.7</v>
      </c>
      <c r="F3" s="76" t="s">
        <v>65</v>
      </c>
      <c r="G3" s="77">
        <f t="shared" ref="G3:G62" si="1">IF(F3="MARCIA",E3,IF(F3="AMBOS",E3/2,0))</f>
        <v>0</v>
      </c>
      <c r="H3" s="78">
        <f t="shared" ref="H3:H62" si="2">IF(F3="LUCIANO",E3,IF(F3="AMBOS",E3/2,0))</f>
        <v>29.7</v>
      </c>
      <c r="I3" s="481" t="s">
        <v>533</v>
      </c>
      <c r="J3" s="72">
        <f>IF($D3="ALIMENTAÇÃO",$H3,0)</f>
        <v>0</v>
      </c>
      <c r="K3" s="72">
        <f>IF($D3="ANIMAIS",$H3,0)</f>
        <v>0</v>
      </c>
      <c r="L3" s="72">
        <f>IF($D3="FILHO",$H3,0)</f>
        <v>0</v>
      </c>
      <c r="M3" s="72">
        <f>IF($D3="GASOLINA",$H3,0)</f>
        <v>0</v>
      </c>
      <c r="N3" s="72">
        <f>IF($D3="LAZER",$H3,0)</f>
        <v>0</v>
      </c>
      <c r="O3" s="72">
        <f>IF($D3="MANUT. IMÓVEL",$H3,0)</f>
        <v>0</v>
      </c>
      <c r="P3" s="72">
        <f>IF($D3="MANUT. VEICULAR",$H3,0)</f>
        <v>0</v>
      </c>
      <c r="Q3" s="72">
        <f>IF($D3="MÓVEIS",$H3,0)</f>
        <v>0</v>
      </c>
      <c r="R3" s="72">
        <f>IF($D3="OUTROS",$H3,0)</f>
        <v>0</v>
      </c>
      <c r="S3" s="72">
        <f>IF($D3="PLANOS",$H3,0)</f>
        <v>29.7</v>
      </c>
      <c r="T3" s="72">
        <f>IF($D3="SAÚDE",$H3,0)</f>
        <v>0</v>
      </c>
      <c r="U3" s="72">
        <f>IF($D3="TRANSPORTE",$H3,0)</f>
        <v>0</v>
      </c>
      <c r="V3" s="72">
        <f>IF($D3=V$2,$H3,0)</f>
        <v>0</v>
      </c>
      <c r="W3" s="72">
        <f t="shared" ref="W3:X18" si="3">IF($D3=W$2,$H3,0)</f>
        <v>0</v>
      </c>
      <c r="X3" s="72">
        <f t="shared" si="3"/>
        <v>0</v>
      </c>
      <c r="Z3" s="72">
        <f>IF($D3="ALIMENTAÇÃO",$G3,0)</f>
        <v>0</v>
      </c>
      <c r="AA3" s="72">
        <f>IF($D3="ANIMAIS",$G3,0)</f>
        <v>0</v>
      </c>
      <c r="AB3" s="72">
        <f>IF($D3="FILHO",$G3,0)</f>
        <v>0</v>
      </c>
      <c r="AC3" s="72">
        <f>IF($D3="GASOLINA",$G3,0)</f>
        <v>0</v>
      </c>
      <c r="AD3" s="72">
        <f>IF($D3="LAZER",$G3,0)</f>
        <v>0</v>
      </c>
      <c r="AE3" s="72">
        <f>IF($D3="MANUT. IMÓVEL",$G3,0)</f>
        <v>0</v>
      </c>
      <c r="AF3" s="72">
        <f>IF($D3="MANUT. VEICULAR",$G3,0)</f>
        <v>0</v>
      </c>
      <c r="AG3" s="72">
        <f>IF($D3="MÓVEIS",$G3,0)</f>
        <v>0</v>
      </c>
      <c r="AH3" s="72">
        <f>IF($D3="OUTROS",$G3,0)</f>
        <v>0</v>
      </c>
      <c r="AI3" s="72">
        <f>IF($D3="PLANOS",$G3,0)</f>
        <v>0</v>
      </c>
      <c r="AJ3" s="72">
        <f>IF($D3="SAÚDE",$G3,0)</f>
        <v>0</v>
      </c>
      <c r="AK3" s="72">
        <f>IF($D3="TRANSPORTE",$G3,0)</f>
        <v>0</v>
      </c>
      <c r="AL3" s="72">
        <f>IF($D3=AL$2,$G3,0)</f>
        <v>0</v>
      </c>
      <c r="AM3" s="72">
        <f t="shared" ref="AM3:AN18" si="4">IF($D3=AM$2,$G3,0)</f>
        <v>0</v>
      </c>
      <c r="AN3" s="72">
        <f t="shared" si="4"/>
        <v>0</v>
      </c>
      <c r="AQ3" s="71" t="s">
        <v>51</v>
      </c>
      <c r="AR3" s="97">
        <f t="shared" si="0"/>
        <v>0</v>
      </c>
      <c r="AS3" s="58">
        <f>AA63</f>
        <v>0</v>
      </c>
      <c r="AT3" s="58">
        <f>K63</f>
        <v>0</v>
      </c>
      <c r="AY3" s="511" t="s">
        <v>388</v>
      </c>
    </row>
    <row r="4" spans="2:51">
      <c r="B4" s="60">
        <v>44964</v>
      </c>
      <c r="C4" s="62" t="s">
        <v>499</v>
      </c>
      <c r="D4" s="79" t="s">
        <v>55</v>
      </c>
      <c r="E4" s="56">
        <v>18.899999999999999</v>
      </c>
      <c r="F4" s="76" t="s">
        <v>65</v>
      </c>
      <c r="G4" s="77">
        <f t="shared" si="1"/>
        <v>0</v>
      </c>
      <c r="H4" s="78">
        <f t="shared" si="2"/>
        <v>18.899999999999999</v>
      </c>
      <c r="I4" s="481" t="s">
        <v>533</v>
      </c>
      <c r="J4" s="72">
        <f>IF($D4="ALIMENTAÇÃO",$H4,0)</f>
        <v>0</v>
      </c>
      <c r="K4" s="72">
        <f>IF($D4="ANIMAIS",$H4,0)</f>
        <v>0</v>
      </c>
      <c r="L4" s="72">
        <f>IF($D4="FILHO",$H4,0)</f>
        <v>0</v>
      </c>
      <c r="M4" s="72">
        <f>IF($D4="GASOLINA",$H4,0)</f>
        <v>0</v>
      </c>
      <c r="N4" s="72">
        <f>IF($D4="LAZER",$H4,0)</f>
        <v>0</v>
      </c>
      <c r="O4" s="72">
        <f>IF($D4="MANUT. IMÓVEL",$H4,0)</f>
        <v>0</v>
      </c>
      <c r="P4" s="72">
        <f>IF($D4="MANUT. VEICULAR",$H4,0)</f>
        <v>0</v>
      </c>
      <c r="Q4" s="72">
        <f>IF($D4="MÓVEIS",$H4,0)</f>
        <v>0</v>
      </c>
      <c r="R4" s="72">
        <f>IF($D4="OUTROS",$H4,0)</f>
        <v>0</v>
      </c>
      <c r="S4" s="72">
        <f>IF($D4="PLANOS",$H4,0)</f>
        <v>18.899999999999999</v>
      </c>
      <c r="T4" s="72">
        <f>IF($D4="SAÚDE",$H4,0)</f>
        <v>0</v>
      </c>
      <c r="U4" s="72">
        <f>IF($D4="TRANSPORTE",$H4,0)</f>
        <v>0</v>
      </c>
      <c r="V4" s="72">
        <f t="shared" ref="V4:X35" si="5">IF($D4=V$2,$H4,0)</f>
        <v>0</v>
      </c>
      <c r="W4" s="72">
        <f t="shared" si="3"/>
        <v>0</v>
      </c>
      <c r="X4" s="72">
        <f t="shared" si="3"/>
        <v>0</v>
      </c>
      <c r="Z4" s="72">
        <f t="shared" ref="Z4:Z62" si="6">IF($D4="ALIMENTAÇÃO",$G4,0)</f>
        <v>0</v>
      </c>
      <c r="AA4" s="72">
        <f t="shared" ref="AA4:AA62" si="7">IF($D4="ANIMAIS",$G4,0)</f>
        <v>0</v>
      </c>
      <c r="AB4" s="72">
        <f t="shared" ref="AB4:AB62" si="8">IF($D4="FILHO",$G4,0)</f>
        <v>0</v>
      </c>
      <c r="AC4" s="72">
        <f t="shared" ref="AC4:AC62" si="9">IF($D4="GASOLINA",$G4,0)</f>
        <v>0</v>
      </c>
      <c r="AD4" s="72">
        <f t="shared" ref="AD4:AD62" si="10">IF($D4="LAZER",$G4,0)</f>
        <v>0</v>
      </c>
      <c r="AE4" s="72">
        <f t="shared" ref="AE4:AE62" si="11">IF($D4="MANUT. IMÓVEL",$G4,0)</f>
        <v>0</v>
      </c>
      <c r="AF4" s="72">
        <f t="shared" ref="AF4:AF62" si="12">IF($D4="MANUT. VEICULAR",$G4,0)</f>
        <v>0</v>
      </c>
      <c r="AG4" s="72">
        <f t="shared" ref="AG4:AG62" si="13">IF($D4="MÓVEIS",$G4,0)</f>
        <v>0</v>
      </c>
      <c r="AH4" s="72">
        <f t="shared" ref="AH4:AH62" si="14">IF($D4="OUTROS",$G4,0)</f>
        <v>0</v>
      </c>
      <c r="AI4" s="72">
        <f t="shared" ref="AI4:AI62" si="15">IF($D4="PLANOS",$G4,0)</f>
        <v>0</v>
      </c>
      <c r="AJ4" s="72">
        <f t="shared" ref="AJ4:AJ62" si="16">IF($D4="SAÚDE",$G4,0)</f>
        <v>0</v>
      </c>
      <c r="AK4" s="72">
        <f t="shared" ref="AK4:AK62" si="17">IF($D4="TRANSPORTE",$G4,0)</f>
        <v>0</v>
      </c>
      <c r="AL4" s="72">
        <f t="shared" ref="AL4:AN62" si="18">IF($D4=AL$2,$G4,0)</f>
        <v>0</v>
      </c>
      <c r="AM4" s="72">
        <f t="shared" si="4"/>
        <v>0</v>
      </c>
      <c r="AN4" s="72">
        <f t="shared" si="4"/>
        <v>0</v>
      </c>
      <c r="AQ4" s="71" t="s">
        <v>120</v>
      </c>
      <c r="AR4" s="97">
        <f t="shared" si="0"/>
        <v>0</v>
      </c>
      <c r="AS4" s="58">
        <f>AB63</f>
        <v>0</v>
      </c>
      <c r="AT4" s="58">
        <f>L63</f>
        <v>0</v>
      </c>
      <c r="AY4" s="512">
        <v>0</v>
      </c>
    </row>
    <row r="5" spans="2:51">
      <c r="B5" s="60">
        <v>45244</v>
      </c>
      <c r="C5" s="62" t="s">
        <v>698</v>
      </c>
      <c r="D5" s="79" t="s">
        <v>57</v>
      </c>
      <c r="E5" s="56">
        <v>21.98</v>
      </c>
      <c r="F5" s="76" t="s">
        <v>65</v>
      </c>
      <c r="G5" s="77">
        <f t="shared" si="1"/>
        <v>0</v>
      </c>
      <c r="H5" s="78">
        <f t="shared" si="2"/>
        <v>21.98</v>
      </c>
      <c r="I5" s="481"/>
      <c r="J5" s="72">
        <f t="shared" ref="J5:J62" si="19">IF($D5="ALIMENTAÇÃO",$H5,0)</f>
        <v>21.98</v>
      </c>
      <c r="K5" s="72">
        <f t="shared" ref="K5:K62" si="20">IF($D5="ANIMAIS",$H5,0)</f>
        <v>0</v>
      </c>
      <c r="L5" s="72">
        <f t="shared" ref="L5:L62" si="21">IF($D5="FILHO",$H5,0)</f>
        <v>0</v>
      </c>
      <c r="M5" s="72">
        <f t="shared" ref="M5:M62" si="22">IF($D5="GASOLINA",$H5,0)</f>
        <v>0</v>
      </c>
      <c r="N5" s="72">
        <f t="shared" ref="N5:N62" si="23">IF($D5="LAZER",$H5,0)</f>
        <v>0</v>
      </c>
      <c r="O5" s="72">
        <f t="shared" ref="O5:O62" si="24">IF($D5="MANUT. IMÓVEL",$H5,0)</f>
        <v>0</v>
      </c>
      <c r="P5" s="72">
        <f t="shared" ref="P5:P62" si="25">IF($D5="MANUT. VEICULAR",$H5,0)</f>
        <v>0</v>
      </c>
      <c r="Q5" s="72">
        <f t="shared" ref="Q5:Q62" si="26">IF($D5="MÓVEIS",$H5,0)</f>
        <v>0</v>
      </c>
      <c r="R5" s="72">
        <f t="shared" ref="R5:R62" si="27">IF($D5="OUTROS",$H5,0)</f>
        <v>0</v>
      </c>
      <c r="S5" s="72">
        <f t="shared" ref="S5:S62" si="28">IF($D5="PLANOS",$H5,0)</f>
        <v>0</v>
      </c>
      <c r="T5" s="72">
        <f t="shared" ref="T5:T62" si="29">IF($D5="SAÚDE",$H5,0)</f>
        <v>0</v>
      </c>
      <c r="U5" s="72">
        <f t="shared" ref="U5:U62" si="30">IF($D5="TRANSPORTE",$H5,0)</f>
        <v>0</v>
      </c>
      <c r="V5" s="72">
        <f t="shared" si="5"/>
        <v>0</v>
      </c>
      <c r="W5" s="72">
        <f t="shared" si="3"/>
        <v>0</v>
      </c>
      <c r="X5" s="72">
        <f t="shared" si="3"/>
        <v>0</v>
      </c>
      <c r="Z5" s="72">
        <f t="shared" si="6"/>
        <v>0</v>
      </c>
      <c r="AA5" s="72">
        <f t="shared" si="7"/>
        <v>0</v>
      </c>
      <c r="AB5" s="72">
        <f t="shared" si="8"/>
        <v>0</v>
      </c>
      <c r="AC5" s="72">
        <f t="shared" si="9"/>
        <v>0</v>
      </c>
      <c r="AD5" s="72">
        <f t="shared" si="10"/>
        <v>0</v>
      </c>
      <c r="AE5" s="72">
        <f t="shared" si="11"/>
        <v>0</v>
      </c>
      <c r="AF5" s="72">
        <f t="shared" si="12"/>
        <v>0</v>
      </c>
      <c r="AG5" s="72">
        <f t="shared" si="13"/>
        <v>0</v>
      </c>
      <c r="AH5" s="72">
        <f t="shared" si="14"/>
        <v>0</v>
      </c>
      <c r="AI5" s="72">
        <f t="shared" si="15"/>
        <v>0</v>
      </c>
      <c r="AJ5" s="72">
        <f t="shared" si="16"/>
        <v>0</v>
      </c>
      <c r="AK5" s="72">
        <f t="shared" si="17"/>
        <v>0</v>
      </c>
      <c r="AL5" s="72">
        <f t="shared" si="18"/>
        <v>0</v>
      </c>
      <c r="AM5" s="72">
        <f t="shared" si="4"/>
        <v>0</v>
      </c>
      <c r="AN5" s="72">
        <f t="shared" si="4"/>
        <v>0</v>
      </c>
      <c r="AQ5" s="71" t="s">
        <v>36</v>
      </c>
      <c r="AR5" s="97">
        <f t="shared" si="0"/>
        <v>0</v>
      </c>
      <c r="AS5" s="58">
        <f>AC63</f>
        <v>0</v>
      </c>
      <c r="AT5" s="58">
        <f>M63</f>
        <v>0</v>
      </c>
      <c r="AY5" s="511" t="s">
        <v>387</v>
      </c>
    </row>
    <row r="6" spans="2:51" ht="17.25" thickBot="1">
      <c r="B6" s="60"/>
      <c r="C6" s="62"/>
      <c r="D6" s="79"/>
      <c r="E6" s="56"/>
      <c r="F6" s="76"/>
      <c r="G6" s="77">
        <f t="shared" ref="G6:G14" si="31">IF(F6="MARCIA",E6,IF(F6="AMBOS",E6/2,0))</f>
        <v>0</v>
      </c>
      <c r="H6" s="78">
        <f t="shared" si="2"/>
        <v>0</v>
      </c>
      <c r="I6" s="481"/>
      <c r="J6" s="72">
        <f t="shared" si="19"/>
        <v>0</v>
      </c>
      <c r="K6" s="72">
        <f t="shared" si="20"/>
        <v>0</v>
      </c>
      <c r="L6" s="72">
        <f t="shared" si="21"/>
        <v>0</v>
      </c>
      <c r="M6" s="72">
        <f t="shared" si="22"/>
        <v>0</v>
      </c>
      <c r="N6" s="72">
        <f t="shared" si="23"/>
        <v>0</v>
      </c>
      <c r="O6" s="72">
        <f t="shared" si="24"/>
        <v>0</v>
      </c>
      <c r="P6" s="72">
        <f t="shared" si="25"/>
        <v>0</v>
      </c>
      <c r="Q6" s="72">
        <f t="shared" si="26"/>
        <v>0</v>
      </c>
      <c r="R6" s="72">
        <f t="shared" si="27"/>
        <v>0</v>
      </c>
      <c r="S6" s="72">
        <f t="shared" si="28"/>
        <v>0</v>
      </c>
      <c r="T6" s="72">
        <f t="shared" si="29"/>
        <v>0</v>
      </c>
      <c r="U6" s="72">
        <f t="shared" si="30"/>
        <v>0</v>
      </c>
      <c r="V6" s="72">
        <f t="shared" si="5"/>
        <v>0</v>
      </c>
      <c r="W6" s="72">
        <f t="shared" si="3"/>
        <v>0</v>
      </c>
      <c r="X6" s="72">
        <f t="shared" si="3"/>
        <v>0</v>
      </c>
      <c r="Z6" s="72">
        <f t="shared" si="6"/>
        <v>0</v>
      </c>
      <c r="AA6" s="72">
        <f t="shared" si="7"/>
        <v>0</v>
      </c>
      <c r="AB6" s="72">
        <f t="shared" si="8"/>
        <v>0</v>
      </c>
      <c r="AC6" s="72">
        <f t="shared" si="9"/>
        <v>0</v>
      </c>
      <c r="AD6" s="72">
        <f t="shared" si="10"/>
        <v>0</v>
      </c>
      <c r="AE6" s="72">
        <f t="shared" si="11"/>
        <v>0</v>
      </c>
      <c r="AF6" s="72">
        <f t="shared" si="12"/>
        <v>0</v>
      </c>
      <c r="AG6" s="72">
        <f t="shared" si="13"/>
        <v>0</v>
      </c>
      <c r="AH6" s="72">
        <f t="shared" si="14"/>
        <v>0</v>
      </c>
      <c r="AI6" s="72">
        <f t="shared" si="15"/>
        <v>0</v>
      </c>
      <c r="AJ6" s="72">
        <f t="shared" si="16"/>
        <v>0</v>
      </c>
      <c r="AK6" s="72">
        <f t="shared" si="17"/>
        <v>0</v>
      </c>
      <c r="AL6" s="72">
        <f t="shared" si="18"/>
        <v>0</v>
      </c>
      <c r="AM6" s="72">
        <f t="shared" si="4"/>
        <v>0</v>
      </c>
      <c r="AN6" s="72">
        <f t="shared" si="4"/>
        <v>0</v>
      </c>
      <c r="AQ6" s="71" t="s">
        <v>56</v>
      </c>
      <c r="AR6" s="97">
        <f t="shared" si="0"/>
        <v>0</v>
      </c>
      <c r="AS6" s="58">
        <f>AD63</f>
        <v>0</v>
      </c>
      <c r="AT6" s="58">
        <f>N63</f>
        <v>0</v>
      </c>
      <c r="AY6" s="596">
        <v>0</v>
      </c>
    </row>
    <row r="7" spans="2:51" ht="17.25" thickBot="1">
      <c r="B7" s="60"/>
      <c r="C7" s="62"/>
      <c r="D7" s="79"/>
      <c r="E7" s="56"/>
      <c r="F7" s="76"/>
      <c r="G7" s="77">
        <f t="shared" si="31"/>
        <v>0</v>
      </c>
      <c r="H7" s="78">
        <f t="shared" ref="H7:H14" si="32">IF(F7="LUCIANO",E7,IF(F7="AMBOS",E7/2,0))</f>
        <v>0</v>
      </c>
      <c r="I7" s="481"/>
      <c r="J7" s="72">
        <f t="shared" si="19"/>
        <v>0</v>
      </c>
      <c r="K7" s="72">
        <f t="shared" si="20"/>
        <v>0</v>
      </c>
      <c r="L7" s="72">
        <f t="shared" si="21"/>
        <v>0</v>
      </c>
      <c r="M7" s="72">
        <f t="shared" si="22"/>
        <v>0</v>
      </c>
      <c r="N7" s="72">
        <f t="shared" si="23"/>
        <v>0</v>
      </c>
      <c r="O7" s="72">
        <f t="shared" si="24"/>
        <v>0</v>
      </c>
      <c r="P7" s="72">
        <f t="shared" si="25"/>
        <v>0</v>
      </c>
      <c r="Q7" s="72">
        <f t="shared" si="26"/>
        <v>0</v>
      </c>
      <c r="R7" s="72">
        <f t="shared" si="27"/>
        <v>0</v>
      </c>
      <c r="S7" s="72">
        <f t="shared" si="28"/>
        <v>0</v>
      </c>
      <c r="T7" s="72">
        <f t="shared" si="29"/>
        <v>0</v>
      </c>
      <c r="U7" s="72">
        <f t="shared" si="30"/>
        <v>0</v>
      </c>
      <c r="V7" s="72">
        <f t="shared" si="5"/>
        <v>0</v>
      </c>
      <c r="W7" s="72">
        <f t="shared" si="3"/>
        <v>0</v>
      </c>
      <c r="X7" s="72">
        <f t="shared" si="3"/>
        <v>0</v>
      </c>
      <c r="Z7" s="72">
        <f t="shared" si="6"/>
        <v>0</v>
      </c>
      <c r="AA7" s="72">
        <f t="shared" si="7"/>
        <v>0</v>
      </c>
      <c r="AB7" s="72">
        <f t="shared" si="8"/>
        <v>0</v>
      </c>
      <c r="AC7" s="72">
        <f t="shared" si="9"/>
        <v>0</v>
      </c>
      <c r="AD7" s="72">
        <f t="shared" si="10"/>
        <v>0</v>
      </c>
      <c r="AE7" s="72">
        <f t="shared" si="11"/>
        <v>0</v>
      </c>
      <c r="AF7" s="72">
        <f t="shared" si="12"/>
        <v>0</v>
      </c>
      <c r="AG7" s="72">
        <f t="shared" si="13"/>
        <v>0</v>
      </c>
      <c r="AH7" s="72">
        <f t="shared" si="14"/>
        <v>0</v>
      </c>
      <c r="AI7" s="72">
        <f t="shared" si="15"/>
        <v>0</v>
      </c>
      <c r="AJ7" s="72">
        <f t="shared" si="16"/>
        <v>0</v>
      </c>
      <c r="AK7" s="72">
        <f t="shared" si="17"/>
        <v>0</v>
      </c>
      <c r="AL7" s="72">
        <f t="shared" si="18"/>
        <v>0</v>
      </c>
      <c r="AM7" s="72">
        <f t="shared" si="4"/>
        <v>0</v>
      </c>
      <c r="AN7" s="72">
        <f t="shared" si="4"/>
        <v>0</v>
      </c>
      <c r="AQ7" s="71" t="s">
        <v>53</v>
      </c>
      <c r="AR7" s="97">
        <f t="shared" si="0"/>
        <v>0</v>
      </c>
      <c r="AS7" s="58">
        <f>AE63</f>
        <v>0</v>
      </c>
      <c r="AT7" s="58">
        <f>O63</f>
        <v>0</v>
      </c>
      <c r="AY7" s="597">
        <v>0</v>
      </c>
    </row>
    <row r="8" spans="2:51">
      <c r="B8" s="60"/>
      <c r="C8" s="62"/>
      <c r="D8" s="79"/>
      <c r="E8" s="56"/>
      <c r="F8" s="76"/>
      <c r="G8" s="77">
        <f t="shared" si="31"/>
        <v>0</v>
      </c>
      <c r="H8" s="78">
        <f t="shared" si="32"/>
        <v>0</v>
      </c>
      <c r="I8" s="481"/>
      <c r="J8" s="72">
        <f t="shared" si="19"/>
        <v>0</v>
      </c>
      <c r="K8" s="72">
        <f t="shared" si="20"/>
        <v>0</v>
      </c>
      <c r="L8" s="72">
        <f t="shared" si="21"/>
        <v>0</v>
      </c>
      <c r="M8" s="72">
        <f t="shared" si="22"/>
        <v>0</v>
      </c>
      <c r="N8" s="72">
        <f t="shared" si="23"/>
        <v>0</v>
      </c>
      <c r="O8" s="72">
        <f t="shared" si="24"/>
        <v>0</v>
      </c>
      <c r="P8" s="72">
        <f t="shared" si="25"/>
        <v>0</v>
      </c>
      <c r="Q8" s="72">
        <f t="shared" si="26"/>
        <v>0</v>
      </c>
      <c r="R8" s="72">
        <f t="shared" si="27"/>
        <v>0</v>
      </c>
      <c r="S8" s="72">
        <f t="shared" si="28"/>
        <v>0</v>
      </c>
      <c r="T8" s="72">
        <f t="shared" si="29"/>
        <v>0</v>
      </c>
      <c r="U8" s="72">
        <f t="shared" si="30"/>
        <v>0</v>
      </c>
      <c r="V8" s="72">
        <f t="shared" si="5"/>
        <v>0</v>
      </c>
      <c r="W8" s="72">
        <f t="shared" si="3"/>
        <v>0</v>
      </c>
      <c r="X8" s="72">
        <f t="shared" si="3"/>
        <v>0</v>
      </c>
      <c r="Z8" s="72">
        <f t="shared" si="6"/>
        <v>0</v>
      </c>
      <c r="AA8" s="72">
        <f t="shared" si="7"/>
        <v>0</v>
      </c>
      <c r="AB8" s="72">
        <f t="shared" si="8"/>
        <v>0</v>
      </c>
      <c r="AC8" s="72">
        <f t="shared" si="9"/>
        <v>0</v>
      </c>
      <c r="AD8" s="72">
        <f t="shared" si="10"/>
        <v>0</v>
      </c>
      <c r="AE8" s="72">
        <f t="shared" si="11"/>
        <v>0</v>
      </c>
      <c r="AF8" s="72">
        <f t="shared" si="12"/>
        <v>0</v>
      </c>
      <c r="AG8" s="72">
        <f t="shared" si="13"/>
        <v>0</v>
      </c>
      <c r="AH8" s="72">
        <f t="shared" si="14"/>
        <v>0</v>
      </c>
      <c r="AI8" s="72">
        <f t="shared" si="15"/>
        <v>0</v>
      </c>
      <c r="AJ8" s="72">
        <f t="shared" si="16"/>
        <v>0</v>
      </c>
      <c r="AK8" s="72">
        <f t="shared" si="17"/>
        <v>0</v>
      </c>
      <c r="AL8" s="72">
        <f t="shared" si="18"/>
        <v>0</v>
      </c>
      <c r="AM8" s="72">
        <f t="shared" si="4"/>
        <v>0</v>
      </c>
      <c r="AN8" s="72">
        <f t="shared" si="4"/>
        <v>0</v>
      </c>
      <c r="AQ8" s="71" t="s">
        <v>54</v>
      </c>
      <c r="AR8" s="97">
        <f t="shared" si="0"/>
        <v>0</v>
      </c>
      <c r="AS8" s="58">
        <f>AF63</f>
        <v>0</v>
      </c>
      <c r="AT8" s="58">
        <f>P63</f>
        <v>0</v>
      </c>
    </row>
    <row r="9" spans="2:51">
      <c r="B9" s="60"/>
      <c r="C9" s="62"/>
      <c r="D9" s="79"/>
      <c r="E9" s="56"/>
      <c r="F9" s="76"/>
      <c r="G9" s="77">
        <f t="shared" si="31"/>
        <v>0</v>
      </c>
      <c r="H9" s="78">
        <f t="shared" si="32"/>
        <v>0</v>
      </c>
      <c r="I9" s="481"/>
      <c r="J9" s="72">
        <f t="shared" si="19"/>
        <v>0</v>
      </c>
      <c r="K9" s="72">
        <f t="shared" si="20"/>
        <v>0</v>
      </c>
      <c r="L9" s="72">
        <f t="shared" si="21"/>
        <v>0</v>
      </c>
      <c r="M9" s="72">
        <f t="shared" si="22"/>
        <v>0</v>
      </c>
      <c r="N9" s="72">
        <f t="shared" si="23"/>
        <v>0</v>
      </c>
      <c r="O9" s="72">
        <f t="shared" si="24"/>
        <v>0</v>
      </c>
      <c r="P9" s="72">
        <f t="shared" si="25"/>
        <v>0</v>
      </c>
      <c r="Q9" s="72">
        <f t="shared" si="26"/>
        <v>0</v>
      </c>
      <c r="R9" s="72">
        <f t="shared" si="27"/>
        <v>0</v>
      </c>
      <c r="S9" s="72">
        <f t="shared" si="28"/>
        <v>0</v>
      </c>
      <c r="T9" s="72">
        <f t="shared" si="29"/>
        <v>0</v>
      </c>
      <c r="U9" s="72">
        <f t="shared" si="30"/>
        <v>0</v>
      </c>
      <c r="V9" s="72">
        <f t="shared" si="5"/>
        <v>0</v>
      </c>
      <c r="W9" s="72">
        <f t="shared" si="3"/>
        <v>0</v>
      </c>
      <c r="X9" s="72">
        <f t="shared" si="3"/>
        <v>0</v>
      </c>
      <c r="Z9" s="72">
        <f t="shared" si="6"/>
        <v>0</v>
      </c>
      <c r="AA9" s="72">
        <f t="shared" si="7"/>
        <v>0</v>
      </c>
      <c r="AB9" s="72">
        <f t="shared" si="8"/>
        <v>0</v>
      </c>
      <c r="AC9" s="72">
        <f t="shared" si="9"/>
        <v>0</v>
      </c>
      <c r="AD9" s="72">
        <f t="shared" si="10"/>
        <v>0</v>
      </c>
      <c r="AE9" s="72">
        <f t="shared" si="11"/>
        <v>0</v>
      </c>
      <c r="AF9" s="72">
        <f t="shared" si="12"/>
        <v>0</v>
      </c>
      <c r="AG9" s="72">
        <f t="shared" si="13"/>
        <v>0</v>
      </c>
      <c r="AH9" s="72">
        <f t="shared" si="14"/>
        <v>0</v>
      </c>
      <c r="AI9" s="72">
        <f t="shared" si="15"/>
        <v>0</v>
      </c>
      <c r="AJ9" s="72">
        <f t="shared" si="16"/>
        <v>0</v>
      </c>
      <c r="AK9" s="72">
        <f t="shared" si="17"/>
        <v>0</v>
      </c>
      <c r="AL9" s="72">
        <f t="shared" si="18"/>
        <v>0</v>
      </c>
      <c r="AM9" s="72">
        <f t="shared" si="4"/>
        <v>0</v>
      </c>
      <c r="AN9" s="72">
        <f t="shared" si="4"/>
        <v>0</v>
      </c>
      <c r="AQ9" s="71" t="s">
        <v>59</v>
      </c>
      <c r="AR9" s="97">
        <f t="shared" si="0"/>
        <v>0</v>
      </c>
      <c r="AS9" s="58">
        <f>AG63</f>
        <v>0</v>
      </c>
      <c r="AT9" s="58">
        <f>Q63</f>
        <v>0</v>
      </c>
    </row>
    <row r="10" spans="2:51">
      <c r="B10" s="60"/>
      <c r="C10" s="62"/>
      <c r="D10" s="79"/>
      <c r="E10" s="56"/>
      <c r="F10" s="76"/>
      <c r="G10" s="77">
        <f t="shared" si="31"/>
        <v>0</v>
      </c>
      <c r="H10" s="78">
        <f t="shared" si="32"/>
        <v>0</v>
      </c>
      <c r="I10" s="481"/>
      <c r="J10" s="72">
        <f t="shared" si="19"/>
        <v>0</v>
      </c>
      <c r="K10" s="72">
        <f t="shared" si="20"/>
        <v>0</v>
      </c>
      <c r="L10" s="72">
        <f t="shared" si="21"/>
        <v>0</v>
      </c>
      <c r="M10" s="72">
        <f t="shared" si="22"/>
        <v>0</v>
      </c>
      <c r="N10" s="72">
        <f t="shared" si="23"/>
        <v>0</v>
      </c>
      <c r="O10" s="72">
        <f t="shared" si="24"/>
        <v>0</v>
      </c>
      <c r="P10" s="72">
        <f t="shared" si="25"/>
        <v>0</v>
      </c>
      <c r="Q10" s="72">
        <f t="shared" si="26"/>
        <v>0</v>
      </c>
      <c r="R10" s="72">
        <f t="shared" si="27"/>
        <v>0</v>
      </c>
      <c r="S10" s="72">
        <f t="shared" si="28"/>
        <v>0</v>
      </c>
      <c r="T10" s="72">
        <f t="shared" si="29"/>
        <v>0</v>
      </c>
      <c r="U10" s="72">
        <f t="shared" si="30"/>
        <v>0</v>
      </c>
      <c r="V10" s="72">
        <f t="shared" si="5"/>
        <v>0</v>
      </c>
      <c r="W10" s="72">
        <f t="shared" si="3"/>
        <v>0</v>
      </c>
      <c r="X10" s="72">
        <f t="shared" si="3"/>
        <v>0</v>
      </c>
      <c r="Z10" s="72">
        <f t="shared" si="6"/>
        <v>0</v>
      </c>
      <c r="AA10" s="72">
        <f t="shared" si="7"/>
        <v>0</v>
      </c>
      <c r="AB10" s="72">
        <f t="shared" si="8"/>
        <v>0</v>
      </c>
      <c r="AC10" s="72">
        <f t="shared" si="9"/>
        <v>0</v>
      </c>
      <c r="AD10" s="72">
        <f t="shared" si="10"/>
        <v>0</v>
      </c>
      <c r="AE10" s="72">
        <f t="shared" si="11"/>
        <v>0</v>
      </c>
      <c r="AF10" s="72">
        <f t="shared" si="12"/>
        <v>0</v>
      </c>
      <c r="AG10" s="72">
        <f t="shared" si="13"/>
        <v>0</v>
      </c>
      <c r="AH10" s="72">
        <f t="shared" si="14"/>
        <v>0</v>
      </c>
      <c r="AI10" s="72">
        <f t="shared" si="15"/>
        <v>0</v>
      </c>
      <c r="AJ10" s="72">
        <f t="shared" si="16"/>
        <v>0</v>
      </c>
      <c r="AK10" s="72">
        <f t="shared" si="17"/>
        <v>0</v>
      </c>
      <c r="AL10" s="72">
        <f t="shared" si="18"/>
        <v>0</v>
      </c>
      <c r="AM10" s="72">
        <f t="shared" si="4"/>
        <v>0</v>
      </c>
      <c r="AN10" s="72">
        <f t="shared" si="4"/>
        <v>0</v>
      </c>
      <c r="AQ10" s="71" t="s">
        <v>40</v>
      </c>
      <c r="AR10" s="97">
        <f t="shared" si="0"/>
        <v>0</v>
      </c>
      <c r="AS10" s="58">
        <f>AH63</f>
        <v>0</v>
      </c>
      <c r="AT10" s="58">
        <f>R63</f>
        <v>0</v>
      </c>
      <c r="AY10" s="59"/>
    </row>
    <row r="11" spans="2:51">
      <c r="B11" s="60"/>
      <c r="C11" s="62"/>
      <c r="D11" s="79"/>
      <c r="E11" s="56"/>
      <c r="F11" s="76"/>
      <c r="G11" s="77">
        <f t="shared" si="31"/>
        <v>0</v>
      </c>
      <c r="H11" s="78">
        <f t="shared" si="32"/>
        <v>0</v>
      </c>
      <c r="I11" s="481"/>
      <c r="J11" s="72">
        <f t="shared" si="19"/>
        <v>0</v>
      </c>
      <c r="K11" s="72">
        <f t="shared" si="20"/>
        <v>0</v>
      </c>
      <c r="L11" s="72">
        <f t="shared" si="21"/>
        <v>0</v>
      </c>
      <c r="M11" s="72">
        <f t="shared" si="22"/>
        <v>0</v>
      </c>
      <c r="N11" s="72">
        <f t="shared" si="23"/>
        <v>0</v>
      </c>
      <c r="O11" s="72">
        <f t="shared" si="24"/>
        <v>0</v>
      </c>
      <c r="P11" s="72">
        <f t="shared" si="25"/>
        <v>0</v>
      </c>
      <c r="Q11" s="72">
        <f t="shared" si="26"/>
        <v>0</v>
      </c>
      <c r="R11" s="72">
        <f t="shared" si="27"/>
        <v>0</v>
      </c>
      <c r="S11" s="72">
        <f t="shared" si="28"/>
        <v>0</v>
      </c>
      <c r="T11" s="72">
        <f t="shared" si="29"/>
        <v>0</v>
      </c>
      <c r="U11" s="72">
        <f t="shared" si="30"/>
        <v>0</v>
      </c>
      <c r="V11" s="72">
        <f t="shared" si="5"/>
        <v>0</v>
      </c>
      <c r="W11" s="72">
        <f t="shared" si="3"/>
        <v>0</v>
      </c>
      <c r="X11" s="72">
        <f t="shared" si="3"/>
        <v>0</v>
      </c>
      <c r="Z11" s="72">
        <f t="shared" si="6"/>
        <v>0</v>
      </c>
      <c r="AA11" s="72">
        <f t="shared" si="7"/>
        <v>0</v>
      </c>
      <c r="AB11" s="72">
        <f t="shared" si="8"/>
        <v>0</v>
      </c>
      <c r="AC11" s="72">
        <f t="shared" si="9"/>
        <v>0</v>
      </c>
      <c r="AD11" s="72">
        <f t="shared" si="10"/>
        <v>0</v>
      </c>
      <c r="AE11" s="72">
        <f t="shared" si="11"/>
        <v>0</v>
      </c>
      <c r="AF11" s="72">
        <f t="shared" si="12"/>
        <v>0</v>
      </c>
      <c r="AG11" s="72">
        <f t="shared" si="13"/>
        <v>0</v>
      </c>
      <c r="AH11" s="72">
        <f t="shared" si="14"/>
        <v>0</v>
      </c>
      <c r="AI11" s="72">
        <f t="shared" si="15"/>
        <v>0</v>
      </c>
      <c r="AJ11" s="72">
        <f t="shared" si="16"/>
        <v>0</v>
      </c>
      <c r="AK11" s="72">
        <f t="shared" si="17"/>
        <v>0</v>
      </c>
      <c r="AL11" s="72">
        <f t="shared" si="18"/>
        <v>0</v>
      </c>
      <c r="AM11" s="72">
        <f t="shared" si="4"/>
        <v>0</v>
      </c>
      <c r="AN11" s="72">
        <f t="shared" si="4"/>
        <v>0</v>
      </c>
      <c r="AQ11" s="71" t="s">
        <v>55</v>
      </c>
      <c r="AR11" s="97">
        <f t="shared" si="0"/>
        <v>48.599999999999994</v>
      </c>
      <c r="AS11" s="58">
        <f>AI63</f>
        <v>0</v>
      </c>
      <c r="AT11" s="58">
        <f>S63</f>
        <v>48.599999999999994</v>
      </c>
      <c r="AY11" s="59"/>
    </row>
    <row r="12" spans="2:51">
      <c r="B12" s="60"/>
      <c r="C12" s="62"/>
      <c r="D12" s="79"/>
      <c r="E12" s="56"/>
      <c r="F12" s="76"/>
      <c r="G12" s="77">
        <f t="shared" si="31"/>
        <v>0</v>
      </c>
      <c r="H12" s="78">
        <f t="shared" si="32"/>
        <v>0</v>
      </c>
      <c r="I12" s="481"/>
      <c r="J12" s="72">
        <f t="shared" si="19"/>
        <v>0</v>
      </c>
      <c r="K12" s="72">
        <f t="shared" si="20"/>
        <v>0</v>
      </c>
      <c r="L12" s="72">
        <f t="shared" si="21"/>
        <v>0</v>
      </c>
      <c r="M12" s="72">
        <f t="shared" si="22"/>
        <v>0</v>
      </c>
      <c r="N12" s="72">
        <f t="shared" si="23"/>
        <v>0</v>
      </c>
      <c r="O12" s="72">
        <f t="shared" si="24"/>
        <v>0</v>
      </c>
      <c r="P12" s="72">
        <f t="shared" si="25"/>
        <v>0</v>
      </c>
      <c r="Q12" s="72">
        <f t="shared" si="26"/>
        <v>0</v>
      </c>
      <c r="R12" s="72">
        <f t="shared" si="27"/>
        <v>0</v>
      </c>
      <c r="S12" s="72">
        <f t="shared" si="28"/>
        <v>0</v>
      </c>
      <c r="T12" s="72">
        <f t="shared" si="29"/>
        <v>0</v>
      </c>
      <c r="U12" s="72">
        <f t="shared" si="30"/>
        <v>0</v>
      </c>
      <c r="V12" s="72">
        <f t="shared" si="5"/>
        <v>0</v>
      </c>
      <c r="W12" s="72">
        <f t="shared" si="3"/>
        <v>0</v>
      </c>
      <c r="X12" s="72">
        <f t="shared" si="3"/>
        <v>0</v>
      </c>
      <c r="Z12" s="72">
        <f t="shared" si="6"/>
        <v>0</v>
      </c>
      <c r="AA12" s="72">
        <f t="shared" si="7"/>
        <v>0</v>
      </c>
      <c r="AB12" s="72">
        <f t="shared" si="8"/>
        <v>0</v>
      </c>
      <c r="AC12" s="72">
        <f t="shared" si="9"/>
        <v>0</v>
      </c>
      <c r="AD12" s="72">
        <f t="shared" si="10"/>
        <v>0</v>
      </c>
      <c r="AE12" s="72">
        <f t="shared" si="11"/>
        <v>0</v>
      </c>
      <c r="AF12" s="72">
        <f t="shared" si="12"/>
        <v>0</v>
      </c>
      <c r="AG12" s="72">
        <f t="shared" si="13"/>
        <v>0</v>
      </c>
      <c r="AH12" s="72">
        <f t="shared" si="14"/>
        <v>0</v>
      </c>
      <c r="AI12" s="72">
        <f t="shared" si="15"/>
        <v>0</v>
      </c>
      <c r="AJ12" s="72">
        <f t="shared" si="16"/>
        <v>0</v>
      </c>
      <c r="AK12" s="72">
        <f t="shared" si="17"/>
        <v>0</v>
      </c>
      <c r="AL12" s="72">
        <f t="shared" si="18"/>
        <v>0</v>
      </c>
      <c r="AM12" s="72">
        <f t="shared" si="4"/>
        <v>0</v>
      </c>
      <c r="AN12" s="72">
        <f t="shared" si="4"/>
        <v>0</v>
      </c>
      <c r="AQ12" s="71" t="s">
        <v>58</v>
      </c>
      <c r="AR12" s="97">
        <f t="shared" si="0"/>
        <v>0</v>
      </c>
      <c r="AS12" s="58">
        <f>AJ63</f>
        <v>0</v>
      </c>
      <c r="AT12" s="58">
        <f>T63</f>
        <v>0</v>
      </c>
      <c r="AY12" s="59"/>
    </row>
    <row r="13" spans="2:51">
      <c r="B13" s="60"/>
      <c r="C13" s="62"/>
      <c r="D13" s="79"/>
      <c r="E13" s="56"/>
      <c r="F13" s="76"/>
      <c r="G13" s="77">
        <f t="shared" si="31"/>
        <v>0</v>
      </c>
      <c r="H13" s="78">
        <f t="shared" si="32"/>
        <v>0</v>
      </c>
      <c r="I13" s="481"/>
      <c r="J13" s="72">
        <f t="shared" si="19"/>
        <v>0</v>
      </c>
      <c r="K13" s="72">
        <f t="shared" si="20"/>
        <v>0</v>
      </c>
      <c r="L13" s="72">
        <f t="shared" si="21"/>
        <v>0</v>
      </c>
      <c r="M13" s="72">
        <f t="shared" si="22"/>
        <v>0</v>
      </c>
      <c r="N13" s="72">
        <f t="shared" si="23"/>
        <v>0</v>
      </c>
      <c r="O13" s="72">
        <f t="shared" si="24"/>
        <v>0</v>
      </c>
      <c r="P13" s="72">
        <f t="shared" si="25"/>
        <v>0</v>
      </c>
      <c r="Q13" s="72">
        <f t="shared" si="26"/>
        <v>0</v>
      </c>
      <c r="R13" s="72">
        <f t="shared" si="27"/>
        <v>0</v>
      </c>
      <c r="S13" s="72">
        <f t="shared" si="28"/>
        <v>0</v>
      </c>
      <c r="T13" s="72">
        <f t="shared" si="29"/>
        <v>0</v>
      </c>
      <c r="U13" s="72">
        <f t="shared" si="30"/>
        <v>0</v>
      </c>
      <c r="V13" s="72">
        <f t="shared" si="5"/>
        <v>0</v>
      </c>
      <c r="W13" s="72">
        <f t="shared" si="3"/>
        <v>0</v>
      </c>
      <c r="X13" s="72">
        <f t="shared" si="3"/>
        <v>0</v>
      </c>
      <c r="Z13" s="72">
        <f t="shared" si="6"/>
        <v>0</v>
      </c>
      <c r="AA13" s="72">
        <f t="shared" si="7"/>
        <v>0</v>
      </c>
      <c r="AB13" s="72">
        <f t="shared" si="8"/>
        <v>0</v>
      </c>
      <c r="AC13" s="72">
        <f t="shared" si="9"/>
        <v>0</v>
      </c>
      <c r="AD13" s="72">
        <f t="shared" si="10"/>
        <v>0</v>
      </c>
      <c r="AE13" s="72">
        <f t="shared" si="11"/>
        <v>0</v>
      </c>
      <c r="AF13" s="72">
        <f t="shared" si="12"/>
        <v>0</v>
      </c>
      <c r="AG13" s="72">
        <f t="shared" si="13"/>
        <v>0</v>
      </c>
      <c r="AH13" s="72">
        <f t="shared" si="14"/>
        <v>0</v>
      </c>
      <c r="AI13" s="72">
        <f t="shared" si="15"/>
        <v>0</v>
      </c>
      <c r="AJ13" s="72">
        <f t="shared" si="16"/>
        <v>0</v>
      </c>
      <c r="AK13" s="72">
        <f t="shared" si="17"/>
        <v>0</v>
      </c>
      <c r="AL13" s="72">
        <f t="shared" si="18"/>
        <v>0</v>
      </c>
      <c r="AM13" s="72">
        <f t="shared" si="4"/>
        <v>0</v>
      </c>
      <c r="AN13" s="72">
        <f t="shared" si="4"/>
        <v>0</v>
      </c>
      <c r="AQ13" s="71" t="s">
        <v>52</v>
      </c>
      <c r="AR13" s="97">
        <f t="shared" si="0"/>
        <v>0</v>
      </c>
      <c r="AS13" s="58">
        <f>AK63</f>
        <v>0</v>
      </c>
      <c r="AT13" s="58">
        <f>U63</f>
        <v>0</v>
      </c>
      <c r="AY13" s="59"/>
    </row>
    <row r="14" spans="2:51">
      <c r="B14" s="60"/>
      <c r="C14" s="62"/>
      <c r="D14" s="79"/>
      <c r="E14" s="56"/>
      <c r="F14" s="76"/>
      <c r="G14" s="77">
        <f t="shared" si="31"/>
        <v>0</v>
      </c>
      <c r="H14" s="78">
        <f t="shared" si="32"/>
        <v>0</v>
      </c>
      <c r="I14" s="481"/>
      <c r="J14" s="72">
        <f t="shared" si="19"/>
        <v>0</v>
      </c>
      <c r="K14" s="72">
        <f t="shared" si="20"/>
        <v>0</v>
      </c>
      <c r="L14" s="72">
        <f t="shared" si="21"/>
        <v>0</v>
      </c>
      <c r="M14" s="72">
        <f t="shared" si="22"/>
        <v>0</v>
      </c>
      <c r="N14" s="72">
        <f t="shared" si="23"/>
        <v>0</v>
      </c>
      <c r="O14" s="72">
        <f t="shared" si="24"/>
        <v>0</v>
      </c>
      <c r="P14" s="72">
        <f t="shared" si="25"/>
        <v>0</v>
      </c>
      <c r="Q14" s="72">
        <f t="shared" si="26"/>
        <v>0</v>
      </c>
      <c r="R14" s="72">
        <f t="shared" si="27"/>
        <v>0</v>
      </c>
      <c r="S14" s="72">
        <f t="shared" si="28"/>
        <v>0</v>
      </c>
      <c r="T14" s="72">
        <f t="shared" si="29"/>
        <v>0</v>
      </c>
      <c r="U14" s="72">
        <f t="shared" si="30"/>
        <v>0</v>
      </c>
      <c r="V14" s="72">
        <f t="shared" si="5"/>
        <v>0</v>
      </c>
      <c r="W14" s="72">
        <f t="shared" si="3"/>
        <v>0</v>
      </c>
      <c r="X14" s="72">
        <f t="shared" si="3"/>
        <v>0</v>
      </c>
      <c r="Z14" s="72">
        <f t="shared" si="6"/>
        <v>0</v>
      </c>
      <c r="AA14" s="72">
        <f t="shared" si="7"/>
        <v>0</v>
      </c>
      <c r="AB14" s="72">
        <f t="shared" si="8"/>
        <v>0</v>
      </c>
      <c r="AC14" s="72">
        <f t="shared" si="9"/>
        <v>0</v>
      </c>
      <c r="AD14" s="72">
        <f t="shared" si="10"/>
        <v>0</v>
      </c>
      <c r="AE14" s="72">
        <f t="shared" si="11"/>
        <v>0</v>
      </c>
      <c r="AF14" s="72">
        <f t="shared" si="12"/>
        <v>0</v>
      </c>
      <c r="AG14" s="72">
        <f t="shared" si="13"/>
        <v>0</v>
      </c>
      <c r="AH14" s="72">
        <f t="shared" si="14"/>
        <v>0</v>
      </c>
      <c r="AI14" s="72">
        <f t="shared" si="15"/>
        <v>0</v>
      </c>
      <c r="AJ14" s="72">
        <f t="shared" si="16"/>
        <v>0</v>
      </c>
      <c r="AK14" s="72">
        <f t="shared" si="17"/>
        <v>0</v>
      </c>
      <c r="AL14" s="72">
        <f t="shared" si="18"/>
        <v>0</v>
      </c>
      <c r="AM14" s="72">
        <f t="shared" si="4"/>
        <v>0</v>
      </c>
      <c r="AN14" s="72">
        <f t="shared" si="4"/>
        <v>0</v>
      </c>
      <c r="AQ14" s="71" t="s">
        <v>143</v>
      </c>
      <c r="AR14" s="97">
        <f t="shared" si="0"/>
        <v>0</v>
      </c>
      <c r="AS14" s="58">
        <f>AL63</f>
        <v>0</v>
      </c>
      <c r="AT14" s="58">
        <f>V63</f>
        <v>0</v>
      </c>
      <c r="AY14" s="59"/>
    </row>
    <row r="15" spans="2:51">
      <c r="B15" s="60"/>
      <c r="C15" s="62"/>
      <c r="D15" s="79"/>
      <c r="E15" s="56"/>
      <c r="F15" s="76"/>
      <c r="G15" s="77">
        <f t="shared" si="1"/>
        <v>0</v>
      </c>
      <c r="H15" s="78">
        <f t="shared" si="2"/>
        <v>0</v>
      </c>
      <c r="I15" s="481"/>
      <c r="J15" s="72">
        <f t="shared" si="19"/>
        <v>0</v>
      </c>
      <c r="K15" s="72">
        <f t="shared" si="20"/>
        <v>0</v>
      </c>
      <c r="L15" s="72">
        <f t="shared" si="21"/>
        <v>0</v>
      </c>
      <c r="M15" s="72">
        <f t="shared" si="22"/>
        <v>0</v>
      </c>
      <c r="N15" s="72">
        <f t="shared" si="23"/>
        <v>0</v>
      </c>
      <c r="O15" s="72">
        <f t="shared" si="24"/>
        <v>0</v>
      </c>
      <c r="P15" s="72">
        <f t="shared" si="25"/>
        <v>0</v>
      </c>
      <c r="Q15" s="72">
        <f t="shared" si="26"/>
        <v>0</v>
      </c>
      <c r="R15" s="72">
        <f t="shared" si="27"/>
        <v>0</v>
      </c>
      <c r="S15" s="72">
        <f t="shared" si="28"/>
        <v>0</v>
      </c>
      <c r="T15" s="72">
        <f t="shared" si="29"/>
        <v>0</v>
      </c>
      <c r="U15" s="72">
        <f t="shared" si="30"/>
        <v>0</v>
      </c>
      <c r="V15" s="72">
        <f t="shared" si="5"/>
        <v>0</v>
      </c>
      <c r="W15" s="72">
        <f t="shared" si="3"/>
        <v>0</v>
      </c>
      <c r="X15" s="72">
        <f t="shared" si="3"/>
        <v>0</v>
      </c>
      <c r="Z15" s="72">
        <f t="shared" si="6"/>
        <v>0</v>
      </c>
      <c r="AA15" s="72">
        <f t="shared" si="7"/>
        <v>0</v>
      </c>
      <c r="AB15" s="72">
        <f t="shared" si="8"/>
        <v>0</v>
      </c>
      <c r="AC15" s="72">
        <f t="shared" si="9"/>
        <v>0</v>
      </c>
      <c r="AD15" s="72">
        <f t="shared" si="10"/>
        <v>0</v>
      </c>
      <c r="AE15" s="72">
        <f t="shared" si="11"/>
        <v>0</v>
      </c>
      <c r="AF15" s="72">
        <f t="shared" si="12"/>
        <v>0</v>
      </c>
      <c r="AG15" s="72">
        <f t="shared" si="13"/>
        <v>0</v>
      </c>
      <c r="AH15" s="72">
        <f t="shared" si="14"/>
        <v>0</v>
      </c>
      <c r="AI15" s="72">
        <f t="shared" si="15"/>
        <v>0</v>
      </c>
      <c r="AJ15" s="72">
        <f t="shared" si="16"/>
        <v>0</v>
      </c>
      <c r="AK15" s="72">
        <f t="shared" si="17"/>
        <v>0</v>
      </c>
      <c r="AL15" s="72">
        <f t="shared" si="18"/>
        <v>0</v>
      </c>
      <c r="AM15" s="72">
        <f t="shared" si="4"/>
        <v>0</v>
      </c>
      <c r="AN15" s="72">
        <f t="shared" si="4"/>
        <v>0</v>
      </c>
      <c r="AQ15" s="71" t="s">
        <v>268</v>
      </c>
      <c r="AR15" s="97">
        <f t="shared" si="0"/>
        <v>0</v>
      </c>
      <c r="AS15" s="58">
        <f>AM63</f>
        <v>0</v>
      </c>
      <c r="AT15" s="58">
        <f>W63</f>
        <v>0</v>
      </c>
      <c r="AY15" s="59"/>
    </row>
    <row r="16" spans="2:51">
      <c r="B16" s="60"/>
      <c r="C16" s="62"/>
      <c r="D16" s="79"/>
      <c r="E16" s="56"/>
      <c r="F16" s="76"/>
      <c r="G16" s="77">
        <f t="shared" si="1"/>
        <v>0</v>
      </c>
      <c r="H16" s="78">
        <f t="shared" si="2"/>
        <v>0</v>
      </c>
      <c r="I16" s="481"/>
      <c r="J16" s="72">
        <f t="shared" si="19"/>
        <v>0</v>
      </c>
      <c r="K16" s="72">
        <f t="shared" si="20"/>
        <v>0</v>
      </c>
      <c r="L16" s="72">
        <f t="shared" si="21"/>
        <v>0</v>
      </c>
      <c r="M16" s="72">
        <f t="shared" si="22"/>
        <v>0</v>
      </c>
      <c r="N16" s="72">
        <f t="shared" si="23"/>
        <v>0</v>
      </c>
      <c r="O16" s="72">
        <f t="shared" si="24"/>
        <v>0</v>
      </c>
      <c r="P16" s="72">
        <f t="shared" si="25"/>
        <v>0</v>
      </c>
      <c r="Q16" s="72">
        <f t="shared" si="26"/>
        <v>0</v>
      </c>
      <c r="R16" s="72">
        <f t="shared" si="27"/>
        <v>0</v>
      </c>
      <c r="S16" s="72">
        <f t="shared" si="28"/>
        <v>0</v>
      </c>
      <c r="T16" s="72">
        <f t="shared" si="29"/>
        <v>0</v>
      </c>
      <c r="U16" s="72">
        <f t="shared" si="30"/>
        <v>0</v>
      </c>
      <c r="V16" s="72">
        <f t="shared" si="5"/>
        <v>0</v>
      </c>
      <c r="W16" s="72">
        <f t="shared" si="3"/>
        <v>0</v>
      </c>
      <c r="X16" s="72">
        <f t="shared" si="3"/>
        <v>0</v>
      </c>
      <c r="Z16" s="72">
        <f t="shared" si="6"/>
        <v>0</v>
      </c>
      <c r="AA16" s="72">
        <f t="shared" si="7"/>
        <v>0</v>
      </c>
      <c r="AB16" s="72">
        <f t="shared" si="8"/>
        <v>0</v>
      </c>
      <c r="AC16" s="72">
        <f t="shared" si="9"/>
        <v>0</v>
      </c>
      <c r="AD16" s="72">
        <f t="shared" si="10"/>
        <v>0</v>
      </c>
      <c r="AE16" s="72">
        <f t="shared" si="11"/>
        <v>0</v>
      </c>
      <c r="AF16" s="72">
        <f t="shared" si="12"/>
        <v>0</v>
      </c>
      <c r="AG16" s="72">
        <f t="shared" si="13"/>
        <v>0</v>
      </c>
      <c r="AH16" s="72">
        <f t="shared" si="14"/>
        <v>0</v>
      </c>
      <c r="AI16" s="72">
        <f t="shared" si="15"/>
        <v>0</v>
      </c>
      <c r="AJ16" s="72">
        <f t="shared" si="16"/>
        <v>0</v>
      </c>
      <c r="AK16" s="72">
        <f t="shared" si="17"/>
        <v>0</v>
      </c>
      <c r="AL16" s="72">
        <f t="shared" si="18"/>
        <v>0</v>
      </c>
      <c r="AM16" s="72">
        <f t="shared" si="4"/>
        <v>0</v>
      </c>
      <c r="AN16" s="72">
        <f t="shared" si="4"/>
        <v>0</v>
      </c>
      <c r="AQ16" s="71"/>
      <c r="AR16" s="97">
        <f t="shared" si="0"/>
        <v>0</v>
      </c>
      <c r="AS16" s="95">
        <f>AN63</f>
        <v>0</v>
      </c>
      <c r="AT16" s="95">
        <f>X63</f>
        <v>0</v>
      </c>
      <c r="AU16" s="59"/>
      <c r="AY16" s="59"/>
    </row>
    <row r="17" spans="2:52">
      <c r="B17" s="60"/>
      <c r="C17" s="62"/>
      <c r="D17" s="79"/>
      <c r="E17" s="56"/>
      <c r="F17" s="76"/>
      <c r="G17" s="77">
        <f t="shared" si="1"/>
        <v>0</v>
      </c>
      <c r="H17" s="78">
        <f t="shared" si="2"/>
        <v>0</v>
      </c>
      <c r="I17" s="481"/>
      <c r="J17" s="72">
        <f t="shared" si="19"/>
        <v>0</v>
      </c>
      <c r="K17" s="72">
        <f t="shared" si="20"/>
        <v>0</v>
      </c>
      <c r="L17" s="72">
        <f t="shared" si="21"/>
        <v>0</v>
      </c>
      <c r="M17" s="72">
        <f t="shared" si="22"/>
        <v>0</v>
      </c>
      <c r="N17" s="72">
        <f t="shared" si="23"/>
        <v>0</v>
      </c>
      <c r="O17" s="72">
        <f t="shared" si="24"/>
        <v>0</v>
      </c>
      <c r="P17" s="72">
        <f t="shared" si="25"/>
        <v>0</v>
      </c>
      <c r="Q17" s="72">
        <f t="shared" si="26"/>
        <v>0</v>
      </c>
      <c r="R17" s="72">
        <f t="shared" si="27"/>
        <v>0</v>
      </c>
      <c r="S17" s="72">
        <f t="shared" si="28"/>
        <v>0</v>
      </c>
      <c r="T17" s="72">
        <f t="shared" si="29"/>
        <v>0</v>
      </c>
      <c r="U17" s="72">
        <f t="shared" si="30"/>
        <v>0</v>
      </c>
      <c r="V17" s="72">
        <f t="shared" si="5"/>
        <v>0</v>
      </c>
      <c r="W17" s="72">
        <f t="shared" si="3"/>
        <v>0</v>
      </c>
      <c r="X17" s="72">
        <f t="shared" si="3"/>
        <v>0</v>
      </c>
      <c r="Z17" s="72">
        <f t="shared" si="6"/>
        <v>0</v>
      </c>
      <c r="AA17" s="72">
        <f t="shared" si="7"/>
        <v>0</v>
      </c>
      <c r="AB17" s="72">
        <f t="shared" si="8"/>
        <v>0</v>
      </c>
      <c r="AC17" s="72">
        <f t="shared" si="9"/>
        <v>0</v>
      </c>
      <c r="AD17" s="72">
        <f t="shared" si="10"/>
        <v>0</v>
      </c>
      <c r="AE17" s="72">
        <f t="shared" si="11"/>
        <v>0</v>
      </c>
      <c r="AF17" s="72">
        <f t="shared" si="12"/>
        <v>0</v>
      </c>
      <c r="AG17" s="72">
        <f t="shared" si="13"/>
        <v>0</v>
      </c>
      <c r="AH17" s="72">
        <f t="shared" si="14"/>
        <v>0</v>
      </c>
      <c r="AI17" s="72">
        <f t="shared" si="15"/>
        <v>0</v>
      </c>
      <c r="AJ17" s="72">
        <f t="shared" si="16"/>
        <v>0</v>
      </c>
      <c r="AK17" s="72">
        <f t="shared" si="17"/>
        <v>0</v>
      </c>
      <c r="AL17" s="72">
        <f t="shared" si="18"/>
        <v>0</v>
      </c>
      <c r="AM17" s="72">
        <f t="shared" si="4"/>
        <v>0</v>
      </c>
      <c r="AN17" s="72">
        <f t="shared" si="4"/>
        <v>0</v>
      </c>
      <c r="AQ17" s="87" t="s">
        <v>67</v>
      </c>
      <c r="AR17" s="96">
        <f>SUM(AR2:AR16)</f>
        <v>70.58</v>
      </c>
      <c r="AS17" s="88">
        <f>SUM(AS2:AS16)</f>
        <v>0</v>
      </c>
      <c r="AT17" s="88">
        <f>SUM(AT2:AT16)</f>
        <v>70.58</v>
      </c>
    </row>
    <row r="18" spans="2:52">
      <c r="B18" s="60"/>
      <c r="C18" s="62"/>
      <c r="D18" s="79"/>
      <c r="E18" s="56"/>
      <c r="F18" s="76"/>
      <c r="G18" s="77">
        <f t="shared" si="1"/>
        <v>0</v>
      </c>
      <c r="H18" s="78">
        <f t="shared" si="2"/>
        <v>0</v>
      </c>
      <c r="I18" s="481"/>
      <c r="J18" s="72">
        <f t="shared" si="19"/>
        <v>0</v>
      </c>
      <c r="K18" s="72">
        <f t="shared" si="20"/>
        <v>0</v>
      </c>
      <c r="L18" s="72">
        <f t="shared" si="21"/>
        <v>0</v>
      </c>
      <c r="M18" s="72">
        <f t="shared" si="22"/>
        <v>0</v>
      </c>
      <c r="N18" s="72">
        <f t="shared" si="23"/>
        <v>0</v>
      </c>
      <c r="O18" s="72">
        <f t="shared" si="24"/>
        <v>0</v>
      </c>
      <c r="P18" s="72">
        <f t="shared" si="25"/>
        <v>0</v>
      </c>
      <c r="Q18" s="72">
        <f t="shared" si="26"/>
        <v>0</v>
      </c>
      <c r="R18" s="72">
        <f t="shared" si="27"/>
        <v>0</v>
      </c>
      <c r="S18" s="72">
        <f t="shared" si="28"/>
        <v>0</v>
      </c>
      <c r="T18" s="72">
        <f t="shared" si="29"/>
        <v>0</v>
      </c>
      <c r="U18" s="72">
        <f t="shared" si="30"/>
        <v>0</v>
      </c>
      <c r="V18" s="72">
        <f t="shared" si="5"/>
        <v>0</v>
      </c>
      <c r="W18" s="72">
        <f t="shared" si="3"/>
        <v>0</v>
      </c>
      <c r="X18" s="72">
        <f t="shared" si="3"/>
        <v>0</v>
      </c>
      <c r="Z18" s="72">
        <f t="shared" si="6"/>
        <v>0</v>
      </c>
      <c r="AA18" s="72">
        <f t="shared" si="7"/>
        <v>0</v>
      </c>
      <c r="AB18" s="72">
        <f t="shared" si="8"/>
        <v>0</v>
      </c>
      <c r="AC18" s="72">
        <f t="shared" si="9"/>
        <v>0</v>
      </c>
      <c r="AD18" s="72">
        <f t="shared" si="10"/>
        <v>0</v>
      </c>
      <c r="AE18" s="72">
        <f t="shared" si="11"/>
        <v>0</v>
      </c>
      <c r="AF18" s="72">
        <f t="shared" si="12"/>
        <v>0</v>
      </c>
      <c r="AG18" s="72">
        <f t="shared" si="13"/>
        <v>0</v>
      </c>
      <c r="AH18" s="72">
        <f t="shared" si="14"/>
        <v>0</v>
      </c>
      <c r="AI18" s="72">
        <f t="shared" si="15"/>
        <v>0</v>
      </c>
      <c r="AJ18" s="72">
        <f t="shared" si="16"/>
        <v>0</v>
      </c>
      <c r="AK18" s="72">
        <f t="shared" si="17"/>
        <v>0</v>
      </c>
      <c r="AL18" s="72">
        <f t="shared" si="18"/>
        <v>0</v>
      </c>
      <c r="AM18" s="72">
        <f t="shared" si="4"/>
        <v>0</v>
      </c>
      <c r="AN18" s="72">
        <f t="shared" si="4"/>
        <v>0</v>
      </c>
      <c r="AQ18" s="80" t="s">
        <v>65</v>
      </c>
      <c r="AR18" s="850" t="s">
        <v>45</v>
      </c>
      <c r="AS18" s="851"/>
      <c r="AT18" s="852"/>
      <c r="AU18" s="99"/>
      <c r="AV18" s="98"/>
      <c r="AY18" s="59"/>
    </row>
    <row r="19" spans="2:52">
      <c r="B19" s="60"/>
      <c r="C19" s="62"/>
      <c r="D19" s="79"/>
      <c r="E19" s="56"/>
      <c r="F19" s="76"/>
      <c r="G19" s="77">
        <f t="shared" si="1"/>
        <v>0</v>
      </c>
      <c r="H19" s="78">
        <f t="shared" si="2"/>
        <v>0</v>
      </c>
      <c r="I19" s="481"/>
      <c r="J19" s="72">
        <f t="shared" si="19"/>
        <v>0</v>
      </c>
      <c r="K19" s="72">
        <f t="shared" si="20"/>
        <v>0</v>
      </c>
      <c r="L19" s="72">
        <f t="shared" si="21"/>
        <v>0</v>
      </c>
      <c r="M19" s="72">
        <f t="shared" si="22"/>
        <v>0</v>
      </c>
      <c r="N19" s="72">
        <f t="shared" si="23"/>
        <v>0</v>
      </c>
      <c r="O19" s="72">
        <f t="shared" si="24"/>
        <v>0</v>
      </c>
      <c r="P19" s="72">
        <f t="shared" si="25"/>
        <v>0</v>
      </c>
      <c r="Q19" s="72">
        <f t="shared" si="26"/>
        <v>0</v>
      </c>
      <c r="R19" s="72">
        <f t="shared" si="27"/>
        <v>0</v>
      </c>
      <c r="S19" s="72">
        <f t="shared" si="28"/>
        <v>0</v>
      </c>
      <c r="T19" s="72">
        <f t="shared" si="29"/>
        <v>0</v>
      </c>
      <c r="U19" s="72">
        <f t="shared" si="30"/>
        <v>0</v>
      </c>
      <c r="V19" s="72">
        <f t="shared" si="5"/>
        <v>0</v>
      </c>
      <c r="W19" s="72">
        <f t="shared" si="5"/>
        <v>0</v>
      </c>
      <c r="X19" s="72">
        <f t="shared" si="5"/>
        <v>0</v>
      </c>
      <c r="Z19" s="72">
        <f t="shared" si="6"/>
        <v>0</v>
      </c>
      <c r="AA19" s="72">
        <f t="shared" si="7"/>
        <v>0</v>
      </c>
      <c r="AB19" s="72">
        <f t="shared" si="8"/>
        <v>0</v>
      </c>
      <c r="AC19" s="72">
        <f t="shared" si="9"/>
        <v>0</v>
      </c>
      <c r="AD19" s="72">
        <f t="shared" si="10"/>
        <v>0</v>
      </c>
      <c r="AE19" s="72">
        <f t="shared" si="11"/>
        <v>0</v>
      </c>
      <c r="AF19" s="72">
        <f t="shared" si="12"/>
        <v>0</v>
      </c>
      <c r="AG19" s="72">
        <f t="shared" si="13"/>
        <v>0</v>
      </c>
      <c r="AH19" s="72">
        <f t="shared" si="14"/>
        <v>0</v>
      </c>
      <c r="AI19" s="72">
        <f t="shared" si="15"/>
        <v>0</v>
      </c>
      <c r="AJ19" s="72">
        <f t="shared" si="16"/>
        <v>0</v>
      </c>
      <c r="AK19" s="72">
        <f t="shared" si="17"/>
        <v>0</v>
      </c>
      <c r="AL19" s="72">
        <f t="shared" si="18"/>
        <v>0</v>
      </c>
      <c r="AM19" s="72">
        <f t="shared" si="18"/>
        <v>0</v>
      </c>
      <c r="AN19" s="72">
        <f t="shared" si="18"/>
        <v>0</v>
      </c>
      <c r="AQ19" s="80" t="s">
        <v>66</v>
      </c>
      <c r="AU19" s="98"/>
    </row>
    <row r="20" spans="2:52">
      <c r="B20" s="60"/>
      <c r="C20" s="62"/>
      <c r="D20" s="79"/>
      <c r="E20" s="56"/>
      <c r="F20" s="76"/>
      <c r="G20" s="77">
        <f t="shared" si="1"/>
        <v>0</v>
      </c>
      <c r="H20" s="78">
        <f t="shared" si="2"/>
        <v>0</v>
      </c>
      <c r="I20" s="481"/>
      <c r="J20" s="72">
        <f t="shared" si="19"/>
        <v>0</v>
      </c>
      <c r="K20" s="72">
        <f t="shared" si="20"/>
        <v>0</v>
      </c>
      <c r="L20" s="72">
        <f t="shared" si="21"/>
        <v>0</v>
      </c>
      <c r="M20" s="72">
        <f t="shared" si="22"/>
        <v>0</v>
      </c>
      <c r="N20" s="72">
        <f t="shared" si="23"/>
        <v>0</v>
      </c>
      <c r="O20" s="72">
        <f t="shared" si="24"/>
        <v>0</v>
      </c>
      <c r="P20" s="72">
        <f t="shared" si="25"/>
        <v>0</v>
      </c>
      <c r="Q20" s="72">
        <f t="shared" si="26"/>
        <v>0</v>
      </c>
      <c r="R20" s="72">
        <f t="shared" si="27"/>
        <v>0</v>
      </c>
      <c r="S20" s="72">
        <f t="shared" si="28"/>
        <v>0</v>
      </c>
      <c r="T20" s="72">
        <f t="shared" si="29"/>
        <v>0</v>
      </c>
      <c r="U20" s="72">
        <f t="shared" si="30"/>
        <v>0</v>
      </c>
      <c r="V20" s="72">
        <f t="shared" si="5"/>
        <v>0</v>
      </c>
      <c r="W20" s="72">
        <f t="shared" si="5"/>
        <v>0</v>
      </c>
      <c r="X20" s="72">
        <f t="shared" si="5"/>
        <v>0</v>
      </c>
      <c r="Z20" s="72">
        <f t="shared" si="6"/>
        <v>0</v>
      </c>
      <c r="AA20" s="72">
        <f t="shared" si="7"/>
        <v>0</v>
      </c>
      <c r="AB20" s="72">
        <f t="shared" si="8"/>
        <v>0</v>
      </c>
      <c r="AC20" s="72">
        <f t="shared" si="9"/>
        <v>0</v>
      </c>
      <c r="AD20" s="72">
        <f t="shared" si="10"/>
        <v>0</v>
      </c>
      <c r="AE20" s="72">
        <f t="shared" si="11"/>
        <v>0</v>
      </c>
      <c r="AF20" s="72">
        <f t="shared" si="12"/>
        <v>0</v>
      </c>
      <c r="AG20" s="72">
        <f t="shared" si="13"/>
        <v>0</v>
      </c>
      <c r="AH20" s="72">
        <f t="shared" si="14"/>
        <v>0</v>
      </c>
      <c r="AI20" s="72">
        <f t="shared" si="15"/>
        <v>0</v>
      </c>
      <c r="AJ20" s="72">
        <f t="shared" si="16"/>
        <v>0</v>
      </c>
      <c r="AK20" s="72">
        <f t="shared" si="17"/>
        <v>0</v>
      </c>
      <c r="AL20" s="72">
        <f t="shared" si="18"/>
        <v>0</v>
      </c>
      <c r="AM20" s="72">
        <f t="shared" si="18"/>
        <v>0</v>
      </c>
      <c r="AN20" s="72">
        <f t="shared" si="18"/>
        <v>0</v>
      </c>
    </row>
    <row r="21" spans="2:52">
      <c r="B21" s="60"/>
      <c r="C21" s="62"/>
      <c r="D21" s="79"/>
      <c r="E21" s="56"/>
      <c r="F21" s="76"/>
      <c r="G21" s="77">
        <f t="shared" si="1"/>
        <v>0</v>
      </c>
      <c r="H21" s="78">
        <f t="shared" si="2"/>
        <v>0</v>
      </c>
      <c r="I21" s="481"/>
      <c r="J21" s="72">
        <f t="shared" si="19"/>
        <v>0</v>
      </c>
      <c r="K21" s="72">
        <f t="shared" si="20"/>
        <v>0</v>
      </c>
      <c r="L21" s="72">
        <f t="shared" si="21"/>
        <v>0</v>
      </c>
      <c r="M21" s="72">
        <f t="shared" si="22"/>
        <v>0</v>
      </c>
      <c r="N21" s="72">
        <f t="shared" si="23"/>
        <v>0</v>
      </c>
      <c r="O21" s="72">
        <f t="shared" si="24"/>
        <v>0</v>
      </c>
      <c r="P21" s="72">
        <f t="shared" si="25"/>
        <v>0</v>
      </c>
      <c r="Q21" s="72">
        <f t="shared" si="26"/>
        <v>0</v>
      </c>
      <c r="R21" s="72">
        <f t="shared" si="27"/>
        <v>0</v>
      </c>
      <c r="S21" s="72">
        <f t="shared" si="28"/>
        <v>0</v>
      </c>
      <c r="T21" s="72">
        <f t="shared" si="29"/>
        <v>0</v>
      </c>
      <c r="U21" s="72">
        <f t="shared" si="30"/>
        <v>0</v>
      </c>
      <c r="V21" s="72">
        <f t="shared" si="5"/>
        <v>0</v>
      </c>
      <c r="W21" s="72">
        <f t="shared" si="5"/>
        <v>0</v>
      </c>
      <c r="X21" s="72">
        <f t="shared" si="5"/>
        <v>0</v>
      </c>
      <c r="Z21" s="72">
        <f t="shared" si="6"/>
        <v>0</v>
      </c>
      <c r="AA21" s="72">
        <f t="shared" si="7"/>
        <v>0</v>
      </c>
      <c r="AB21" s="72">
        <f t="shared" si="8"/>
        <v>0</v>
      </c>
      <c r="AC21" s="72">
        <f t="shared" si="9"/>
        <v>0</v>
      </c>
      <c r="AD21" s="72">
        <f t="shared" si="10"/>
        <v>0</v>
      </c>
      <c r="AE21" s="72">
        <f t="shared" si="11"/>
        <v>0</v>
      </c>
      <c r="AF21" s="72">
        <f t="shared" si="12"/>
        <v>0</v>
      </c>
      <c r="AG21" s="72">
        <f t="shared" si="13"/>
        <v>0</v>
      </c>
      <c r="AH21" s="72">
        <f t="shared" si="14"/>
        <v>0</v>
      </c>
      <c r="AI21" s="72">
        <f t="shared" si="15"/>
        <v>0</v>
      </c>
      <c r="AJ21" s="72">
        <f t="shared" si="16"/>
        <v>0</v>
      </c>
      <c r="AK21" s="72">
        <f t="shared" si="17"/>
        <v>0</v>
      </c>
      <c r="AL21" s="72">
        <f t="shared" si="18"/>
        <v>0</v>
      </c>
      <c r="AM21" s="72">
        <f t="shared" si="18"/>
        <v>0</v>
      </c>
      <c r="AN21" s="72">
        <f t="shared" si="18"/>
        <v>0</v>
      </c>
    </row>
    <row r="22" spans="2:52">
      <c r="B22" s="60"/>
      <c r="C22" s="62"/>
      <c r="D22" s="79"/>
      <c r="E22" s="56"/>
      <c r="F22" s="76"/>
      <c r="G22" s="77">
        <f t="shared" si="1"/>
        <v>0</v>
      </c>
      <c r="H22" s="78">
        <f t="shared" si="2"/>
        <v>0</v>
      </c>
      <c r="I22" s="482"/>
      <c r="J22" s="72">
        <f t="shared" si="19"/>
        <v>0</v>
      </c>
      <c r="K22" s="72">
        <f t="shared" si="20"/>
        <v>0</v>
      </c>
      <c r="L22" s="72">
        <f t="shared" si="21"/>
        <v>0</v>
      </c>
      <c r="M22" s="72">
        <f t="shared" si="22"/>
        <v>0</v>
      </c>
      <c r="N22" s="72">
        <f t="shared" si="23"/>
        <v>0</v>
      </c>
      <c r="O22" s="72">
        <f t="shared" si="24"/>
        <v>0</v>
      </c>
      <c r="P22" s="72">
        <f t="shared" si="25"/>
        <v>0</v>
      </c>
      <c r="Q22" s="72">
        <f t="shared" si="26"/>
        <v>0</v>
      </c>
      <c r="R22" s="72">
        <f t="shared" si="27"/>
        <v>0</v>
      </c>
      <c r="S22" s="72">
        <f t="shared" si="28"/>
        <v>0</v>
      </c>
      <c r="T22" s="72">
        <f t="shared" si="29"/>
        <v>0</v>
      </c>
      <c r="U22" s="72">
        <f t="shared" si="30"/>
        <v>0</v>
      </c>
      <c r="V22" s="72">
        <f t="shared" si="5"/>
        <v>0</v>
      </c>
      <c r="W22" s="72">
        <f t="shared" si="5"/>
        <v>0</v>
      </c>
      <c r="X22" s="72">
        <f t="shared" si="5"/>
        <v>0</v>
      </c>
      <c r="Y22" s="61"/>
      <c r="Z22" s="72">
        <f t="shared" si="6"/>
        <v>0</v>
      </c>
      <c r="AA22" s="72">
        <f t="shared" si="7"/>
        <v>0</v>
      </c>
      <c r="AB22" s="72">
        <f t="shared" si="8"/>
        <v>0</v>
      </c>
      <c r="AC22" s="72">
        <f t="shared" si="9"/>
        <v>0</v>
      </c>
      <c r="AD22" s="72">
        <f t="shared" si="10"/>
        <v>0</v>
      </c>
      <c r="AE22" s="72">
        <f t="shared" si="11"/>
        <v>0</v>
      </c>
      <c r="AF22" s="72">
        <f t="shared" si="12"/>
        <v>0</v>
      </c>
      <c r="AG22" s="72">
        <f t="shared" si="13"/>
        <v>0</v>
      </c>
      <c r="AH22" s="72">
        <f t="shared" si="14"/>
        <v>0</v>
      </c>
      <c r="AI22" s="72">
        <f t="shared" si="15"/>
        <v>0</v>
      </c>
      <c r="AJ22" s="72">
        <f t="shared" si="16"/>
        <v>0</v>
      </c>
      <c r="AK22" s="72">
        <f t="shared" si="17"/>
        <v>0</v>
      </c>
      <c r="AL22" s="72">
        <f t="shared" si="18"/>
        <v>0</v>
      </c>
      <c r="AM22" s="72">
        <f t="shared" si="18"/>
        <v>0</v>
      </c>
      <c r="AN22" s="72">
        <f t="shared" si="18"/>
        <v>0</v>
      </c>
      <c r="AO22" s="61"/>
      <c r="AP22" s="61"/>
    </row>
    <row r="23" spans="2:52" ht="17.25" thickBot="1">
      <c r="B23" s="60"/>
      <c r="C23" s="62"/>
      <c r="D23" s="79"/>
      <c r="E23" s="56"/>
      <c r="F23" s="76"/>
      <c r="G23" s="77">
        <f t="shared" si="1"/>
        <v>0</v>
      </c>
      <c r="H23" s="78">
        <f t="shared" si="2"/>
        <v>0</v>
      </c>
      <c r="I23" s="481"/>
      <c r="J23" s="72">
        <f t="shared" si="19"/>
        <v>0</v>
      </c>
      <c r="K23" s="72">
        <f t="shared" si="20"/>
        <v>0</v>
      </c>
      <c r="L23" s="72">
        <f t="shared" si="21"/>
        <v>0</v>
      </c>
      <c r="M23" s="72">
        <f t="shared" si="22"/>
        <v>0</v>
      </c>
      <c r="N23" s="72">
        <f t="shared" si="23"/>
        <v>0</v>
      </c>
      <c r="O23" s="72">
        <f t="shared" si="24"/>
        <v>0</v>
      </c>
      <c r="P23" s="72">
        <f t="shared" si="25"/>
        <v>0</v>
      </c>
      <c r="Q23" s="72">
        <f t="shared" si="26"/>
        <v>0</v>
      </c>
      <c r="R23" s="72">
        <f t="shared" si="27"/>
        <v>0</v>
      </c>
      <c r="S23" s="72">
        <f t="shared" si="28"/>
        <v>0</v>
      </c>
      <c r="T23" s="72">
        <f t="shared" si="29"/>
        <v>0</v>
      </c>
      <c r="U23" s="72">
        <f t="shared" si="30"/>
        <v>0</v>
      </c>
      <c r="V23" s="72">
        <f t="shared" si="5"/>
        <v>0</v>
      </c>
      <c r="W23" s="72">
        <f t="shared" si="5"/>
        <v>0</v>
      </c>
      <c r="X23" s="72">
        <f t="shared" si="5"/>
        <v>0</v>
      </c>
      <c r="Z23" s="72">
        <f t="shared" si="6"/>
        <v>0</v>
      </c>
      <c r="AA23" s="72">
        <f t="shared" si="7"/>
        <v>0</v>
      </c>
      <c r="AB23" s="72">
        <f t="shared" si="8"/>
        <v>0</v>
      </c>
      <c r="AC23" s="72">
        <f t="shared" si="9"/>
        <v>0</v>
      </c>
      <c r="AD23" s="72">
        <f t="shared" si="10"/>
        <v>0</v>
      </c>
      <c r="AE23" s="72">
        <f t="shared" si="11"/>
        <v>0</v>
      </c>
      <c r="AF23" s="72">
        <f t="shared" si="12"/>
        <v>0</v>
      </c>
      <c r="AG23" s="72">
        <f t="shared" si="13"/>
        <v>0</v>
      </c>
      <c r="AH23" s="72">
        <f t="shared" si="14"/>
        <v>0</v>
      </c>
      <c r="AI23" s="72">
        <f t="shared" si="15"/>
        <v>0</v>
      </c>
      <c r="AJ23" s="72">
        <f t="shared" si="16"/>
        <v>0</v>
      </c>
      <c r="AK23" s="72">
        <f t="shared" si="17"/>
        <v>0</v>
      </c>
      <c r="AL23" s="72">
        <f t="shared" si="18"/>
        <v>0</v>
      </c>
      <c r="AM23" s="72">
        <f t="shared" si="18"/>
        <v>0</v>
      </c>
      <c r="AN23" s="72">
        <f t="shared" si="18"/>
        <v>0</v>
      </c>
      <c r="AV23" s="864" t="s">
        <v>134</v>
      </c>
      <c r="AW23" s="864"/>
      <c r="AY23" s="866" t="s">
        <v>133</v>
      </c>
      <c r="AZ23" s="866"/>
    </row>
    <row r="24" spans="2:52">
      <c r="B24" s="60"/>
      <c r="C24" s="62"/>
      <c r="D24" s="79"/>
      <c r="E24" s="56"/>
      <c r="F24" s="76"/>
      <c r="G24" s="77">
        <f t="shared" si="1"/>
        <v>0</v>
      </c>
      <c r="H24" s="78">
        <f t="shared" si="2"/>
        <v>0</v>
      </c>
      <c r="I24" s="481"/>
      <c r="J24" s="72">
        <f t="shared" si="19"/>
        <v>0</v>
      </c>
      <c r="K24" s="72">
        <f t="shared" si="20"/>
        <v>0</v>
      </c>
      <c r="L24" s="72">
        <f t="shared" si="21"/>
        <v>0</v>
      </c>
      <c r="M24" s="72">
        <f t="shared" si="22"/>
        <v>0</v>
      </c>
      <c r="N24" s="72">
        <f t="shared" si="23"/>
        <v>0</v>
      </c>
      <c r="O24" s="72">
        <f t="shared" si="24"/>
        <v>0</v>
      </c>
      <c r="P24" s="72">
        <f t="shared" si="25"/>
        <v>0</v>
      </c>
      <c r="Q24" s="72">
        <f t="shared" si="26"/>
        <v>0</v>
      </c>
      <c r="R24" s="72">
        <f t="shared" si="27"/>
        <v>0</v>
      </c>
      <c r="S24" s="72">
        <f t="shared" si="28"/>
        <v>0</v>
      </c>
      <c r="T24" s="72">
        <f t="shared" si="29"/>
        <v>0</v>
      </c>
      <c r="U24" s="72">
        <f t="shared" si="30"/>
        <v>0</v>
      </c>
      <c r="V24" s="72">
        <f t="shared" si="5"/>
        <v>0</v>
      </c>
      <c r="W24" s="72">
        <f t="shared" si="5"/>
        <v>0</v>
      </c>
      <c r="X24" s="72">
        <f t="shared" si="5"/>
        <v>0</v>
      </c>
      <c r="Z24" s="72">
        <f t="shared" si="6"/>
        <v>0</v>
      </c>
      <c r="AA24" s="72">
        <f t="shared" si="7"/>
        <v>0</v>
      </c>
      <c r="AB24" s="72">
        <f t="shared" si="8"/>
        <v>0</v>
      </c>
      <c r="AC24" s="72">
        <f t="shared" si="9"/>
        <v>0</v>
      </c>
      <c r="AD24" s="72">
        <f t="shared" si="10"/>
        <v>0</v>
      </c>
      <c r="AE24" s="72">
        <f t="shared" si="11"/>
        <v>0</v>
      </c>
      <c r="AF24" s="72">
        <f t="shared" si="12"/>
        <v>0</v>
      </c>
      <c r="AG24" s="72">
        <f t="shared" si="13"/>
        <v>0</v>
      </c>
      <c r="AH24" s="72">
        <f t="shared" si="14"/>
        <v>0</v>
      </c>
      <c r="AI24" s="72">
        <f t="shared" si="15"/>
        <v>0</v>
      </c>
      <c r="AJ24" s="72">
        <f t="shared" si="16"/>
        <v>0</v>
      </c>
      <c r="AK24" s="72">
        <f t="shared" si="17"/>
        <v>0</v>
      </c>
      <c r="AL24" s="72">
        <f t="shared" si="18"/>
        <v>0</v>
      </c>
      <c r="AM24" s="72">
        <f t="shared" si="18"/>
        <v>0</v>
      </c>
      <c r="AN24" s="72">
        <f t="shared" si="18"/>
        <v>0</v>
      </c>
      <c r="AP24" s="491"/>
      <c r="AQ24" s="487" t="s">
        <v>350</v>
      </c>
      <c r="AR24" s="494">
        <f>AR17</f>
        <v>70.58</v>
      </c>
      <c r="AV24" s="112" t="s">
        <v>75</v>
      </c>
      <c r="AW24" s="1">
        <v>129.82</v>
      </c>
      <c r="AY24" s="502" t="s">
        <v>130</v>
      </c>
      <c r="AZ24" s="503">
        <f>AS17</f>
        <v>0</v>
      </c>
    </row>
    <row r="25" spans="2:52">
      <c r="B25" s="60"/>
      <c r="C25" s="62"/>
      <c r="D25" s="79"/>
      <c r="E25" s="56"/>
      <c r="F25" s="76"/>
      <c r="G25" s="77">
        <f t="shared" si="1"/>
        <v>0</v>
      </c>
      <c r="H25" s="78">
        <f t="shared" si="2"/>
        <v>0</v>
      </c>
      <c r="I25" s="481"/>
      <c r="J25" s="72">
        <f t="shared" si="19"/>
        <v>0</v>
      </c>
      <c r="K25" s="72">
        <f t="shared" si="20"/>
        <v>0</v>
      </c>
      <c r="L25" s="72">
        <f t="shared" si="21"/>
        <v>0</v>
      </c>
      <c r="M25" s="72">
        <f t="shared" si="22"/>
        <v>0</v>
      </c>
      <c r="N25" s="72">
        <f t="shared" si="23"/>
        <v>0</v>
      </c>
      <c r="O25" s="72">
        <f t="shared" si="24"/>
        <v>0</v>
      </c>
      <c r="P25" s="72">
        <f t="shared" si="25"/>
        <v>0</v>
      </c>
      <c r="Q25" s="72">
        <f t="shared" si="26"/>
        <v>0</v>
      </c>
      <c r="R25" s="72">
        <f t="shared" si="27"/>
        <v>0</v>
      </c>
      <c r="S25" s="72">
        <f t="shared" si="28"/>
        <v>0</v>
      </c>
      <c r="T25" s="72">
        <f t="shared" si="29"/>
        <v>0</v>
      </c>
      <c r="U25" s="72">
        <f t="shared" si="30"/>
        <v>0</v>
      </c>
      <c r="V25" s="72">
        <f t="shared" si="5"/>
        <v>0</v>
      </c>
      <c r="W25" s="72">
        <f t="shared" si="5"/>
        <v>0</v>
      </c>
      <c r="X25" s="72">
        <f t="shared" si="5"/>
        <v>0</v>
      </c>
      <c r="Z25" s="72">
        <f t="shared" si="6"/>
        <v>0</v>
      </c>
      <c r="AA25" s="72">
        <f t="shared" si="7"/>
        <v>0</v>
      </c>
      <c r="AB25" s="72">
        <f t="shared" si="8"/>
        <v>0</v>
      </c>
      <c r="AC25" s="72">
        <f t="shared" si="9"/>
        <v>0</v>
      </c>
      <c r="AD25" s="72">
        <f t="shared" si="10"/>
        <v>0</v>
      </c>
      <c r="AE25" s="72">
        <f t="shared" si="11"/>
        <v>0</v>
      </c>
      <c r="AF25" s="72">
        <f t="shared" si="12"/>
        <v>0</v>
      </c>
      <c r="AG25" s="72">
        <f t="shared" si="13"/>
        <v>0</v>
      </c>
      <c r="AH25" s="72">
        <f t="shared" si="14"/>
        <v>0</v>
      </c>
      <c r="AI25" s="72">
        <f t="shared" si="15"/>
        <v>0</v>
      </c>
      <c r="AJ25" s="72">
        <f t="shared" si="16"/>
        <v>0</v>
      </c>
      <c r="AK25" s="72">
        <f t="shared" si="17"/>
        <v>0</v>
      </c>
      <c r="AL25" s="72">
        <f t="shared" si="18"/>
        <v>0</v>
      </c>
      <c r="AM25" s="72">
        <f t="shared" si="18"/>
        <v>0</v>
      </c>
      <c r="AN25" s="72">
        <f t="shared" si="18"/>
        <v>0</v>
      </c>
      <c r="AP25" s="492"/>
      <c r="AQ25" s="488" t="s">
        <v>349</v>
      </c>
      <c r="AR25" s="501">
        <f>AY4+AY6</f>
        <v>0</v>
      </c>
      <c r="AS25" s="869" t="s">
        <v>356</v>
      </c>
      <c r="AT25" s="870"/>
      <c r="AV25" s="112" t="s">
        <v>76</v>
      </c>
      <c r="AW25" s="1">
        <v>262.58</v>
      </c>
      <c r="AY25" s="502" t="s">
        <v>131</v>
      </c>
      <c r="AZ25" s="504">
        <f>AR27</f>
        <v>140</v>
      </c>
    </row>
    <row r="26" spans="2:52">
      <c r="B26" s="60"/>
      <c r="C26" s="62"/>
      <c r="D26" s="79"/>
      <c r="E26" s="56"/>
      <c r="F26" s="76"/>
      <c r="G26" s="77">
        <f t="shared" si="1"/>
        <v>0</v>
      </c>
      <c r="H26" s="78">
        <f t="shared" si="2"/>
        <v>0</v>
      </c>
      <c r="I26" s="481"/>
      <c r="J26" s="72">
        <f t="shared" si="19"/>
        <v>0</v>
      </c>
      <c r="K26" s="72">
        <f t="shared" si="20"/>
        <v>0</v>
      </c>
      <c r="L26" s="72">
        <f t="shared" si="21"/>
        <v>0</v>
      </c>
      <c r="M26" s="72">
        <f t="shared" si="22"/>
        <v>0</v>
      </c>
      <c r="N26" s="72">
        <f t="shared" si="23"/>
        <v>0</v>
      </c>
      <c r="O26" s="72">
        <f t="shared" si="24"/>
        <v>0</v>
      </c>
      <c r="P26" s="72">
        <f t="shared" si="25"/>
        <v>0</v>
      </c>
      <c r="Q26" s="72">
        <f t="shared" si="26"/>
        <v>0</v>
      </c>
      <c r="R26" s="72">
        <f t="shared" si="27"/>
        <v>0</v>
      </c>
      <c r="S26" s="72">
        <f t="shared" si="28"/>
        <v>0</v>
      </c>
      <c r="T26" s="72">
        <f t="shared" si="29"/>
        <v>0</v>
      </c>
      <c r="U26" s="72">
        <f t="shared" si="30"/>
        <v>0</v>
      </c>
      <c r="V26" s="72">
        <f t="shared" si="5"/>
        <v>0</v>
      </c>
      <c r="W26" s="72">
        <f t="shared" si="5"/>
        <v>0</v>
      </c>
      <c r="X26" s="72">
        <f t="shared" si="5"/>
        <v>0</v>
      </c>
      <c r="Z26" s="72">
        <f t="shared" si="6"/>
        <v>0</v>
      </c>
      <c r="AA26" s="72">
        <f t="shared" si="7"/>
        <v>0</v>
      </c>
      <c r="AB26" s="72">
        <f t="shared" si="8"/>
        <v>0</v>
      </c>
      <c r="AC26" s="72">
        <f t="shared" si="9"/>
        <v>0</v>
      </c>
      <c r="AD26" s="72">
        <f t="shared" si="10"/>
        <v>0</v>
      </c>
      <c r="AE26" s="72">
        <f t="shared" si="11"/>
        <v>0</v>
      </c>
      <c r="AF26" s="72">
        <f t="shared" si="12"/>
        <v>0</v>
      </c>
      <c r="AG26" s="72">
        <f t="shared" si="13"/>
        <v>0</v>
      </c>
      <c r="AH26" s="72">
        <f t="shared" si="14"/>
        <v>0</v>
      </c>
      <c r="AI26" s="72">
        <f t="shared" si="15"/>
        <v>0</v>
      </c>
      <c r="AJ26" s="72">
        <f t="shared" si="16"/>
        <v>0</v>
      </c>
      <c r="AK26" s="72">
        <f t="shared" si="17"/>
        <v>0</v>
      </c>
      <c r="AL26" s="72">
        <f t="shared" si="18"/>
        <v>0</v>
      </c>
      <c r="AM26" s="72">
        <f t="shared" si="18"/>
        <v>0</v>
      </c>
      <c r="AN26" s="72">
        <f t="shared" si="18"/>
        <v>0</v>
      </c>
      <c r="AP26" s="492"/>
      <c r="AQ26" s="488" t="s">
        <v>353</v>
      </c>
      <c r="AR26" s="495">
        <f>AR24-AR25</f>
        <v>70.58</v>
      </c>
      <c r="AV26" s="112" t="s">
        <v>77</v>
      </c>
      <c r="AW26" s="1">
        <v>700</v>
      </c>
      <c r="AY26" s="502" t="s">
        <v>134</v>
      </c>
      <c r="AZ26" s="505">
        <f>AW31</f>
        <v>676.74</v>
      </c>
    </row>
    <row r="27" spans="2:52">
      <c r="B27" s="60"/>
      <c r="C27" s="62"/>
      <c r="D27" s="79"/>
      <c r="E27" s="56"/>
      <c r="F27" s="76"/>
      <c r="G27" s="77">
        <f t="shared" si="1"/>
        <v>0</v>
      </c>
      <c r="H27" s="78">
        <f t="shared" si="2"/>
        <v>0</v>
      </c>
      <c r="I27" s="481"/>
      <c r="J27" s="72">
        <f t="shared" si="19"/>
        <v>0</v>
      </c>
      <c r="K27" s="72">
        <f t="shared" si="20"/>
        <v>0</v>
      </c>
      <c r="L27" s="72">
        <f t="shared" si="21"/>
        <v>0</v>
      </c>
      <c r="M27" s="72">
        <f t="shared" si="22"/>
        <v>0</v>
      </c>
      <c r="N27" s="72">
        <f t="shared" si="23"/>
        <v>0</v>
      </c>
      <c r="O27" s="72">
        <f t="shared" si="24"/>
        <v>0</v>
      </c>
      <c r="P27" s="72">
        <f t="shared" si="25"/>
        <v>0</v>
      </c>
      <c r="Q27" s="72">
        <f t="shared" si="26"/>
        <v>0</v>
      </c>
      <c r="R27" s="72">
        <f t="shared" si="27"/>
        <v>0</v>
      </c>
      <c r="S27" s="72">
        <f t="shared" si="28"/>
        <v>0</v>
      </c>
      <c r="T27" s="72">
        <f t="shared" si="29"/>
        <v>0</v>
      </c>
      <c r="U27" s="72">
        <f t="shared" si="30"/>
        <v>0</v>
      </c>
      <c r="V27" s="72">
        <f t="shared" si="5"/>
        <v>0</v>
      </c>
      <c r="W27" s="72">
        <f t="shared" si="5"/>
        <v>0</v>
      </c>
      <c r="X27" s="72">
        <f t="shared" si="5"/>
        <v>0</v>
      </c>
      <c r="Z27" s="72">
        <f t="shared" si="6"/>
        <v>0</v>
      </c>
      <c r="AA27" s="72">
        <f t="shared" si="7"/>
        <v>0</v>
      </c>
      <c r="AB27" s="72">
        <f t="shared" si="8"/>
        <v>0</v>
      </c>
      <c r="AC27" s="72">
        <f t="shared" si="9"/>
        <v>0</v>
      </c>
      <c r="AD27" s="72">
        <f t="shared" si="10"/>
        <v>0</v>
      </c>
      <c r="AE27" s="72">
        <f t="shared" si="11"/>
        <v>0</v>
      </c>
      <c r="AF27" s="72">
        <f t="shared" si="12"/>
        <v>0</v>
      </c>
      <c r="AG27" s="72">
        <f t="shared" si="13"/>
        <v>0</v>
      </c>
      <c r="AH27" s="72">
        <f t="shared" si="14"/>
        <v>0</v>
      </c>
      <c r="AI27" s="72">
        <f t="shared" si="15"/>
        <v>0</v>
      </c>
      <c r="AJ27" s="72">
        <f t="shared" si="16"/>
        <v>0</v>
      </c>
      <c r="AK27" s="72">
        <f t="shared" si="17"/>
        <v>0</v>
      </c>
      <c r="AL27" s="72">
        <f t="shared" si="18"/>
        <v>0</v>
      </c>
      <c r="AM27" s="72">
        <f t="shared" si="18"/>
        <v>0</v>
      </c>
      <c r="AN27" s="72">
        <f t="shared" si="18"/>
        <v>0</v>
      </c>
      <c r="AP27" s="492"/>
      <c r="AQ27" s="489" t="s">
        <v>351</v>
      </c>
      <c r="AR27" s="486">
        <f>(150+130)/2</f>
        <v>140</v>
      </c>
      <c r="AS27" s="867" t="s">
        <v>357</v>
      </c>
      <c r="AT27" s="868"/>
      <c r="AV27" s="112" t="s">
        <v>78</v>
      </c>
      <c r="AW27" s="54">
        <v>261.08</v>
      </c>
      <c r="AY27" s="502" t="s">
        <v>355</v>
      </c>
      <c r="AZ27" s="165">
        <v>0</v>
      </c>
    </row>
    <row r="28" spans="2:52" ht="17.25" customHeight="1" thickBot="1">
      <c r="B28" s="60"/>
      <c r="C28" s="62"/>
      <c r="D28" s="79"/>
      <c r="E28" s="56"/>
      <c r="F28" s="76"/>
      <c r="G28" s="77">
        <f t="shared" si="1"/>
        <v>0</v>
      </c>
      <c r="H28" s="78">
        <f t="shared" si="2"/>
        <v>0</v>
      </c>
      <c r="I28" s="481"/>
      <c r="J28" s="72">
        <f t="shared" si="19"/>
        <v>0</v>
      </c>
      <c r="K28" s="72">
        <f t="shared" si="20"/>
        <v>0</v>
      </c>
      <c r="L28" s="72">
        <f t="shared" si="21"/>
        <v>0</v>
      </c>
      <c r="M28" s="72">
        <f t="shared" si="22"/>
        <v>0</v>
      </c>
      <c r="N28" s="72">
        <f t="shared" si="23"/>
        <v>0</v>
      </c>
      <c r="O28" s="72">
        <f t="shared" si="24"/>
        <v>0</v>
      </c>
      <c r="P28" s="72">
        <f t="shared" si="25"/>
        <v>0</v>
      </c>
      <c r="Q28" s="72">
        <f t="shared" si="26"/>
        <v>0</v>
      </c>
      <c r="R28" s="72">
        <f t="shared" si="27"/>
        <v>0</v>
      </c>
      <c r="S28" s="72">
        <f t="shared" si="28"/>
        <v>0</v>
      </c>
      <c r="T28" s="72">
        <f t="shared" si="29"/>
        <v>0</v>
      </c>
      <c r="U28" s="72">
        <f t="shared" si="30"/>
        <v>0</v>
      </c>
      <c r="V28" s="72">
        <f t="shared" si="5"/>
        <v>0</v>
      </c>
      <c r="W28" s="72">
        <f t="shared" si="5"/>
        <v>0</v>
      </c>
      <c r="X28" s="72">
        <f t="shared" si="5"/>
        <v>0</v>
      </c>
      <c r="Z28" s="72">
        <f t="shared" si="6"/>
        <v>0</v>
      </c>
      <c r="AA28" s="72">
        <f t="shared" si="7"/>
        <v>0</v>
      </c>
      <c r="AB28" s="72">
        <f t="shared" si="8"/>
        <v>0</v>
      </c>
      <c r="AC28" s="72">
        <f t="shared" si="9"/>
        <v>0</v>
      </c>
      <c r="AD28" s="72">
        <f t="shared" si="10"/>
        <v>0</v>
      </c>
      <c r="AE28" s="72">
        <f t="shared" si="11"/>
        <v>0</v>
      </c>
      <c r="AF28" s="72">
        <f t="shared" si="12"/>
        <v>0</v>
      </c>
      <c r="AG28" s="72">
        <f t="shared" si="13"/>
        <v>0</v>
      </c>
      <c r="AH28" s="72">
        <f t="shared" si="14"/>
        <v>0</v>
      </c>
      <c r="AI28" s="72">
        <f t="shared" si="15"/>
        <v>0</v>
      </c>
      <c r="AJ28" s="72">
        <f t="shared" si="16"/>
        <v>0</v>
      </c>
      <c r="AK28" s="72">
        <f t="shared" si="17"/>
        <v>0</v>
      </c>
      <c r="AL28" s="72">
        <f t="shared" si="18"/>
        <v>0</v>
      </c>
      <c r="AM28" s="72">
        <f t="shared" si="18"/>
        <v>0</v>
      </c>
      <c r="AN28" s="72">
        <f t="shared" si="18"/>
        <v>0</v>
      </c>
      <c r="AP28" s="493"/>
      <c r="AQ28" s="490" t="s">
        <v>352</v>
      </c>
      <c r="AR28" s="500">
        <f>AR27+AR26</f>
        <v>210.57999999999998</v>
      </c>
      <c r="AS28" s="867"/>
      <c r="AT28" s="868"/>
      <c r="AV28" s="112" t="s">
        <v>45</v>
      </c>
      <c r="AW28" s="1">
        <f>+SUM(AW24:AW27)</f>
        <v>1353.48</v>
      </c>
      <c r="AY28" s="502" t="s">
        <v>45</v>
      </c>
      <c r="AZ28" s="166">
        <f>AZ24+AZ25+AZ26-AZ27</f>
        <v>816.74</v>
      </c>
    </row>
    <row r="29" spans="2:52" ht="16.5" customHeight="1">
      <c r="B29" s="60"/>
      <c r="C29" s="62"/>
      <c r="D29" s="79"/>
      <c r="E29" s="56"/>
      <c r="F29" s="76"/>
      <c r="G29" s="77">
        <f t="shared" si="1"/>
        <v>0</v>
      </c>
      <c r="H29" s="78">
        <f t="shared" si="2"/>
        <v>0</v>
      </c>
      <c r="I29" s="481"/>
      <c r="J29" s="72">
        <f t="shared" si="19"/>
        <v>0</v>
      </c>
      <c r="K29" s="72">
        <f t="shared" si="20"/>
        <v>0</v>
      </c>
      <c r="L29" s="72">
        <f t="shared" si="21"/>
        <v>0</v>
      </c>
      <c r="M29" s="72">
        <f t="shared" si="22"/>
        <v>0</v>
      </c>
      <c r="N29" s="72">
        <f t="shared" si="23"/>
        <v>0</v>
      </c>
      <c r="O29" s="72">
        <f t="shared" si="24"/>
        <v>0</v>
      </c>
      <c r="P29" s="72">
        <f t="shared" si="25"/>
        <v>0</v>
      </c>
      <c r="Q29" s="72">
        <f t="shared" si="26"/>
        <v>0</v>
      </c>
      <c r="R29" s="72">
        <f t="shared" si="27"/>
        <v>0</v>
      </c>
      <c r="S29" s="72">
        <f t="shared" si="28"/>
        <v>0</v>
      </c>
      <c r="T29" s="72">
        <f t="shared" si="29"/>
        <v>0</v>
      </c>
      <c r="U29" s="72">
        <f t="shared" si="30"/>
        <v>0</v>
      </c>
      <c r="V29" s="72">
        <f t="shared" si="5"/>
        <v>0</v>
      </c>
      <c r="W29" s="72">
        <f t="shared" si="5"/>
        <v>0</v>
      </c>
      <c r="X29" s="72">
        <f t="shared" si="5"/>
        <v>0</v>
      </c>
      <c r="Z29" s="72">
        <f t="shared" si="6"/>
        <v>0</v>
      </c>
      <c r="AA29" s="72">
        <f t="shared" si="7"/>
        <v>0</v>
      </c>
      <c r="AB29" s="72">
        <f t="shared" si="8"/>
        <v>0</v>
      </c>
      <c r="AC29" s="72">
        <f t="shared" si="9"/>
        <v>0</v>
      </c>
      <c r="AD29" s="72">
        <f t="shared" si="10"/>
        <v>0</v>
      </c>
      <c r="AE29" s="72">
        <f t="shared" si="11"/>
        <v>0</v>
      </c>
      <c r="AF29" s="72">
        <f t="shared" si="12"/>
        <v>0</v>
      </c>
      <c r="AG29" s="72">
        <f t="shared" si="13"/>
        <v>0</v>
      </c>
      <c r="AH29" s="72">
        <f t="shared" si="14"/>
        <v>0</v>
      </c>
      <c r="AI29" s="72">
        <f t="shared" si="15"/>
        <v>0</v>
      </c>
      <c r="AJ29" s="72">
        <f t="shared" si="16"/>
        <v>0</v>
      </c>
      <c r="AK29" s="72">
        <f t="shared" si="17"/>
        <v>0</v>
      </c>
      <c r="AL29" s="72">
        <f t="shared" si="18"/>
        <v>0</v>
      </c>
      <c r="AM29" s="72">
        <f t="shared" si="18"/>
        <v>0</v>
      </c>
      <c r="AN29" s="72">
        <f t="shared" si="18"/>
        <v>0</v>
      </c>
      <c r="AR29" s="59"/>
      <c r="AV29" s="112"/>
      <c r="AW29" s="1"/>
    </row>
    <row r="30" spans="2:52" ht="17.25" customHeight="1" thickBot="1">
      <c r="B30" s="60"/>
      <c r="C30" s="62"/>
      <c r="D30" s="79"/>
      <c r="E30" s="56"/>
      <c r="F30" s="76"/>
      <c r="G30" s="77">
        <f t="shared" si="1"/>
        <v>0</v>
      </c>
      <c r="H30" s="78">
        <f t="shared" si="2"/>
        <v>0</v>
      </c>
      <c r="I30" s="481"/>
      <c r="J30" s="72">
        <f t="shared" si="19"/>
        <v>0</v>
      </c>
      <c r="K30" s="72">
        <f t="shared" si="20"/>
        <v>0</v>
      </c>
      <c r="L30" s="72">
        <f t="shared" si="21"/>
        <v>0</v>
      </c>
      <c r="M30" s="72">
        <f t="shared" si="22"/>
        <v>0</v>
      </c>
      <c r="N30" s="72">
        <f t="shared" si="23"/>
        <v>0</v>
      </c>
      <c r="O30" s="72">
        <f t="shared" si="24"/>
        <v>0</v>
      </c>
      <c r="P30" s="72">
        <f t="shared" si="25"/>
        <v>0</v>
      </c>
      <c r="Q30" s="72">
        <f t="shared" si="26"/>
        <v>0</v>
      </c>
      <c r="R30" s="72">
        <f t="shared" si="27"/>
        <v>0</v>
      </c>
      <c r="S30" s="72">
        <f t="shared" si="28"/>
        <v>0</v>
      </c>
      <c r="T30" s="72">
        <f t="shared" si="29"/>
        <v>0</v>
      </c>
      <c r="U30" s="72">
        <f t="shared" si="30"/>
        <v>0</v>
      </c>
      <c r="V30" s="72">
        <f t="shared" si="5"/>
        <v>0</v>
      </c>
      <c r="W30" s="72">
        <f t="shared" si="5"/>
        <v>0</v>
      </c>
      <c r="X30" s="72">
        <f t="shared" si="5"/>
        <v>0</v>
      </c>
      <c r="Z30" s="72">
        <f t="shared" si="6"/>
        <v>0</v>
      </c>
      <c r="AA30" s="72">
        <f t="shared" si="7"/>
        <v>0</v>
      </c>
      <c r="AB30" s="72">
        <f t="shared" si="8"/>
        <v>0</v>
      </c>
      <c r="AC30" s="72">
        <f t="shared" si="9"/>
        <v>0</v>
      </c>
      <c r="AD30" s="72">
        <f t="shared" si="10"/>
        <v>0</v>
      </c>
      <c r="AE30" s="72">
        <f t="shared" si="11"/>
        <v>0</v>
      </c>
      <c r="AF30" s="72">
        <f t="shared" si="12"/>
        <v>0</v>
      </c>
      <c r="AG30" s="72">
        <f t="shared" si="13"/>
        <v>0</v>
      </c>
      <c r="AH30" s="72">
        <f t="shared" si="14"/>
        <v>0</v>
      </c>
      <c r="AI30" s="72">
        <f t="shared" si="15"/>
        <v>0</v>
      </c>
      <c r="AJ30" s="72">
        <f t="shared" si="16"/>
        <v>0</v>
      </c>
      <c r="AK30" s="72">
        <f t="shared" si="17"/>
        <v>0</v>
      </c>
      <c r="AL30" s="72">
        <f t="shared" si="18"/>
        <v>0</v>
      </c>
      <c r="AM30" s="72">
        <f t="shared" si="18"/>
        <v>0</v>
      </c>
      <c r="AN30" s="72">
        <f t="shared" si="18"/>
        <v>0</v>
      </c>
      <c r="AV30" s="1"/>
      <c r="AW30" s="1"/>
      <c r="AY30" s="485" t="s">
        <v>386</v>
      </c>
      <c r="AZ30" s="509">
        <f>AZ25+AZ24-AY6</f>
        <v>140</v>
      </c>
    </row>
    <row r="31" spans="2:52" ht="17.25" customHeight="1" thickBot="1">
      <c r="B31" s="60"/>
      <c r="C31" s="62"/>
      <c r="D31" s="79"/>
      <c r="E31" s="56"/>
      <c r="F31" s="76"/>
      <c r="G31" s="77">
        <f t="shared" si="1"/>
        <v>0</v>
      </c>
      <c r="H31" s="78">
        <f t="shared" si="2"/>
        <v>0</v>
      </c>
      <c r="I31" s="481"/>
      <c r="J31" s="72">
        <f t="shared" si="19"/>
        <v>0</v>
      </c>
      <c r="K31" s="72">
        <f t="shared" si="20"/>
        <v>0</v>
      </c>
      <c r="L31" s="72">
        <f t="shared" si="21"/>
        <v>0</v>
      </c>
      <c r="M31" s="72">
        <f t="shared" si="22"/>
        <v>0</v>
      </c>
      <c r="N31" s="72">
        <f t="shared" si="23"/>
        <v>0</v>
      </c>
      <c r="O31" s="72">
        <f t="shared" si="24"/>
        <v>0</v>
      </c>
      <c r="P31" s="72">
        <f t="shared" si="25"/>
        <v>0</v>
      </c>
      <c r="Q31" s="72">
        <f t="shared" si="26"/>
        <v>0</v>
      </c>
      <c r="R31" s="72">
        <f t="shared" si="27"/>
        <v>0</v>
      </c>
      <c r="S31" s="72">
        <f t="shared" si="28"/>
        <v>0</v>
      </c>
      <c r="T31" s="72">
        <f t="shared" si="29"/>
        <v>0</v>
      </c>
      <c r="U31" s="72">
        <f t="shared" si="30"/>
        <v>0</v>
      </c>
      <c r="V31" s="72">
        <f t="shared" si="5"/>
        <v>0</v>
      </c>
      <c r="W31" s="72">
        <f t="shared" si="5"/>
        <v>0</v>
      </c>
      <c r="X31" s="72">
        <f t="shared" si="5"/>
        <v>0</v>
      </c>
      <c r="Z31" s="72">
        <f t="shared" si="6"/>
        <v>0</v>
      </c>
      <c r="AA31" s="72">
        <f t="shared" si="7"/>
        <v>0</v>
      </c>
      <c r="AB31" s="72">
        <f t="shared" si="8"/>
        <v>0</v>
      </c>
      <c r="AC31" s="72">
        <f t="shared" si="9"/>
        <v>0</v>
      </c>
      <c r="AD31" s="72">
        <f t="shared" si="10"/>
        <v>0</v>
      </c>
      <c r="AE31" s="72">
        <f t="shared" si="11"/>
        <v>0</v>
      </c>
      <c r="AF31" s="72">
        <f t="shared" si="12"/>
        <v>0</v>
      </c>
      <c r="AG31" s="72">
        <f t="shared" si="13"/>
        <v>0</v>
      </c>
      <c r="AH31" s="72">
        <f t="shared" si="14"/>
        <v>0</v>
      </c>
      <c r="AI31" s="72">
        <f t="shared" si="15"/>
        <v>0</v>
      </c>
      <c r="AJ31" s="72">
        <f t="shared" si="16"/>
        <v>0</v>
      </c>
      <c r="AK31" s="72">
        <f t="shared" si="17"/>
        <v>0</v>
      </c>
      <c r="AL31" s="72">
        <f t="shared" si="18"/>
        <v>0</v>
      </c>
      <c r="AM31" s="72">
        <f t="shared" si="18"/>
        <v>0</v>
      </c>
      <c r="AN31" s="72">
        <f t="shared" si="18"/>
        <v>0</v>
      </c>
      <c r="AQ31" s="485" t="s">
        <v>67</v>
      </c>
      <c r="AR31" s="496">
        <f>AR27+AS17</f>
        <v>140</v>
      </c>
      <c r="AV31" s="112" t="s">
        <v>80</v>
      </c>
      <c r="AW31" s="113">
        <f>AW28/2</f>
        <v>676.74</v>
      </c>
    </row>
    <row r="32" spans="2:52" ht="16.5" customHeight="1">
      <c r="B32" s="60"/>
      <c r="C32" s="62"/>
      <c r="D32" s="79"/>
      <c r="E32" s="56"/>
      <c r="F32" s="76"/>
      <c r="G32" s="77">
        <f t="shared" si="1"/>
        <v>0</v>
      </c>
      <c r="H32" s="78">
        <f t="shared" si="2"/>
        <v>0</v>
      </c>
      <c r="I32" s="481"/>
      <c r="J32" s="72">
        <f t="shared" si="19"/>
        <v>0</v>
      </c>
      <c r="K32" s="72">
        <f t="shared" si="20"/>
        <v>0</v>
      </c>
      <c r="L32" s="72">
        <f t="shared" si="21"/>
        <v>0</v>
      </c>
      <c r="M32" s="72">
        <f t="shared" si="22"/>
        <v>0</v>
      </c>
      <c r="N32" s="72">
        <f t="shared" si="23"/>
        <v>0</v>
      </c>
      <c r="O32" s="72">
        <f t="shared" si="24"/>
        <v>0</v>
      </c>
      <c r="P32" s="72">
        <f t="shared" si="25"/>
        <v>0</v>
      </c>
      <c r="Q32" s="72">
        <f t="shared" si="26"/>
        <v>0</v>
      </c>
      <c r="R32" s="72">
        <f t="shared" si="27"/>
        <v>0</v>
      </c>
      <c r="S32" s="72">
        <f t="shared" si="28"/>
        <v>0</v>
      </c>
      <c r="T32" s="72">
        <f t="shared" si="29"/>
        <v>0</v>
      </c>
      <c r="U32" s="72">
        <f t="shared" si="30"/>
        <v>0</v>
      </c>
      <c r="V32" s="72">
        <f t="shared" si="5"/>
        <v>0</v>
      </c>
      <c r="W32" s="72">
        <f t="shared" si="5"/>
        <v>0</v>
      </c>
      <c r="X32" s="72">
        <f t="shared" si="5"/>
        <v>0</v>
      </c>
      <c r="Z32" s="72">
        <f t="shared" si="6"/>
        <v>0</v>
      </c>
      <c r="AA32" s="72">
        <f t="shared" si="7"/>
        <v>0</v>
      </c>
      <c r="AB32" s="72">
        <f t="shared" si="8"/>
        <v>0</v>
      </c>
      <c r="AC32" s="72">
        <f t="shared" si="9"/>
        <v>0</v>
      </c>
      <c r="AD32" s="72">
        <f t="shared" si="10"/>
        <v>0</v>
      </c>
      <c r="AE32" s="72">
        <f t="shared" si="11"/>
        <v>0</v>
      </c>
      <c r="AF32" s="72">
        <f t="shared" si="12"/>
        <v>0</v>
      </c>
      <c r="AG32" s="72">
        <f t="shared" si="13"/>
        <v>0</v>
      </c>
      <c r="AH32" s="72">
        <f t="shared" si="14"/>
        <v>0</v>
      </c>
      <c r="AI32" s="72">
        <f t="shared" si="15"/>
        <v>0</v>
      </c>
      <c r="AJ32" s="72">
        <f t="shared" si="16"/>
        <v>0</v>
      </c>
      <c r="AK32" s="72">
        <f t="shared" si="17"/>
        <v>0</v>
      </c>
      <c r="AL32" s="72">
        <f t="shared" si="18"/>
        <v>0</v>
      </c>
      <c r="AM32" s="72">
        <f t="shared" si="18"/>
        <v>0</v>
      </c>
      <c r="AN32" s="72">
        <f t="shared" si="18"/>
        <v>0</v>
      </c>
      <c r="AQ32" s="485" t="s">
        <v>65</v>
      </c>
      <c r="AR32" s="496">
        <f>AT17</f>
        <v>70.58</v>
      </c>
      <c r="AY32" s="485" t="s">
        <v>389</v>
      </c>
      <c r="AZ32" s="509">
        <f>AT17-AY4</f>
        <v>70.58</v>
      </c>
    </row>
    <row r="33" spans="2:52" ht="17.25" customHeight="1" thickBot="1">
      <c r="B33" s="60"/>
      <c r="C33" s="62"/>
      <c r="D33" s="79"/>
      <c r="E33" s="56"/>
      <c r="F33" s="76"/>
      <c r="G33" s="77">
        <f t="shared" si="1"/>
        <v>0</v>
      </c>
      <c r="H33" s="78">
        <f t="shared" si="2"/>
        <v>0</v>
      </c>
      <c r="I33" s="481"/>
      <c r="J33" s="72">
        <f t="shared" si="19"/>
        <v>0</v>
      </c>
      <c r="K33" s="72">
        <f t="shared" si="20"/>
        <v>0</v>
      </c>
      <c r="L33" s="72">
        <f t="shared" si="21"/>
        <v>0</v>
      </c>
      <c r="M33" s="72">
        <f t="shared" si="22"/>
        <v>0</v>
      </c>
      <c r="N33" s="72">
        <f t="shared" si="23"/>
        <v>0</v>
      </c>
      <c r="O33" s="72">
        <f t="shared" si="24"/>
        <v>0</v>
      </c>
      <c r="P33" s="72">
        <f t="shared" si="25"/>
        <v>0</v>
      </c>
      <c r="Q33" s="72">
        <f t="shared" si="26"/>
        <v>0</v>
      </c>
      <c r="R33" s="72">
        <f t="shared" si="27"/>
        <v>0</v>
      </c>
      <c r="S33" s="72">
        <f t="shared" si="28"/>
        <v>0</v>
      </c>
      <c r="T33" s="72">
        <f t="shared" si="29"/>
        <v>0</v>
      </c>
      <c r="U33" s="72">
        <f t="shared" si="30"/>
        <v>0</v>
      </c>
      <c r="V33" s="72">
        <f t="shared" si="5"/>
        <v>0</v>
      </c>
      <c r="W33" s="72">
        <f t="shared" si="5"/>
        <v>0</v>
      </c>
      <c r="X33" s="72">
        <f t="shared" si="5"/>
        <v>0</v>
      </c>
      <c r="Z33" s="72">
        <f t="shared" si="6"/>
        <v>0</v>
      </c>
      <c r="AA33" s="72">
        <f t="shared" si="7"/>
        <v>0</v>
      </c>
      <c r="AB33" s="72">
        <f t="shared" si="8"/>
        <v>0</v>
      </c>
      <c r="AC33" s="72">
        <f t="shared" si="9"/>
        <v>0</v>
      </c>
      <c r="AD33" s="72">
        <f t="shared" si="10"/>
        <v>0</v>
      </c>
      <c r="AE33" s="72">
        <f t="shared" si="11"/>
        <v>0</v>
      </c>
      <c r="AF33" s="72">
        <f t="shared" si="12"/>
        <v>0</v>
      </c>
      <c r="AG33" s="72">
        <f t="shared" si="13"/>
        <v>0</v>
      </c>
      <c r="AH33" s="72">
        <f t="shared" si="14"/>
        <v>0</v>
      </c>
      <c r="AI33" s="72">
        <f t="shared" si="15"/>
        <v>0</v>
      </c>
      <c r="AJ33" s="72">
        <f t="shared" si="16"/>
        <v>0</v>
      </c>
      <c r="AK33" s="72">
        <f t="shared" si="17"/>
        <v>0</v>
      </c>
      <c r="AL33" s="72">
        <f t="shared" si="18"/>
        <v>0</v>
      </c>
      <c r="AM33" s="72">
        <f t="shared" si="18"/>
        <v>0</v>
      </c>
      <c r="AN33" s="72">
        <f t="shared" si="18"/>
        <v>0</v>
      </c>
      <c r="AR33" s="59"/>
    </row>
    <row r="34" spans="2:52" ht="17.25" customHeight="1" thickBot="1">
      <c r="B34" s="60"/>
      <c r="C34" s="62"/>
      <c r="D34" s="79"/>
      <c r="E34" s="56"/>
      <c r="F34" s="76"/>
      <c r="G34" s="77">
        <f t="shared" si="1"/>
        <v>0</v>
      </c>
      <c r="H34" s="78">
        <f t="shared" si="2"/>
        <v>0</v>
      </c>
      <c r="I34" s="481"/>
      <c r="J34" s="72">
        <f t="shared" si="19"/>
        <v>0</v>
      </c>
      <c r="K34" s="72">
        <f t="shared" si="20"/>
        <v>0</v>
      </c>
      <c r="L34" s="72">
        <f t="shared" si="21"/>
        <v>0</v>
      </c>
      <c r="M34" s="72">
        <f t="shared" si="22"/>
        <v>0</v>
      </c>
      <c r="N34" s="72">
        <f t="shared" si="23"/>
        <v>0</v>
      </c>
      <c r="O34" s="72">
        <f t="shared" si="24"/>
        <v>0</v>
      </c>
      <c r="P34" s="72">
        <f t="shared" si="25"/>
        <v>0</v>
      </c>
      <c r="Q34" s="72">
        <f t="shared" si="26"/>
        <v>0</v>
      </c>
      <c r="R34" s="72">
        <f t="shared" si="27"/>
        <v>0</v>
      </c>
      <c r="S34" s="72">
        <f t="shared" si="28"/>
        <v>0</v>
      </c>
      <c r="T34" s="72">
        <f t="shared" si="29"/>
        <v>0</v>
      </c>
      <c r="U34" s="72">
        <f t="shared" si="30"/>
        <v>0</v>
      </c>
      <c r="V34" s="72">
        <f t="shared" si="5"/>
        <v>0</v>
      </c>
      <c r="W34" s="72">
        <f t="shared" si="5"/>
        <v>0</v>
      </c>
      <c r="X34" s="72">
        <f t="shared" si="5"/>
        <v>0</v>
      </c>
      <c r="Z34" s="72">
        <f t="shared" si="6"/>
        <v>0</v>
      </c>
      <c r="AA34" s="72">
        <f t="shared" si="7"/>
        <v>0</v>
      </c>
      <c r="AB34" s="72">
        <f t="shared" si="8"/>
        <v>0</v>
      </c>
      <c r="AC34" s="72">
        <f t="shared" si="9"/>
        <v>0</v>
      </c>
      <c r="AD34" s="72">
        <f t="shared" si="10"/>
        <v>0</v>
      </c>
      <c r="AE34" s="72">
        <f t="shared" si="11"/>
        <v>0</v>
      </c>
      <c r="AF34" s="72">
        <f t="shared" si="12"/>
        <v>0</v>
      </c>
      <c r="AG34" s="72">
        <f t="shared" si="13"/>
        <v>0</v>
      </c>
      <c r="AH34" s="72">
        <f t="shared" si="14"/>
        <v>0</v>
      </c>
      <c r="AI34" s="72">
        <f t="shared" si="15"/>
        <v>0</v>
      </c>
      <c r="AJ34" s="72">
        <f t="shared" si="16"/>
        <v>0</v>
      </c>
      <c r="AK34" s="72">
        <f t="shared" si="17"/>
        <v>0</v>
      </c>
      <c r="AL34" s="72">
        <f t="shared" si="18"/>
        <v>0</v>
      </c>
      <c r="AM34" s="72">
        <f t="shared" si="18"/>
        <v>0</v>
      </c>
      <c r="AN34" s="72">
        <f t="shared" si="18"/>
        <v>0</v>
      </c>
      <c r="AR34" s="497">
        <f>AR32+AR31</f>
        <v>210.57999999999998</v>
      </c>
      <c r="AS34" s="498" t="s">
        <v>354</v>
      </c>
      <c r="AT34" s="499">
        <f>AR24+AR27</f>
        <v>210.57999999999998</v>
      </c>
      <c r="AZ34" s="513">
        <f>AZ32+AZ30</f>
        <v>210.57999999999998</v>
      </c>
    </row>
    <row r="35" spans="2:52" ht="16.5" customHeight="1">
      <c r="B35" s="60"/>
      <c r="C35" s="62"/>
      <c r="D35" s="79"/>
      <c r="E35" s="56"/>
      <c r="F35" s="76"/>
      <c r="G35" s="77">
        <f t="shared" si="1"/>
        <v>0</v>
      </c>
      <c r="H35" s="78">
        <f t="shared" si="2"/>
        <v>0</v>
      </c>
      <c r="I35" s="481"/>
      <c r="J35" s="72">
        <f t="shared" si="19"/>
        <v>0</v>
      </c>
      <c r="K35" s="72">
        <f t="shared" si="20"/>
        <v>0</v>
      </c>
      <c r="L35" s="72">
        <f t="shared" si="21"/>
        <v>0</v>
      </c>
      <c r="M35" s="72">
        <f t="shared" si="22"/>
        <v>0</v>
      </c>
      <c r="N35" s="72">
        <f t="shared" si="23"/>
        <v>0</v>
      </c>
      <c r="O35" s="72">
        <f t="shared" si="24"/>
        <v>0</v>
      </c>
      <c r="P35" s="72">
        <f t="shared" si="25"/>
        <v>0</v>
      </c>
      <c r="Q35" s="72">
        <f t="shared" si="26"/>
        <v>0</v>
      </c>
      <c r="R35" s="72">
        <f t="shared" si="27"/>
        <v>0</v>
      </c>
      <c r="S35" s="72">
        <f t="shared" si="28"/>
        <v>0</v>
      </c>
      <c r="T35" s="72">
        <f t="shared" si="29"/>
        <v>0</v>
      </c>
      <c r="U35" s="72">
        <f t="shared" si="30"/>
        <v>0</v>
      </c>
      <c r="V35" s="72">
        <f t="shared" si="5"/>
        <v>0</v>
      </c>
      <c r="W35" s="72">
        <f t="shared" si="5"/>
        <v>0</v>
      </c>
      <c r="X35" s="72">
        <f t="shared" si="5"/>
        <v>0</v>
      </c>
      <c r="Z35" s="72">
        <f t="shared" si="6"/>
        <v>0</v>
      </c>
      <c r="AA35" s="72">
        <f t="shared" si="7"/>
        <v>0</v>
      </c>
      <c r="AB35" s="72">
        <f t="shared" si="8"/>
        <v>0</v>
      </c>
      <c r="AC35" s="72">
        <f t="shared" si="9"/>
        <v>0</v>
      </c>
      <c r="AD35" s="72">
        <f t="shared" si="10"/>
        <v>0</v>
      </c>
      <c r="AE35" s="72">
        <f t="shared" si="11"/>
        <v>0</v>
      </c>
      <c r="AF35" s="72">
        <f t="shared" si="12"/>
        <v>0</v>
      </c>
      <c r="AG35" s="72">
        <f t="shared" si="13"/>
        <v>0</v>
      </c>
      <c r="AH35" s="72">
        <f t="shared" si="14"/>
        <v>0</v>
      </c>
      <c r="AI35" s="72">
        <f t="shared" si="15"/>
        <v>0</v>
      </c>
      <c r="AJ35" s="72">
        <f t="shared" si="16"/>
        <v>0</v>
      </c>
      <c r="AK35" s="72">
        <f t="shared" si="17"/>
        <v>0</v>
      </c>
      <c r="AL35" s="72">
        <f t="shared" si="18"/>
        <v>0</v>
      </c>
      <c r="AM35" s="72">
        <f t="shared" si="18"/>
        <v>0</v>
      </c>
      <c r="AN35" s="72">
        <f t="shared" si="18"/>
        <v>0</v>
      </c>
    </row>
    <row r="36" spans="2:52" ht="16.5" customHeight="1">
      <c r="B36" s="60"/>
      <c r="C36" s="62"/>
      <c r="D36" s="79"/>
      <c r="E36" s="56"/>
      <c r="F36" s="76"/>
      <c r="G36" s="77">
        <f t="shared" si="1"/>
        <v>0</v>
      </c>
      <c r="H36" s="78">
        <f t="shared" si="2"/>
        <v>0</v>
      </c>
      <c r="I36" s="481"/>
      <c r="J36" s="72">
        <f t="shared" si="19"/>
        <v>0</v>
      </c>
      <c r="K36" s="72">
        <f t="shared" si="20"/>
        <v>0</v>
      </c>
      <c r="L36" s="72">
        <f t="shared" si="21"/>
        <v>0</v>
      </c>
      <c r="M36" s="72">
        <f t="shared" si="22"/>
        <v>0</v>
      </c>
      <c r="N36" s="72">
        <f t="shared" si="23"/>
        <v>0</v>
      </c>
      <c r="O36" s="72">
        <f t="shared" si="24"/>
        <v>0</v>
      </c>
      <c r="P36" s="72">
        <f t="shared" si="25"/>
        <v>0</v>
      </c>
      <c r="Q36" s="72">
        <f t="shared" si="26"/>
        <v>0</v>
      </c>
      <c r="R36" s="72">
        <f t="shared" si="27"/>
        <v>0</v>
      </c>
      <c r="S36" s="72">
        <f t="shared" si="28"/>
        <v>0</v>
      </c>
      <c r="T36" s="72">
        <f t="shared" si="29"/>
        <v>0</v>
      </c>
      <c r="U36" s="72">
        <f t="shared" si="30"/>
        <v>0</v>
      </c>
      <c r="V36" s="72">
        <f t="shared" ref="V36:X62" si="33">IF($D36=V$2,$H36,0)</f>
        <v>0</v>
      </c>
      <c r="W36" s="72">
        <f t="shared" si="33"/>
        <v>0</v>
      </c>
      <c r="X36" s="72">
        <f t="shared" si="33"/>
        <v>0</v>
      </c>
      <c r="Z36" s="72">
        <f t="shared" si="6"/>
        <v>0</v>
      </c>
      <c r="AA36" s="72">
        <f t="shared" si="7"/>
        <v>0</v>
      </c>
      <c r="AB36" s="72">
        <f t="shared" si="8"/>
        <v>0</v>
      </c>
      <c r="AC36" s="72">
        <f t="shared" si="9"/>
        <v>0</v>
      </c>
      <c r="AD36" s="72">
        <f t="shared" si="10"/>
        <v>0</v>
      </c>
      <c r="AE36" s="72">
        <f t="shared" si="11"/>
        <v>0</v>
      </c>
      <c r="AF36" s="72">
        <f t="shared" si="12"/>
        <v>0</v>
      </c>
      <c r="AG36" s="72">
        <f t="shared" si="13"/>
        <v>0</v>
      </c>
      <c r="AH36" s="72">
        <f t="shared" si="14"/>
        <v>0</v>
      </c>
      <c r="AI36" s="72">
        <f t="shared" si="15"/>
        <v>0</v>
      </c>
      <c r="AJ36" s="72">
        <f t="shared" si="16"/>
        <v>0</v>
      </c>
      <c r="AK36" s="72">
        <f t="shared" si="17"/>
        <v>0</v>
      </c>
      <c r="AL36" s="72">
        <f t="shared" si="18"/>
        <v>0</v>
      </c>
      <c r="AM36" s="72">
        <f t="shared" si="18"/>
        <v>0</v>
      </c>
      <c r="AN36" s="72">
        <f t="shared" si="18"/>
        <v>0</v>
      </c>
    </row>
    <row r="37" spans="2:52" ht="16.5" customHeight="1">
      <c r="B37" s="60"/>
      <c r="C37" s="62"/>
      <c r="D37" s="79"/>
      <c r="E37" s="56"/>
      <c r="F37" s="76"/>
      <c r="G37" s="77">
        <f t="shared" si="1"/>
        <v>0</v>
      </c>
      <c r="H37" s="78">
        <f t="shared" si="2"/>
        <v>0</v>
      </c>
      <c r="I37" s="481"/>
      <c r="J37" s="72">
        <f t="shared" si="19"/>
        <v>0</v>
      </c>
      <c r="K37" s="72">
        <f t="shared" si="20"/>
        <v>0</v>
      </c>
      <c r="L37" s="72">
        <f t="shared" si="21"/>
        <v>0</v>
      </c>
      <c r="M37" s="72">
        <f t="shared" si="22"/>
        <v>0</v>
      </c>
      <c r="N37" s="72">
        <f t="shared" si="23"/>
        <v>0</v>
      </c>
      <c r="O37" s="72">
        <f t="shared" si="24"/>
        <v>0</v>
      </c>
      <c r="P37" s="72">
        <f t="shared" si="25"/>
        <v>0</v>
      </c>
      <c r="Q37" s="72">
        <f t="shared" si="26"/>
        <v>0</v>
      </c>
      <c r="R37" s="72">
        <f t="shared" si="27"/>
        <v>0</v>
      </c>
      <c r="S37" s="72">
        <f t="shared" si="28"/>
        <v>0</v>
      </c>
      <c r="T37" s="72">
        <f t="shared" si="29"/>
        <v>0</v>
      </c>
      <c r="U37" s="72">
        <f t="shared" si="30"/>
        <v>0</v>
      </c>
      <c r="V37" s="72">
        <f t="shared" si="33"/>
        <v>0</v>
      </c>
      <c r="W37" s="72">
        <f t="shared" si="33"/>
        <v>0</v>
      </c>
      <c r="X37" s="72">
        <f t="shared" si="33"/>
        <v>0</v>
      </c>
      <c r="Z37" s="72">
        <f t="shared" si="6"/>
        <v>0</v>
      </c>
      <c r="AA37" s="72">
        <f t="shared" si="7"/>
        <v>0</v>
      </c>
      <c r="AB37" s="72">
        <f t="shared" si="8"/>
        <v>0</v>
      </c>
      <c r="AC37" s="72">
        <f t="shared" si="9"/>
        <v>0</v>
      </c>
      <c r="AD37" s="72">
        <f t="shared" si="10"/>
        <v>0</v>
      </c>
      <c r="AE37" s="72">
        <f t="shared" si="11"/>
        <v>0</v>
      </c>
      <c r="AF37" s="72">
        <f t="shared" si="12"/>
        <v>0</v>
      </c>
      <c r="AG37" s="72">
        <f t="shared" si="13"/>
        <v>0</v>
      </c>
      <c r="AH37" s="72">
        <f t="shared" si="14"/>
        <v>0</v>
      </c>
      <c r="AI37" s="72">
        <f t="shared" si="15"/>
        <v>0</v>
      </c>
      <c r="AJ37" s="72">
        <f t="shared" si="16"/>
        <v>0</v>
      </c>
      <c r="AK37" s="72">
        <f t="shared" si="17"/>
        <v>0</v>
      </c>
      <c r="AL37" s="72">
        <f t="shared" si="18"/>
        <v>0</v>
      </c>
      <c r="AM37" s="72">
        <f t="shared" si="18"/>
        <v>0</v>
      </c>
      <c r="AN37" s="72">
        <f t="shared" si="18"/>
        <v>0</v>
      </c>
    </row>
    <row r="38" spans="2:52" ht="16.5" customHeight="1">
      <c r="B38" s="60"/>
      <c r="C38" s="62"/>
      <c r="D38" s="79"/>
      <c r="E38" s="56"/>
      <c r="F38" s="76"/>
      <c r="G38" s="77">
        <f t="shared" si="1"/>
        <v>0</v>
      </c>
      <c r="H38" s="78">
        <f t="shared" si="2"/>
        <v>0</v>
      </c>
      <c r="I38" s="481"/>
      <c r="J38" s="72">
        <f t="shared" si="19"/>
        <v>0</v>
      </c>
      <c r="K38" s="72">
        <f t="shared" si="20"/>
        <v>0</v>
      </c>
      <c r="L38" s="72">
        <f t="shared" si="21"/>
        <v>0</v>
      </c>
      <c r="M38" s="72">
        <f t="shared" si="22"/>
        <v>0</v>
      </c>
      <c r="N38" s="72">
        <f t="shared" si="23"/>
        <v>0</v>
      </c>
      <c r="O38" s="72">
        <f t="shared" si="24"/>
        <v>0</v>
      </c>
      <c r="P38" s="72">
        <f t="shared" si="25"/>
        <v>0</v>
      </c>
      <c r="Q38" s="72">
        <f t="shared" si="26"/>
        <v>0</v>
      </c>
      <c r="R38" s="72">
        <f t="shared" si="27"/>
        <v>0</v>
      </c>
      <c r="S38" s="72">
        <f t="shared" si="28"/>
        <v>0</v>
      </c>
      <c r="T38" s="72">
        <f t="shared" si="29"/>
        <v>0</v>
      </c>
      <c r="U38" s="72">
        <f t="shared" si="30"/>
        <v>0</v>
      </c>
      <c r="V38" s="72">
        <f t="shared" si="33"/>
        <v>0</v>
      </c>
      <c r="W38" s="72">
        <f t="shared" si="33"/>
        <v>0</v>
      </c>
      <c r="X38" s="72">
        <f t="shared" si="33"/>
        <v>0</v>
      </c>
      <c r="Z38" s="72">
        <f t="shared" si="6"/>
        <v>0</v>
      </c>
      <c r="AA38" s="72">
        <f t="shared" si="7"/>
        <v>0</v>
      </c>
      <c r="AB38" s="72">
        <f t="shared" si="8"/>
        <v>0</v>
      </c>
      <c r="AC38" s="72">
        <f t="shared" si="9"/>
        <v>0</v>
      </c>
      <c r="AD38" s="72">
        <f t="shared" si="10"/>
        <v>0</v>
      </c>
      <c r="AE38" s="72">
        <f t="shared" si="11"/>
        <v>0</v>
      </c>
      <c r="AF38" s="72">
        <f t="shared" si="12"/>
        <v>0</v>
      </c>
      <c r="AG38" s="72">
        <f t="shared" si="13"/>
        <v>0</v>
      </c>
      <c r="AH38" s="72">
        <f t="shared" si="14"/>
        <v>0</v>
      </c>
      <c r="AI38" s="72">
        <f t="shared" si="15"/>
        <v>0</v>
      </c>
      <c r="AJ38" s="72">
        <f t="shared" si="16"/>
        <v>0</v>
      </c>
      <c r="AK38" s="72">
        <f t="shared" si="17"/>
        <v>0</v>
      </c>
      <c r="AL38" s="72">
        <f t="shared" si="18"/>
        <v>0</v>
      </c>
      <c r="AM38" s="72">
        <f t="shared" si="18"/>
        <v>0</v>
      </c>
      <c r="AN38" s="72">
        <f t="shared" si="18"/>
        <v>0</v>
      </c>
    </row>
    <row r="39" spans="2:52" ht="16.5" customHeight="1">
      <c r="B39" s="60"/>
      <c r="C39" s="62"/>
      <c r="D39" s="79"/>
      <c r="E39" s="56"/>
      <c r="F39" s="76"/>
      <c r="G39" s="77">
        <f t="shared" si="1"/>
        <v>0</v>
      </c>
      <c r="H39" s="78">
        <f t="shared" si="2"/>
        <v>0</v>
      </c>
      <c r="I39" s="481"/>
      <c r="J39" s="72">
        <f t="shared" si="19"/>
        <v>0</v>
      </c>
      <c r="K39" s="72">
        <f t="shared" si="20"/>
        <v>0</v>
      </c>
      <c r="L39" s="72">
        <f t="shared" si="21"/>
        <v>0</v>
      </c>
      <c r="M39" s="72">
        <f t="shared" si="22"/>
        <v>0</v>
      </c>
      <c r="N39" s="72">
        <f t="shared" si="23"/>
        <v>0</v>
      </c>
      <c r="O39" s="72">
        <f t="shared" si="24"/>
        <v>0</v>
      </c>
      <c r="P39" s="72">
        <f t="shared" si="25"/>
        <v>0</v>
      </c>
      <c r="Q39" s="72">
        <f t="shared" si="26"/>
        <v>0</v>
      </c>
      <c r="R39" s="72">
        <f t="shared" si="27"/>
        <v>0</v>
      </c>
      <c r="S39" s="72">
        <f t="shared" si="28"/>
        <v>0</v>
      </c>
      <c r="T39" s="72">
        <f t="shared" si="29"/>
        <v>0</v>
      </c>
      <c r="U39" s="72">
        <f t="shared" si="30"/>
        <v>0</v>
      </c>
      <c r="V39" s="72">
        <f t="shared" si="33"/>
        <v>0</v>
      </c>
      <c r="W39" s="72">
        <f t="shared" si="33"/>
        <v>0</v>
      </c>
      <c r="X39" s="72">
        <f t="shared" si="33"/>
        <v>0</v>
      </c>
      <c r="Z39" s="72">
        <f t="shared" si="6"/>
        <v>0</v>
      </c>
      <c r="AA39" s="72">
        <f t="shared" si="7"/>
        <v>0</v>
      </c>
      <c r="AB39" s="72">
        <f t="shared" si="8"/>
        <v>0</v>
      </c>
      <c r="AC39" s="72">
        <f t="shared" si="9"/>
        <v>0</v>
      </c>
      <c r="AD39" s="72">
        <f t="shared" si="10"/>
        <v>0</v>
      </c>
      <c r="AE39" s="72">
        <f t="shared" si="11"/>
        <v>0</v>
      </c>
      <c r="AF39" s="72">
        <f t="shared" si="12"/>
        <v>0</v>
      </c>
      <c r="AG39" s="72">
        <f t="shared" si="13"/>
        <v>0</v>
      </c>
      <c r="AH39" s="72">
        <f t="shared" si="14"/>
        <v>0</v>
      </c>
      <c r="AI39" s="72">
        <f t="shared" si="15"/>
        <v>0</v>
      </c>
      <c r="AJ39" s="72">
        <f t="shared" si="16"/>
        <v>0</v>
      </c>
      <c r="AK39" s="72">
        <f t="shared" si="17"/>
        <v>0</v>
      </c>
      <c r="AL39" s="72">
        <f t="shared" si="18"/>
        <v>0</v>
      </c>
      <c r="AM39" s="72">
        <f t="shared" si="18"/>
        <v>0</v>
      </c>
      <c r="AN39" s="72">
        <f t="shared" si="18"/>
        <v>0</v>
      </c>
      <c r="AZ39" s="55">
        <v>1079.05</v>
      </c>
    </row>
    <row r="40" spans="2:52" hidden="1">
      <c r="B40" s="60"/>
      <c r="C40" s="62"/>
      <c r="D40" s="79"/>
      <c r="E40" s="56"/>
      <c r="F40" s="76"/>
      <c r="G40" s="77">
        <f t="shared" si="1"/>
        <v>0</v>
      </c>
      <c r="H40" s="78">
        <f t="shared" si="2"/>
        <v>0</v>
      </c>
      <c r="I40" s="481"/>
      <c r="J40" s="72">
        <f>IF($D40="ALIMENTAÇÃO",$H40,0)</f>
        <v>0</v>
      </c>
      <c r="K40" s="72">
        <f>IF($D40="ANIMAIS",$H40,0)</f>
        <v>0</v>
      </c>
      <c r="L40" s="72">
        <f>IF($D40="FILHO",$H40,0)</f>
        <v>0</v>
      </c>
      <c r="M40" s="72">
        <f>IF($D40="GASOLINA",$H40,0)</f>
        <v>0</v>
      </c>
      <c r="N40" s="72">
        <f>IF($D40="LAZER",$H40,0)</f>
        <v>0</v>
      </c>
      <c r="O40" s="72">
        <f>IF($D40="MANUT. IMÓVEL",$H40,0)</f>
        <v>0</v>
      </c>
      <c r="P40" s="72">
        <f>IF($D40="MANUT. VEICULAR",$H40,0)</f>
        <v>0</v>
      </c>
      <c r="Q40" s="72">
        <f>IF($D40="MÓVEIS",$H40,0)</f>
        <v>0</v>
      </c>
      <c r="R40" s="72">
        <f>IF($D40="OUTROS",$H40,0)</f>
        <v>0</v>
      </c>
      <c r="S40" s="72">
        <f>IF($D40="PLANOS",$H40,0)</f>
        <v>0</v>
      </c>
      <c r="T40" s="72">
        <f>IF($D40="SAÚDE",$H40,0)</f>
        <v>0</v>
      </c>
      <c r="U40" s="72">
        <f>IF($D40="TRANSPORTE",$H40,0)</f>
        <v>0</v>
      </c>
      <c r="V40" s="72">
        <f>IF($D40=V$2,$H40,0)</f>
        <v>0</v>
      </c>
      <c r="W40" s="72">
        <f>IF($D40=W$2,$H40,0)</f>
        <v>0</v>
      </c>
      <c r="X40" s="72">
        <f>IF($D40=X$2,$H40,0)</f>
        <v>0</v>
      </c>
      <c r="Z40" s="72">
        <f>IF($D40="ALIMENTAÇÃO",$G40,0)</f>
        <v>0</v>
      </c>
      <c r="AA40" s="72">
        <f>IF($D40="ANIMAIS",$G40,0)</f>
        <v>0</v>
      </c>
      <c r="AB40" s="72">
        <f>IF($D40="FILHO",$G40,0)</f>
        <v>0</v>
      </c>
      <c r="AC40" s="72">
        <f>IF($D40="GASOLINA",$G40,0)</f>
        <v>0</v>
      </c>
      <c r="AD40" s="72">
        <f>IF($D40="LAZER",$G40,0)</f>
        <v>0</v>
      </c>
      <c r="AE40" s="72">
        <f>IF($D40="MANUT. IMÓVEL",$G40,0)</f>
        <v>0</v>
      </c>
      <c r="AF40" s="72">
        <f>IF($D40="MANUT. VEICULAR",$G40,0)</f>
        <v>0</v>
      </c>
      <c r="AG40" s="72">
        <f>IF($D40="MÓVEIS",$G40,0)</f>
        <v>0</v>
      </c>
      <c r="AH40" s="72">
        <f>IF($D40="OUTROS",$G40,0)</f>
        <v>0</v>
      </c>
      <c r="AI40" s="72">
        <f>IF($D40="PLANOS",$G40,0)</f>
        <v>0</v>
      </c>
      <c r="AJ40" s="72">
        <f>IF($D40="SAÚDE",$G40,0)</f>
        <v>0</v>
      </c>
      <c r="AK40" s="72">
        <f>IF($D40="TRANSPORTE",$G40,0)</f>
        <v>0</v>
      </c>
      <c r="AL40" s="72">
        <f>IF($D40=AL$2,$G40,0)</f>
        <v>0</v>
      </c>
      <c r="AM40" s="72">
        <f>IF($D40=AM$2,$G40,0)</f>
        <v>0</v>
      </c>
      <c r="AN40" s="72">
        <f>IF($D40=AN$2,$G40,0)</f>
        <v>0</v>
      </c>
    </row>
    <row r="41" spans="2:52" hidden="1">
      <c r="B41" s="60"/>
      <c r="C41" s="62"/>
      <c r="D41" s="79"/>
      <c r="E41" s="56"/>
      <c r="F41" s="76"/>
      <c r="G41" s="77">
        <f t="shared" si="1"/>
        <v>0</v>
      </c>
      <c r="H41" s="78">
        <f t="shared" si="2"/>
        <v>0</v>
      </c>
      <c r="I41" s="481"/>
      <c r="J41" s="72">
        <f t="shared" si="19"/>
        <v>0</v>
      </c>
      <c r="K41" s="72">
        <f t="shared" si="20"/>
        <v>0</v>
      </c>
      <c r="L41" s="72">
        <f t="shared" si="21"/>
        <v>0</v>
      </c>
      <c r="M41" s="72">
        <f t="shared" si="22"/>
        <v>0</v>
      </c>
      <c r="N41" s="72">
        <f t="shared" si="23"/>
        <v>0</v>
      </c>
      <c r="O41" s="72">
        <f t="shared" si="24"/>
        <v>0</v>
      </c>
      <c r="P41" s="72">
        <f t="shared" si="25"/>
        <v>0</v>
      </c>
      <c r="Q41" s="72">
        <f t="shared" si="26"/>
        <v>0</v>
      </c>
      <c r="R41" s="72">
        <f t="shared" si="27"/>
        <v>0</v>
      </c>
      <c r="S41" s="72">
        <f t="shared" si="28"/>
        <v>0</v>
      </c>
      <c r="T41" s="72">
        <f t="shared" si="29"/>
        <v>0</v>
      </c>
      <c r="U41" s="72">
        <f t="shared" si="30"/>
        <v>0</v>
      </c>
      <c r="V41" s="72">
        <f t="shared" si="33"/>
        <v>0</v>
      </c>
      <c r="W41" s="72">
        <f t="shared" si="33"/>
        <v>0</v>
      </c>
      <c r="X41" s="72">
        <f t="shared" si="33"/>
        <v>0</v>
      </c>
      <c r="Z41" s="72">
        <f t="shared" si="6"/>
        <v>0</v>
      </c>
      <c r="AA41" s="72">
        <f t="shared" si="7"/>
        <v>0</v>
      </c>
      <c r="AB41" s="72">
        <f t="shared" si="8"/>
        <v>0</v>
      </c>
      <c r="AC41" s="72">
        <f t="shared" si="9"/>
        <v>0</v>
      </c>
      <c r="AD41" s="72">
        <f t="shared" si="10"/>
        <v>0</v>
      </c>
      <c r="AE41" s="72">
        <f t="shared" si="11"/>
        <v>0</v>
      </c>
      <c r="AF41" s="72">
        <f t="shared" si="12"/>
        <v>0</v>
      </c>
      <c r="AG41" s="72">
        <f t="shared" si="13"/>
        <v>0</v>
      </c>
      <c r="AH41" s="72">
        <f t="shared" si="14"/>
        <v>0</v>
      </c>
      <c r="AI41" s="72">
        <f t="shared" si="15"/>
        <v>0</v>
      </c>
      <c r="AJ41" s="72">
        <f t="shared" si="16"/>
        <v>0</v>
      </c>
      <c r="AK41" s="72">
        <f t="shared" si="17"/>
        <v>0</v>
      </c>
      <c r="AL41" s="72">
        <f t="shared" si="18"/>
        <v>0</v>
      </c>
      <c r="AM41" s="72">
        <f t="shared" si="18"/>
        <v>0</v>
      </c>
      <c r="AN41" s="72">
        <f t="shared" si="18"/>
        <v>0</v>
      </c>
    </row>
    <row r="42" spans="2:52" hidden="1">
      <c r="B42" s="60"/>
      <c r="C42" s="62"/>
      <c r="D42" s="79"/>
      <c r="E42" s="56"/>
      <c r="F42" s="76"/>
      <c r="G42" s="77">
        <f t="shared" si="1"/>
        <v>0</v>
      </c>
      <c r="H42" s="78">
        <f t="shared" si="2"/>
        <v>0</v>
      </c>
      <c r="I42" s="481"/>
      <c r="J42" s="72">
        <f t="shared" si="19"/>
        <v>0</v>
      </c>
      <c r="K42" s="72">
        <f t="shared" si="20"/>
        <v>0</v>
      </c>
      <c r="L42" s="72">
        <f t="shared" si="21"/>
        <v>0</v>
      </c>
      <c r="M42" s="72">
        <f t="shared" si="22"/>
        <v>0</v>
      </c>
      <c r="N42" s="72">
        <f t="shared" si="23"/>
        <v>0</v>
      </c>
      <c r="O42" s="72">
        <f t="shared" si="24"/>
        <v>0</v>
      </c>
      <c r="P42" s="72">
        <f t="shared" si="25"/>
        <v>0</v>
      </c>
      <c r="Q42" s="72">
        <f t="shared" si="26"/>
        <v>0</v>
      </c>
      <c r="R42" s="72">
        <f t="shared" si="27"/>
        <v>0</v>
      </c>
      <c r="S42" s="72">
        <f t="shared" si="28"/>
        <v>0</v>
      </c>
      <c r="T42" s="72">
        <f t="shared" si="29"/>
        <v>0</v>
      </c>
      <c r="U42" s="72">
        <f t="shared" si="30"/>
        <v>0</v>
      </c>
      <c r="V42" s="72">
        <f t="shared" si="33"/>
        <v>0</v>
      </c>
      <c r="W42" s="72">
        <f t="shared" si="33"/>
        <v>0</v>
      </c>
      <c r="X42" s="72">
        <f t="shared" si="33"/>
        <v>0</v>
      </c>
      <c r="Z42" s="72">
        <f t="shared" si="6"/>
        <v>0</v>
      </c>
      <c r="AA42" s="72">
        <f t="shared" si="7"/>
        <v>0</v>
      </c>
      <c r="AB42" s="72">
        <f t="shared" si="8"/>
        <v>0</v>
      </c>
      <c r="AC42" s="72">
        <f t="shared" si="9"/>
        <v>0</v>
      </c>
      <c r="AD42" s="72">
        <f t="shared" si="10"/>
        <v>0</v>
      </c>
      <c r="AE42" s="72">
        <f t="shared" si="11"/>
        <v>0</v>
      </c>
      <c r="AF42" s="72">
        <f t="shared" si="12"/>
        <v>0</v>
      </c>
      <c r="AG42" s="72">
        <f t="shared" si="13"/>
        <v>0</v>
      </c>
      <c r="AH42" s="72">
        <f t="shared" si="14"/>
        <v>0</v>
      </c>
      <c r="AI42" s="72">
        <f t="shared" si="15"/>
        <v>0</v>
      </c>
      <c r="AJ42" s="72">
        <f t="shared" si="16"/>
        <v>0</v>
      </c>
      <c r="AK42" s="72">
        <f t="shared" si="17"/>
        <v>0</v>
      </c>
      <c r="AL42" s="72">
        <f t="shared" si="18"/>
        <v>0</v>
      </c>
      <c r="AM42" s="72">
        <f t="shared" si="18"/>
        <v>0</v>
      </c>
      <c r="AN42" s="72">
        <f t="shared" si="18"/>
        <v>0</v>
      </c>
    </row>
    <row r="43" spans="2:52" hidden="1">
      <c r="B43" s="60"/>
      <c r="C43" s="62"/>
      <c r="D43" s="79"/>
      <c r="E43" s="56"/>
      <c r="F43" s="76"/>
      <c r="G43" s="77">
        <f t="shared" si="1"/>
        <v>0</v>
      </c>
      <c r="H43" s="78">
        <f t="shared" si="2"/>
        <v>0</v>
      </c>
      <c r="I43" s="481"/>
      <c r="J43" s="72">
        <f t="shared" si="19"/>
        <v>0</v>
      </c>
      <c r="K43" s="72">
        <f t="shared" si="20"/>
        <v>0</v>
      </c>
      <c r="L43" s="72">
        <f t="shared" si="21"/>
        <v>0</v>
      </c>
      <c r="M43" s="72">
        <f t="shared" si="22"/>
        <v>0</v>
      </c>
      <c r="N43" s="72">
        <f t="shared" si="23"/>
        <v>0</v>
      </c>
      <c r="O43" s="72">
        <f t="shared" si="24"/>
        <v>0</v>
      </c>
      <c r="P43" s="72">
        <f t="shared" si="25"/>
        <v>0</v>
      </c>
      <c r="Q43" s="72">
        <f t="shared" si="26"/>
        <v>0</v>
      </c>
      <c r="R43" s="72">
        <f t="shared" si="27"/>
        <v>0</v>
      </c>
      <c r="S43" s="72">
        <f t="shared" si="28"/>
        <v>0</v>
      </c>
      <c r="T43" s="72">
        <f t="shared" si="29"/>
        <v>0</v>
      </c>
      <c r="U43" s="72">
        <f t="shared" si="30"/>
        <v>0</v>
      </c>
      <c r="V43" s="72">
        <f t="shared" si="33"/>
        <v>0</v>
      </c>
      <c r="W43" s="72">
        <f t="shared" si="33"/>
        <v>0</v>
      </c>
      <c r="X43" s="72">
        <f t="shared" si="33"/>
        <v>0</v>
      </c>
      <c r="Z43" s="72">
        <f t="shared" si="6"/>
        <v>0</v>
      </c>
      <c r="AA43" s="72">
        <f t="shared" si="7"/>
        <v>0</v>
      </c>
      <c r="AB43" s="72">
        <f t="shared" si="8"/>
        <v>0</v>
      </c>
      <c r="AC43" s="72">
        <f t="shared" si="9"/>
        <v>0</v>
      </c>
      <c r="AD43" s="72">
        <f t="shared" si="10"/>
        <v>0</v>
      </c>
      <c r="AE43" s="72">
        <f t="shared" si="11"/>
        <v>0</v>
      </c>
      <c r="AF43" s="72">
        <f t="shared" si="12"/>
        <v>0</v>
      </c>
      <c r="AG43" s="72">
        <f t="shared" si="13"/>
        <v>0</v>
      </c>
      <c r="AH43" s="72">
        <f t="shared" si="14"/>
        <v>0</v>
      </c>
      <c r="AI43" s="72">
        <f t="shared" si="15"/>
        <v>0</v>
      </c>
      <c r="AJ43" s="72">
        <f t="shared" si="16"/>
        <v>0</v>
      </c>
      <c r="AK43" s="72">
        <f t="shared" si="17"/>
        <v>0</v>
      </c>
      <c r="AL43" s="72">
        <f t="shared" si="18"/>
        <v>0</v>
      </c>
      <c r="AM43" s="72">
        <f t="shared" si="18"/>
        <v>0</v>
      </c>
      <c r="AN43" s="72">
        <f t="shared" si="18"/>
        <v>0</v>
      </c>
    </row>
    <row r="44" spans="2:52" hidden="1">
      <c r="B44" s="60"/>
      <c r="C44" s="62"/>
      <c r="D44" s="79"/>
      <c r="E44" s="56"/>
      <c r="F44" s="76"/>
      <c r="G44" s="77">
        <f t="shared" si="1"/>
        <v>0</v>
      </c>
      <c r="H44" s="78">
        <f t="shared" si="2"/>
        <v>0</v>
      </c>
      <c r="I44" s="481"/>
      <c r="J44" s="72">
        <f t="shared" si="19"/>
        <v>0</v>
      </c>
      <c r="K44" s="72">
        <f t="shared" si="20"/>
        <v>0</v>
      </c>
      <c r="L44" s="72">
        <f t="shared" si="21"/>
        <v>0</v>
      </c>
      <c r="M44" s="72">
        <f t="shared" si="22"/>
        <v>0</v>
      </c>
      <c r="N44" s="72">
        <f t="shared" si="23"/>
        <v>0</v>
      </c>
      <c r="O44" s="72">
        <f t="shared" si="24"/>
        <v>0</v>
      </c>
      <c r="P44" s="72">
        <f t="shared" si="25"/>
        <v>0</v>
      </c>
      <c r="Q44" s="72">
        <f t="shared" si="26"/>
        <v>0</v>
      </c>
      <c r="R44" s="72">
        <f t="shared" si="27"/>
        <v>0</v>
      </c>
      <c r="S44" s="72">
        <f t="shared" si="28"/>
        <v>0</v>
      </c>
      <c r="T44" s="72">
        <f t="shared" si="29"/>
        <v>0</v>
      </c>
      <c r="U44" s="72">
        <f t="shared" si="30"/>
        <v>0</v>
      </c>
      <c r="V44" s="72">
        <f t="shared" si="33"/>
        <v>0</v>
      </c>
      <c r="W44" s="72">
        <f t="shared" si="33"/>
        <v>0</v>
      </c>
      <c r="X44" s="72">
        <f t="shared" si="33"/>
        <v>0</v>
      </c>
      <c r="Z44" s="72">
        <f t="shared" si="6"/>
        <v>0</v>
      </c>
      <c r="AA44" s="72">
        <f t="shared" si="7"/>
        <v>0</v>
      </c>
      <c r="AB44" s="72">
        <f t="shared" si="8"/>
        <v>0</v>
      </c>
      <c r="AC44" s="72">
        <f t="shared" si="9"/>
        <v>0</v>
      </c>
      <c r="AD44" s="72">
        <f t="shared" si="10"/>
        <v>0</v>
      </c>
      <c r="AE44" s="72">
        <f t="shared" si="11"/>
        <v>0</v>
      </c>
      <c r="AF44" s="72">
        <f t="shared" si="12"/>
        <v>0</v>
      </c>
      <c r="AG44" s="72">
        <f t="shared" si="13"/>
        <v>0</v>
      </c>
      <c r="AH44" s="72">
        <f t="shared" si="14"/>
        <v>0</v>
      </c>
      <c r="AI44" s="72">
        <f t="shared" si="15"/>
        <v>0</v>
      </c>
      <c r="AJ44" s="72">
        <f t="shared" si="16"/>
        <v>0</v>
      </c>
      <c r="AK44" s="72">
        <f t="shared" si="17"/>
        <v>0</v>
      </c>
      <c r="AL44" s="72">
        <f t="shared" si="18"/>
        <v>0</v>
      </c>
      <c r="AM44" s="72">
        <f t="shared" si="18"/>
        <v>0</v>
      </c>
      <c r="AN44" s="72">
        <f t="shared" si="18"/>
        <v>0</v>
      </c>
    </row>
    <row r="45" spans="2:52" hidden="1">
      <c r="B45" s="60"/>
      <c r="C45" s="62"/>
      <c r="D45" s="79"/>
      <c r="E45" s="56"/>
      <c r="F45" s="76"/>
      <c r="G45" s="77">
        <f t="shared" si="1"/>
        <v>0</v>
      </c>
      <c r="H45" s="78">
        <f t="shared" si="2"/>
        <v>0</v>
      </c>
      <c r="I45" s="481"/>
      <c r="J45" s="72">
        <f t="shared" si="19"/>
        <v>0</v>
      </c>
      <c r="K45" s="72">
        <f t="shared" si="20"/>
        <v>0</v>
      </c>
      <c r="L45" s="72">
        <f t="shared" si="21"/>
        <v>0</v>
      </c>
      <c r="M45" s="72">
        <f t="shared" si="22"/>
        <v>0</v>
      </c>
      <c r="N45" s="72">
        <f t="shared" si="23"/>
        <v>0</v>
      </c>
      <c r="O45" s="72">
        <f t="shared" si="24"/>
        <v>0</v>
      </c>
      <c r="P45" s="72">
        <f t="shared" si="25"/>
        <v>0</v>
      </c>
      <c r="Q45" s="72">
        <f t="shared" si="26"/>
        <v>0</v>
      </c>
      <c r="R45" s="72">
        <f t="shared" si="27"/>
        <v>0</v>
      </c>
      <c r="S45" s="72">
        <f t="shared" si="28"/>
        <v>0</v>
      </c>
      <c r="T45" s="72">
        <f t="shared" si="29"/>
        <v>0</v>
      </c>
      <c r="U45" s="72">
        <f t="shared" si="30"/>
        <v>0</v>
      </c>
      <c r="V45" s="72">
        <f t="shared" si="33"/>
        <v>0</v>
      </c>
      <c r="W45" s="72">
        <f t="shared" si="33"/>
        <v>0</v>
      </c>
      <c r="X45" s="72">
        <f t="shared" si="33"/>
        <v>0</v>
      </c>
      <c r="Z45" s="72">
        <f t="shared" si="6"/>
        <v>0</v>
      </c>
      <c r="AA45" s="72">
        <f t="shared" si="7"/>
        <v>0</v>
      </c>
      <c r="AB45" s="72">
        <f t="shared" si="8"/>
        <v>0</v>
      </c>
      <c r="AC45" s="72">
        <f t="shared" si="9"/>
        <v>0</v>
      </c>
      <c r="AD45" s="72">
        <f t="shared" si="10"/>
        <v>0</v>
      </c>
      <c r="AE45" s="72">
        <f t="shared" si="11"/>
        <v>0</v>
      </c>
      <c r="AF45" s="72">
        <f t="shared" si="12"/>
        <v>0</v>
      </c>
      <c r="AG45" s="72">
        <f t="shared" si="13"/>
        <v>0</v>
      </c>
      <c r="AH45" s="72">
        <f t="shared" si="14"/>
        <v>0</v>
      </c>
      <c r="AI45" s="72">
        <f t="shared" si="15"/>
        <v>0</v>
      </c>
      <c r="AJ45" s="72">
        <f t="shared" si="16"/>
        <v>0</v>
      </c>
      <c r="AK45" s="72">
        <f t="shared" si="17"/>
        <v>0</v>
      </c>
      <c r="AL45" s="72">
        <f t="shared" si="18"/>
        <v>0</v>
      </c>
      <c r="AM45" s="72">
        <f t="shared" si="18"/>
        <v>0</v>
      </c>
      <c r="AN45" s="72">
        <f t="shared" si="18"/>
        <v>0</v>
      </c>
    </row>
    <row r="46" spans="2:52" hidden="1">
      <c r="B46" s="60"/>
      <c r="C46" s="62"/>
      <c r="D46" s="79"/>
      <c r="E46" s="56"/>
      <c r="F46" s="76"/>
      <c r="G46" s="77">
        <f t="shared" si="1"/>
        <v>0</v>
      </c>
      <c r="H46" s="78">
        <f t="shared" si="2"/>
        <v>0</v>
      </c>
      <c r="I46" s="481"/>
      <c r="J46" s="72">
        <f t="shared" si="19"/>
        <v>0</v>
      </c>
      <c r="K46" s="72">
        <f t="shared" si="20"/>
        <v>0</v>
      </c>
      <c r="L46" s="72">
        <f t="shared" si="21"/>
        <v>0</v>
      </c>
      <c r="M46" s="72">
        <f t="shared" si="22"/>
        <v>0</v>
      </c>
      <c r="N46" s="72">
        <f t="shared" si="23"/>
        <v>0</v>
      </c>
      <c r="O46" s="72">
        <f t="shared" si="24"/>
        <v>0</v>
      </c>
      <c r="P46" s="72">
        <f t="shared" si="25"/>
        <v>0</v>
      </c>
      <c r="Q46" s="72">
        <f t="shared" si="26"/>
        <v>0</v>
      </c>
      <c r="R46" s="72">
        <f t="shared" si="27"/>
        <v>0</v>
      </c>
      <c r="S46" s="72">
        <f t="shared" si="28"/>
        <v>0</v>
      </c>
      <c r="T46" s="72">
        <f t="shared" si="29"/>
        <v>0</v>
      </c>
      <c r="U46" s="72">
        <f t="shared" si="30"/>
        <v>0</v>
      </c>
      <c r="V46" s="72">
        <f t="shared" si="33"/>
        <v>0</v>
      </c>
      <c r="W46" s="72">
        <f t="shared" si="33"/>
        <v>0</v>
      </c>
      <c r="X46" s="72">
        <f t="shared" si="33"/>
        <v>0</v>
      </c>
      <c r="Z46" s="72">
        <f t="shared" si="6"/>
        <v>0</v>
      </c>
      <c r="AA46" s="72">
        <f t="shared" si="7"/>
        <v>0</v>
      </c>
      <c r="AB46" s="72">
        <f t="shared" si="8"/>
        <v>0</v>
      </c>
      <c r="AC46" s="72">
        <f t="shared" si="9"/>
        <v>0</v>
      </c>
      <c r="AD46" s="72">
        <f t="shared" si="10"/>
        <v>0</v>
      </c>
      <c r="AE46" s="72">
        <f t="shared" si="11"/>
        <v>0</v>
      </c>
      <c r="AF46" s="72">
        <f t="shared" si="12"/>
        <v>0</v>
      </c>
      <c r="AG46" s="72">
        <f t="shared" si="13"/>
        <v>0</v>
      </c>
      <c r="AH46" s="72">
        <f t="shared" si="14"/>
        <v>0</v>
      </c>
      <c r="AI46" s="72">
        <f t="shared" si="15"/>
        <v>0</v>
      </c>
      <c r="AJ46" s="72">
        <f t="shared" si="16"/>
        <v>0</v>
      </c>
      <c r="AK46" s="72">
        <f t="shared" si="17"/>
        <v>0</v>
      </c>
      <c r="AL46" s="72">
        <f t="shared" si="18"/>
        <v>0</v>
      </c>
      <c r="AM46" s="72">
        <f t="shared" si="18"/>
        <v>0</v>
      </c>
      <c r="AN46" s="72">
        <f t="shared" si="18"/>
        <v>0</v>
      </c>
    </row>
    <row r="47" spans="2:52" hidden="1">
      <c r="B47" s="60"/>
      <c r="C47" s="62"/>
      <c r="D47" s="79"/>
      <c r="E47" s="56"/>
      <c r="F47" s="76"/>
      <c r="G47" s="77">
        <f t="shared" si="1"/>
        <v>0</v>
      </c>
      <c r="H47" s="78">
        <f t="shared" si="2"/>
        <v>0</v>
      </c>
      <c r="I47" s="481"/>
      <c r="J47" s="72">
        <f t="shared" si="19"/>
        <v>0</v>
      </c>
      <c r="K47" s="72">
        <f t="shared" si="20"/>
        <v>0</v>
      </c>
      <c r="L47" s="72">
        <f t="shared" si="21"/>
        <v>0</v>
      </c>
      <c r="M47" s="72">
        <f t="shared" si="22"/>
        <v>0</v>
      </c>
      <c r="N47" s="72">
        <f t="shared" si="23"/>
        <v>0</v>
      </c>
      <c r="O47" s="72">
        <f t="shared" si="24"/>
        <v>0</v>
      </c>
      <c r="P47" s="72">
        <f t="shared" si="25"/>
        <v>0</v>
      </c>
      <c r="Q47" s="72">
        <f t="shared" si="26"/>
        <v>0</v>
      </c>
      <c r="R47" s="72">
        <f t="shared" si="27"/>
        <v>0</v>
      </c>
      <c r="S47" s="72">
        <f t="shared" si="28"/>
        <v>0</v>
      </c>
      <c r="T47" s="72">
        <f t="shared" si="29"/>
        <v>0</v>
      </c>
      <c r="U47" s="72">
        <f t="shared" si="30"/>
        <v>0</v>
      </c>
      <c r="V47" s="72">
        <f t="shared" si="33"/>
        <v>0</v>
      </c>
      <c r="W47" s="72">
        <f t="shared" si="33"/>
        <v>0</v>
      </c>
      <c r="X47" s="72">
        <f t="shared" si="33"/>
        <v>0</v>
      </c>
      <c r="Z47" s="72">
        <f t="shared" si="6"/>
        <v>0</v>
      </c>
      <c r="AA47" s="72">
        <f t="shared" si="7"/>
        <v>0</v>
      </c>
      <c r="AB47" s="72">
        <f t="shared" si="8"/>
        <v>0</v>
      </c>
      <c r="AC47" s="72">
        <f t="shared" si="9"/>
        <v>0</v>
      </c>
      <c r="AD47" s="72">
        <f t="shared" si="10"/>
        <v>0</v>
      </c>
      <c r="AE47" s="72">
        <f t="shared" si="11"/>
        <v>0</v>
      </c>
      <c r="AF47" s="72">
        <f t="shared" si="12"/>
        <v>0</v>
      </c>
      <c r="AG47" s="72">
        <f t="shared" si="13"/>
        <v>0</v>
      </c>
      <c r="AH47" s="72">
        <f t="shared" si="14"/>
        <v>0</v>
      </c>
      <c r="AI47" s="72">
        <f t="shared" si="15"/>
        <v>0</v>
      </c>
      <c r="AJ47" s="72">
        <f t="shared" si="16"/>
        <v>0</v>
      </c>
      <c r="AK47" s="72">
        <f t="shared" si="17"/>
        <v>0</v>
      </c>
      <c r="AL47" s="72">
        <f t="shared" si="18"/>
        <v>0</v>
      </c>
      <c r="AM47" s="72">
        <f t="shared" si="18"/>
        <v>0</v>
      </c>
      <c r="AN47" s="72">
        <f t="shared" si="18"/>
        <v>0</v>
      </c>
    </row>
    <row r="48" spans="2:52" hidden="1">
      <c r="B48" s="60"/>
      <c r="C48" s="62"/>
      <c r="D48" s="79"/>
      <c r="E48" s="56"/>
      <c r="F48" s="76"/>
      <c r="G48" s="77">
        <f t="shared" si="1"/>
        <v>0</v>
      </c>
      <c r="H48" s="78">
        <f t="shared" si="2"/>
        <v>0</v>
      </c>
      <c r="I48" s="481"/>
      <c r="J48" s="72">
        <f t="shared" si="19"/>
        <v>0</v>
      </c>
      <c r="K48" s="72">
        <f t="shared" si="20"/>
        <v>0</v>
      </c>
      <c r="L48" s="72">
        <f t="shared" si="21"/>
        <v>0</v>
      </c>
      <c r="M48" s="72">
        <f t="shared" si="22"/>
        <v>0</v>
      </c>
      <c r="N48" s="72">
        <f t="shared" si="23"/>
        <v>0</v>
      </c>
      <c r="O48" s="72">
        <f t="shared" si="24"/>
        <v>0</v>
      </c>
      <c r="P48" s="72">
        <f t="shared" si="25"/>
        <v>0</v>
      </c>
      <c r="Q48" s="72">
        <f t="shared" si="26"/>
        <v>0</v>
      </c>
      <c r="R48" s="72">
        <f t="shared" si="27"/>
        <v>0</v>
      </c>
      <c r="S48" s="72">
        <f t="shared" si="28"/>
        <v>0</v>
      </c>
      <c r="T48" s="72">
        <f t="shared" si="29"/>
        <v>0</v>
      </c>
      <c r="U48" s="72">
        <f t="shared" si="30"/>
        <v>0</v>
      </c>
      <c r="V48" s="72">
        <f t="shared" si="33"/>
        <v>0</v>
      </c>
      <c r="W48" s="72">
        <f t="shared" si="33"/>
        <v>0</v>
      </c>
      <c r="X48" s="72">
        <f t="shared" si="33"/>
        <v>0</v>
      </c>
      <c r="Z48" s="72">
        <f t="shared" si="6"/>
        <v>0</v>
      </c>
      <c r="AA48" s="72">
        <f t="shared" si="7"/>
        <v>0</v>
      </c>
      <c r="AB48" s="72">
        <f t="shared" si="8"/>
        <v>0</v>
      </c>
      <c r="AC48" s="72">
        <f t="shared" si="9"/>
        <v>0</v>
      </c>
      <c r="AD48" s="72">
        <f t="shared" si="10"/>
        <v>0</v>
      </c>
      <c r="AE48" s="72">
        <f t="shared" si="11"/>
        <v>0</v>
      </c>
      <c r="AF48" s="72">
        <f t="shared" si="12"/>
        <v>0</v>
      </c>
      <c r="AG48" s="72">
        <f t="shared" si="13"/>
        <v>0</v>
      </c>
      <c r="AH48" s="72">
        <f t="shared" si="14"/>
        <v>0</v>
      </c>
      <c r="AI48" s="72">
        <f t="shared" si="15"/>
        <v>0</v>
      </c>
      <c r="AJ48" s="72">
        <f t="shared" si="16"/>
        <v>0</v>
      </c>
      <c r="AK48" s="72">
        <f t="shared" si="17"/>
        <v>0</v>
      </c>
      <c r="AL48" s="72">
        <f t="shared" si="18"/>
        <v>0</v>
      </c>
      <c r="AM48" s="72">
        <f t="shared" si="18"/>
        <v>0</v>
      </c>
      <c r="AN48" s="72">
        <f t="shared" si="18"/>
        <v>0</v>
      </c>
    </row>
    <row r="49" spans="2:42">
      <c r="B49" s="60"/>
      <c r="C49" s="62"/>
      <c r="D49" s="79"/>
      <c r="E49" s="56"/>
      <c r="F49" s="76"/>
      <c r="G49" s="77">
        <f t="shared" si="1"/>
        <v>0</v>
      </c>
      <c r="H49" s="78">
        <f t="shared" si="2"/>
        <v>0</v>
      </c>
      <c r="I49" s="481"/>
      <c r="J49" s="72">
        <f t="shared" si="19"/>
        <v>0</v>
      </c>
      <c r="K49" s="72">
        <f t="shared" si="20"/>
        <v>0</v>
      </c>
      <c r="L49" s="72">
        <f t="shared" si="21"/>
        <v>0</v>
      </c>
      <c r="M49" s="72">
        <f t="shared" si="22"/>
        <v>0</v>
      </c>
      <c r="N49" s="72">
        <f t="shared" si="23"/>
        <v>0</v>
      </c>
      <c r="O49" s="72">
        <f t="shared" si="24"/>
        <v>0</v>
      </c>
      <c r="P49" s="72">
        <f t="shared" si="25"/>
        <v>0</v>
      </c>
      <c r="Q49" s="72">
        <f t="shared" si="26"/>
        <v>0</v>
      </c>
      <c r="R49" s="72">
        <f t="shared" si="27"/>
        <v>0</v>
      </c>
      <c r="S49" s="72">
        <f t="shared" si="28"/>
        <v>0</v>
      </c>
      <c r="T49" s="72">
        <f t="shared" si="29"/>
        <v>0</v>
      </c>
      <c r="U49" s="72">
        <f t="shared" si="30"/>
        <v>0</v>
      </c>
      <c r="V49" s="72">
        <f t="shared" si="33"/>
        <v>0</v>
      </c>
      <c r="W49" s="72">
        <f t="shared" si="33"/>
        <v>0</v>
      </c>
      <c r="X49" s="72">
        <f t="shared" si="33"/>
        <v>0</v>
      </c>
      <c r="Z49" s="72">
        <f t="shared" si="6"/>
        <v>0</v>
      </c>
      <c r="AA49" s="72">
        <f t="shared" si="7"/>
        <v>0</v>
      </c>
      <c r="AB49" s="72">
        <f t="shared" si="8"/>
        <v>0</v>
      </c>
      <c r="AC49" s="72">
        <f t="shared" si="9"/>
        <v>0</v>
      </c>
      <c r="AD49" s="72">
        <f t="shared" si="10"/>
        <v>0</v>
      </c>
      <c r="AE49" s="72">
        <f t="shared" si="11"/>
        <v>0</v>
      </c>
      <c r="AF49" s="72">
        <f t="shared" si="12"/>
        <v>0</v>
      </c>
      <c r="AG49" s="72">
        <f t="shared" si="13"/>
        <v>0</v>
      </c>
      <c r="AH49" s="72">
        <f t="shared" si="14"/>
        <v>0</v>
      </c>
      <c r="AI49" s="72">
        <f t="shared" si="15"/>
        <v>0</v>
      </c>
      <c r="AJ49" s="72">
        <f t="shared" si="16"/>
        <v>0</v>
      </c>
      <c r="AK49" s="72">
        <f t="shared" si="17"/>
        <v>0</v>
      </c>
      <c r="AL49" s="72">
        <f t="shared" si="18"/>
        <v>0</v>
      </c>
      <c r="AM49" s="72">
        <f t="shared" si="18"/>
        <v>0</v>
      </c>
      <c r="AN49" s="72">
        <f t="shared" si="18"/>
        <v>0</v>
      </c>
    </row>
    <row r="50" spans="2:42">
      <c r="B50" s="60"/>
      <c r="C50" s="62"/>
      <c r="D50" s="79"/>
      <c r="E50" s="56"/>
      <c r="F50" s="76"/>
      <c r="G50" s="77">
        <f t="shared" si="1"/>
        <v>0</v>
      </c>
      <c r="H50" s="78">
        <f t="shared" si="2"/>
        <v>0</v>
      </c>
      <c r="I50" s="481"/>
      <c r="J50" s="72">
        <f t="shared" si="19"/>
        <v>0</v>
      </c>
      <c r="K50" s="72">
        <f t="shared" si="20"/>
        <v>0</v>
      </c>
      <c r="L50" s="72">
        <f t="shared" si="21"/>
        <v>0</v>
      </c>
      <c r="M50" s="72">
        <f t="shared" si="22"/>
        <v>0</v>
      </c>
      <c r="N50" s="72">
        <f t="shared" si="23"/>
        <v>0</v>
      </c>
      <c r="O50" s="72">
        <f t="shared" si="24"/>
        <v>0</v>
      </c>
      <c r="P50" s="72">
        <f t="shared" si="25"/>
        <v>0</v>
      </c>
      <c r="Q50" s="72">
        <f t="shared" si="26"/>
        <v>0</v>
      </c>
      <c r="R50" s="72">
        <f t="shared" si="27"/>
        <v>0</v>
      </c>
      <c r="S50" s="72">
        <f t="shared" si="28"/>
        <v>0</v>
      </c>
      <c r="T50" s="72">
        <f t="shared" si="29"/>
        <v>0</v>
      </c>
      <c r="U50" s="72">
        <f t="shared" si="30"/>
        <v>0</v>
      </c>
      <c r="V50" s="72">
        <f t="shared" si="33"/>
        <v>0</v>
      </c>
      <c r="W50" s="72">
        <f t="shared" si="33"/>
        <v>0</v>
      </c>
      <c r="X50" s="72">
        <f t="shared" si="33"/>
        <v>0</v>
      </c>
      <c r="Z50" s="72">
        <f t="shared" si="6"/>
        <v>0</v>
      </c>
      <c r="AA50" s="72">
        <f t="shared" si="7"/>
        <v>0</v>
      </c>
      <c r="AB50" s="72">
        <f t="shared" si="8"/>
        <v>0</v>
      </c>
      <c r="AC50" s="72">
        <f t="shared" si="9"/>
        <v>0</v>
      </c>
      <c r="AD50" s="72">
        <f t="shared" si="10"/>
        <v>0</v>
      </c>
      <c r="AE50" s="72">
        <f t="shared" si="11"/>
        <v>0</v>
      </c>
      <c r="AF50" s="72">
        <f t="shared" si="12"/>
        <v>0</v>
      </c>
      <c r="AG50" s="72">
        <f t="shared" si="13"/>
        <v>0</v>
      </c>
      <c r="AH50" s="72">
        <f t="shared" si="14"/>
        <v>0</v>
      </c>
      <c r="AI50" s="72">
        <f t="shared" si="15"/>
        <v>0</v>
      </c>
      <c r="AJ50" s="72">
        <f t="shared" si="16"/>
        <v>0</v>
      </c>
      <c r="AK50" s="72">
        <f t="shared" si="17"/>
        <v>0</v>
      </c>
      <c r="AL50" s="72">
        <f t="shared" si="18"/>
        <v>0</v>
      </c>
      <c r="AM50" s="72">
        <f t="shared" si="18"/>
        <v>0</v>
      </c>
      <c r="AN50" s="72">
        <f t="shared" si="18"/>
        <v>0</v>
      </c>
    </row>
    <row r="51" spans="2:42">
      <c r="B51" s="60"/>
      <c r="C51" s="62"/>
      <c r="D51" s="79"/>
      <c r="E51" s="56"/>
      <c r="F51" s="76"/>
      <c r="G51" s="77">
        <f t="shared" si="1"/>
        <v>0</v>
      </c>
      <c r="H51" s="78">
        <f t="shared" si="2"/>
        <v>0</v>
      </c>
      <c r="I51" s="481"/>
      <c r="J51" s="72">
        <f t="shared" si="19"/>
        <v>0</v>
      </c>
      <c r="K51" s="72">
        <f t="shared" si="20"/>
        <v>0</v>
      </c>
      <c r="L51" s="72">
        <f t="shared" si="21"/>
        <v>0</v>
      </c>
      <c r="M51" s="72">
        <f t="shared" si="22"/>
        <v>0</v>
      </c>
      <c r="N51" s="72">
        <f t="shared" si="23"/>
        <v>0</v>
      </c>
      <c r="O51" s="72">
        <f t="shared" si="24"/>
        <v>0</v>
      </c>
      <c r="P51" s="72">
        <f t="shared" si="25"/>
        <v>0</v>
      </c>
      <c r="Q51" s="72">
        <f t="shared" si="26"/>
        <v>0</v>
      </c>
      <c r="R51" s="72">
        <f t="shared" si="27"/>
        <v>0</v>
      </c>
      <c r="S51" s="72">
        <f t="shared" si="28"/>
        <v>0</v>
      </c>
      <c r="T51" s="72">
        <f t="shared" si="29"/>
        <v>0</v>
      </c>
      <c r="U51" s="72">
        <f t="shared" si="30"/>
        <v>0</v>
      </c>
      <c r="V51" s="72">
        <f t="shared" si="33"/>
        <v>0</v>
      </c>
      <c r="W51" s="72">
        <f t="shared" si="33"/>
        <v>0</v>
      </c>
      <c r="X51" s="72">
        <f t="shared" si="33"/>
        <v>0</v>
      </c>
      <c r="Z51" s="72">
        <f t="shared" si="6"/>
        <v>0</v>
      </c>
      <c r="AA51" s="72">
        <f t="shared" si="7"/>
        <v>0</v>
      </c>
      <c r="AB51" s="72">
        <f t="shared" si="8"/>
        <v>0</v>
      </c>
      <c r="AC51" s="72">
        <f t="shared" si="9"/>
        <v>0</v>
      </c>
      <c r="AD51" s="72">
        <f t="shared" si="10"/>
        <v>0</v>
      </c>
      <c r="AE51" s="72">
        <f t="shared" si="11"/>
        <v>0</v>
      </c>
      <c r="AF51" s="72">
        <f t="shared" si="12"/>
        <v>0</v>
      </c>
      <c r="AG51" s="72">
        <f t="shared" si="13"/>
        <v>0</v>
      </c>
      <c r="AH51" s="72">
        <f t="shared" si="14"/>
        <v>0</v>
      </c>
      <c r="AI51" s="72">
        <f t="shared" si="15"/>
        <v>0</v>
      </c>
      <c r="AJ51" s="72">
        <f t="shared" si="16"/>
        <v>0</v>
      </c>
      <c r="AK51" s="72">
        <f t="shared" si="17"/>
        <v>0</v>
      </c>
      <c r="AL51" s="72">
        <f t="shared" si="18"/>
        <v>0</v>
      </c>
      <c r="AM51" s="72">
        <f t="shared" si="18"/>
        <v>0</v>
      </c>
      <c r="AN51" s="72">
        <f t="shared" si="18"/>
        <v>0</v>
      </c>
    </row>
    <row r="52" spans="2:42">
      <c r="B52" s="60"/>
      <c r="C52" s="62"/>
      <c r="D52" s="79"/>
      <c r="E52" s="56"/>
      <c r="F52" s="76"/>
      <c r="G52" s="77">
        <f t="shared" si="1"/>
        <v>0</v>
      </c>
      <c r="H52" s="78">
        <f t="shared" si="2"/>
        <v>0</v>
      </c>
      <c r="I52" s="481"/>
      <c r="J52" s="72">
        <f t="shared" si="19"/>
        <v>0</v>
      </c>
      <c r="K52" s="72">
        <f t="shared" si="20"/>
        <v>0</v>
      </c>
      <c r="L52" s="72">
        <f t="shared" si="21"/>
        <v>0</v>
      </c>
      <c r="M52" s="72">
        <f t="shared" si="22"/>
        <v>0</v>
      </c>
      <c r="N52" s="72">
        <f t="shared" si="23"/>
        <v>0</v>
      </c>
      <c r="O52" s="72">
        <f t="shared" si="24"/>
        <v>0</v>
      </c>
      <c r="P52" s="72">
        <f t="shared" si="25"/>
        <v>0</v>
      </c>
      <c r="Q52" s="72">
        <f t="shared" si="26"/>
        <v>0</v>
      </c>
      <c r="R52" s="72">
        <f t="shared" si="27"/>
        <v>0</v>
      </c>
      <c r="S52" s="72">
        <f t="shared" si="28"/>
        <v>0</v>
      </c>
      <c r="T52" s="72">
        <f t="shared" si="29"/>
        <v>0</v>
      </c>
      <c r="U52" s="72">
        <f t="shared" si="30"/>
        <v>0</v>
      </c>
      <c r="V52" s="72">
        <f t="shared" si="33"/>
        <v>0</v>
      </c>
      <c r="W52" s="72">
        <f t="shared" si="33"/>
        <v>0</v>
      </c>
      <c r="X52" s="72">
        <f t="shared" si="33"/>
        <v>0</v>
      </c>
      <c r="Z52" s="72">
        <f t="shared" si="6"/>
        <v>0</v>
      </c>
      <c r="AA52" s="72">
        <f t="shared" si="7"/>
        <v>0</v>
      </c>
      <c r="AB52" s="72">
        <f t="shared" si="8"/>
        <v>0</v>
      </c>
      <c r="AC52" s="72">
        <f t="shared" si="9"/>
        <v>0</v>
      </c>
      <c r="AD52" s="72">
        <f t="shared" si="10"/>
        <v>0</v>
      </c>
      <c r="AE52" s="72">
        <f t="shared" si="11"/>
        <v>0</v>
      </c>
      <c r="AF52" s="72">
        <f t="shared" si="12"/>
        <v>0</v>
      </c>
      <c r="AG52" s="72">
        <f t="shared" si="13"/>
        <v>0</v>
      </c>
      <c r="AH52" s="72">
        <f t="shared" si="14"/>
        <v>0</v>
      </c>
      <c r="AI52" s="72">
        <f t="shared" si="15"/>
        <v>0</v>
      </c>
      <c r="AJ52" s="72">
        <f t="shared" si="16"/>
        <v>0</v>
      </c>
      <c r="AK52" s="72">
        <f t="shared" si="17"/>
        <v>0</v>
      </c>
      <c r="AL52" s="72">
        <f t="shared" si="18"/>
        <v>0</v>
      </c>
      <c r="AM52" s="72">
        <f t="shared" si="18"/>
        <v>0</v>
      </c>
      <c r="AN52" s="72">
        <f t="shared" si="18"/>
        <v>0</v>
      </c>
    </row>
    <row r="53" spans="2:42">
      <c r="B53" s="60"/>
      <c r="C53" s="62"/>
      <c r="D53" s="79"/>
      <c r="E53" s="56"/>
      <c r="F53" s="76"/>
      <c r="G53" s="77">
        <f t="shared" si="1"/>
        <v>0</v>
      </c>
      <c r="H53" s="78">
        <f t="shared" si="2"/>
        <v>0</v>
      </c>
      <c r="I53" s="481"/>
      <c r="J53" s="72">
        <f t="shared" si="19"/>
        <v>0</v>
      </c>
      <c r="K53" s="72">
        <f t="shared" si="20"/>
        <v>0</v>
      </c>
      <c r="L53" s="72">
        <f t="shared" si="21"/>
        <v>0</v>
      </c>
      <c r="M53" s="72">
        <f t="shared" si="22"/>
        <v>0</v>
      </c>
      <c r="N53" s="72">
        <f t="shared" si="23"/>
        <v>0</v>
      </c>
      <c r="O53" s="72">
        <f t="shared" si="24"/>
        <v>0</v>
      </c>
      <c r="P53" s="72">
        <f t="shared" si="25"/>
        <v>0</v>
      </c>
      <c r="Q53" s="72">
        <f t="shared" si="26"/>
        <v>0</v>
      </c>
      <c r="R53" s="72">
        <f t="shared" si="27"/>
        <v>0</v>
      </c>
      <c r="S53" s="72">
        <f t="shared" si="28"/>
        <v>0</v>
      </c>
      <c r="T53" s="72">
        <f t="shared" si="29"/>
        <v>0</v>
      </c>
      <c r="U53" s="72">
        <f t="shared" si="30"/>
        <v>0</v>
      </c>
      <c r="V53" s="72">
        <f t="shared" si="33"/>
        <v>0</v>
      </c>
      <c r="W53" s="72">
        <f t="shared" si="33"/>
        <v>0</v>
      </c>
      <c r="X53" s="72">
        <f t="shared" si="33"/>
        <v>0</v>
      </c>
      <c r="Z53" s="72">
        <f t="shared" si="6"/>
        <v>0</v>
      </c>
      <c r="AA53" s="72">
        <f t="shared" si="7"/>
        <v>0</v>
      </c>
      <c r="AB53" s="72">
        <f t="shared" si="8"/>
        <v>0</v>
      </c>
      <c r="AC53" s="72">
        <f t="shared" si="9"/>
        <v>0</v>
      </c>
      <c r="AD53" s="72">
        <f t="shared" si="10"/>
        <v>0</v>
      </c>
      <c r="AE53" s="72">
        <f t="shared" si="11"/>
        <v>0</v>
      </c>
      <c r="AF53" s="72">
        <f t="shared" si="12"/>
        <v>0</v>
      </c>
      <c r="AG53" s="72">
        <f t="shared" si="13"/>
        <v>0</v>
      </c>
      <c r="AH53" s="72">
        <f t="shared" si="14"/>
        <v>0</v>
      </c>
      <c r="AI53" s="72">
        <f t="shared" si="15"/>
        <v>0</v>
      </c>
      <c r="AJ53" s="72">
        <f t="shared" si="16"/>
        <v>0</v>
      </c>
      <c r="AK53" s="72">
        <f t="shared" si="17"/>
        <v>0</v>
      </c>
      <c r="AL53" s="72">
        <f t="shared" si="18"/>
        <v>0</v>
      </c>
      <c r="AM53" s="72">
        <f t="shared" si="18"/>
        <v>0</v>
      </c>
      <c r="AN53" s="72">
        <f t="shared" si="18"/>
        <v>0</v>
      </c>
    </row>
    <row r="54" spans="2:42">
      <c r="B54" s="60"/>
      <c r="C54" s="62"/>
      <c r="D54" s="79"/>
      <c r="E54" s="56"/>
      <c r="F54" s="76"/>
      <c r="G54" s="77">
        <f t="shared" si="1"/>
        <v>0</v>
      </c>
      <c r="H54" s="78">
        <f t="shared" si="2"/>
        <v>0</v>
      </c>
      <c r="I54" s="481"/>
      <c r="J54" s="72">
        <f t="shared" si="19"/>
        <v>0</v>
      </c>
      <c r="K54" s="72">
        <f t="shared" si="20"/>
        <v>0</v>
      </c>
      <c r="L54" s="72">
        <f t="shared" si="21"/>
        <v>0</v>
      </c>
      <c r="M54" s="72">
        <f t="shared" si="22"/>
        <v>0</v>
      </c>
      <c r="N54" s="72">
        <f t="shared" si="23"/>
        <v>0</v>
      </c>
      <c r="O54" s="72">
        <f t="shared" si="24"/>
        <v>0</v>
      </c>
      <c r="P54" s="72">
        <f t="shared" si="25"/>
        <v>0</v>
      </c>
      <c r="Q54" s="72">
        <f t="shared" si="26"/>
        <v>0</v>
      </c>
      <c r="R54" s="72">
        <f t="shared" si="27"/>
        <v>0</v>
      </c>
      <c r="S54" s="72">
        <f t="shared" si="28"/>
        <v>0</v>
      </c>
      <c r="T54" s="72">
        <f t="shared" si="29"/>
        <v>0</v>
      </c>
      <c r="U54" s="72">
        <f t="shared" si="30"/>
        <v>0</v>
      </c>
      <c r="V54" s="72">
        <f t="shared" si="33"/>
        <v>0</v>
      </c>
      <c r="W54" s="72">
        <f t="shared" si="33"/>
        <v>0</v>
      </c>
      <c r="X54" s="72">
        <f t="shared" si="33"/>
        <v>0</v>
      </c>
      <c r="Z54" s="72">
        <f t="shared" si="6"/>
        <v>0</v>
      </c>
      <c r="AA54" s="72">
        <f t="shared" si="7"/>
        <v>0</v>
      </c>
      <c r="AB54" s="72">
        <f t="shared" si="8"/>
        <v>0</v>
      </c>
      <c r="AC54" s="72">
        <f t="shared" si="9"/>
        <v>0</v>
      </c>
      <c r="AD54" s="72">
        <f t="shared" si="10"/>
        <v>0</v>
      </c>
      <c r="AE54" s="72">
        <f t="shared" si="11"/>
        <v>0</v>
      </c>
      <c r="AF54" s="72">
        <f t="shared" si="12"/>
        <v>0</v>
      </c>
      <c r="AG54" s="72">
        <f t="shared" si="13"/>
        <v>0</v>
      </c>
      <c r="AH54" s="72">
        <f t="shared" si="14"/>
        <v>0</v>
      </c>
      <c r="AI54" s="72">
        <f t="shared" si="15"/>
        <v>0</v>
      </c>
      <c r="AJ54" s="72">
        <f t="shared" si="16"/>
        <v>0</v>
      </c>
      <c r="AK54" s="72">
        <f t="shared" si="17"/>
        <v>0</v>
      </c>
      <c r="AL54" s="72">
        <f t="shared" si="18"/>
        <v>0</v>
      </c>
      <c r="AM54" s="72">
        <f t="shared" si="18"/>
        <v>0</v>
      </c>
      <c r="AN54" s="72">
        <f t="shared" si="18"/>
        <v>0</v>
      </c>
    </row>
    <row r="55" spans="2:42">
      <c r="B55" s="60"/>
      <c r="C55" s="62"/>
      <c r="D55" s="79"/>
      <c r="E55" s="56"/>
      <c r="F55" s="76"/>
      <c r="G55" s="77">
        <f t="shared" si="1"/>
        <v>0</v>
      </c>
      <c r="H55" s="78">
        <f t="shared" si="2"/>
        <v>0</v>
      </c>
      <c r="I55" s="481"/>
      <c r="J55" s="72">
        <f t="shared" si="19"/>
        <v>0</v>
      </c>
      <c r="K55" s="72">
        <f t="shared" si="20"/>
        <v>0</v>
      </c>
      <c r="L55" s="72">
        <f t="shared" si="21"/>
        <v>0</v>
      </c>
      <c r="M55" s="72">
        <f t="shared" si="22"/>
        <v>0</v>
      </c>
      <c r="N55" s="72">
        <f t="shared" si="23"/>
        <v>0</v>
      </c>
      <c r="O55" s="72">
        <f t="shared" si="24"/>
        <v>0</v>
      </c>
      <c r="P55" s="72">
        <f t="shared" si="25"/>
        <v>0</v>
      </c>
      <c r="Q55" s="72">
        <f t="shared" si="26"/>
        <v>0</v>
      </c>
      <c r="R55" s="72">
        <f t="shared" si="27"/>
        <v>0</v>
      </c>
      <c r="S55" s="72">
        <f t="shared" si="28"/>
        <v>0</v>
      </c>
      <c r="T55" s="72">
        <f t="shared" si="29"/>
        <v>0</v>
      </c>
      <c r="U55" s="72">
        <f t="shared" si="30"/>
        <v>0</v>
      </c>
      <c r="V55" s="72">
        <f t="shared" si="33"/>
        <v>0</v>
      </c>
      <c r="W55" s="72">
        <f t="shared" si="33"/>
        <v>0</v>
      </c>
      <c r="X55" s="72">
        <f t="shared" si="33"/>
        <v>0</v>
      </c>
      <c r="Z55" s="72">
        <f t="shared" si="6"/>
        <v>0</v>
      </c>
      <c r="AA55" s="72">
        <f t="shared" si="7"/>
        <v>0</v>
      </c>
      <c r="AB55" s="72">
        <f t="shared" si="8"/>
        <v>0</v>
      </c>
      <c r="AC55" s="72">
        <f t="shared" si="9"/>
        <v>0</v>
      </c>
      <c r="AD55" s="72">
        <f t="shared" si="10"/>
        <v>0</v>
      </c>
      <c r="AE55" s="72">
        <f t="shared" si="11"/>
        <v>0</v>
      </c>
      <c r="AF55" s="72">
        <f t="shared" si="12"/>
        <v>0</v>
      </c>
      <c r="AG55" s="72">
        <f t="shared" si="13"/>
        <v>0</v>
      </c>
      <c r="AH55" s="72">
        <f t="shared" si="14"/>
        <v>0</v>
      </c>
      <c r="AI55" s="72">
        <f t="shared" si="15"/>
        <v>0</v>
      </c>
      <c r="AJ55" s="72">
        <f t="shared" si="16"/>
        <v>0</v>
      </c>
      <c r="AK55" s="72">
        <f t="shared" si="17"/>
        <v>0</v>
      </c>
      <c r="AL55" s="72">
        <f t="shared" si="18"/>
        <v>0</v>
      </c>
      <c r="AM55" s="72">
        <f t="shared" si="18"/>
        <v>0</v>
      </c>
      <c r="AN55" s="72">
        <f t="shared" si="18"/>
        <v>0</v>
      </c>
    </row>
    <row r="56" spans="2:42">
      <c r="B56" s="60"/>
      <c r="C56" s="62"/>
      <c r="D56" s="79"/>
      <c r="E56" s="56"/>
      <c r="F56" s="76"/>
      <c r="G56" s="77">
        <f t="shared" si="1"/>
        <v>0</v>
      </c>
      <c r="H56" s="78">
        <f t="shared" si="2"/>
        <v>0</v>
      </c>
      <c r="I56" s="481"/>
      <c r="J56" s="72">
        <f t="shared" si="19"/>
        <v>0</v>
      </c>
      <c r="K56" s="72">
        <f t="shared" si="20"/>
        <v>0</v>
      </c>
      <c r="L56" s="72">
        <f t="shared" si="21"/>
        <v>0</v>
      </c>
      <c r="M56" s="72">
        <f t="shared" si="22"/>
        <v>0</v>
      </c>
      <c r="N56" s="72">
        <f t="shared" si="23"/>
        <v>0</v>
      </c>
      <c r="O56" s="72">
        <f t="shared" si="24"/>
        <v>0</v>
      </c>
      <c r="P56" s="72">
        <f t="shared" si="25"/>
        <v>0</v>
      </c>
      <c r="Q56" s="72">
        <f t="shared" si="26"/>
        <v>0</v>
      </c>
      <c r="R56" s="72">
        <f t="shared" si="27"/>
        <v>0</v>
      </c>
      <c r="S56" s="72">
        <f t="shared" si="28"/>
        <v>0</v>
      </c>
      <c r="T56" s="72">
        <f t="shared" si="29"/>
        <v>0</v>
      </c>
      <c r="U56" s="72">
        <f t="shared" si="30"/>
        <v>0</v>
      </c>
      <c r="V56" s="72">
        <f t="shared" si="33"/>
        <v>0</v>
      </c>
      <c r="W56" s="72">
        <f t="shared" si="33"/>
        <v>0</v>
      </c>
      <c r="X56" s="72">
        <f t="shared" si="33"/>
        <v>0</v>
      </c>
      <c r="Z56" s="72">
        <f t="shared" si="6"/>
        <v>0</v>
      </c>
      <c r="AA56" s="72">
        <f t="shared" si="7"/>
        <v>0</v>
      </c>
      <c r="AB56" s="72">
        <f t="shared" si="8"/>
        <v>0</v>
      </c>
      <c r="AC56" s="72">
        <f t="shared" si="9"/>
        <v>0</v>
      </c>
      <c r="AD56" s="72">
        <f t="shared" si="10"/>
        <v>0</v>
      </c>
      <c r="AE56" s="72">
        <f t="shared" si="11"/>
        <v>0</v>
      </c>
      <c r="AF56" s="72">
        <f t="shared" si="12"/>
        <v>0</v>
      </c>
      <c r="AG56" s="72">
        <f t="shared" si="13"/>
        <v>0</v>
      </c>
      <c r="AH56" s="72">
        <f t="shared" si="14"/>
        <v>0</v>
      </c>
      <c r="AI56" s="72">
        <f t="shared" si="15"/>
        <v>0</v>
      </c>
      <c r="AJ56" s="72">
        <f t="shared" si="16"/>
        <v>0</v>
      </c>
      <c r="AK56" s="72">
        <f t="shared" si="17"/>
        <v>0</v>
      </c>
      <c r="AL56" s="72">
        <f t="shared" si="18"/>
        <v>0</v>
      </c>
      <c r="AM56" s="72">
        <f t="shared" si="18"/>
        <v>0</v>
      </c>
      <c r="AN56" s="72">
        <f t="shared" si="18"/>
        <v>0</v>
      </c>
    </row>
    <row r="57" spans="2:42">
      <c r="B57" s="60"/>
      <c r="C57" s="62"/>
      <c r="D57" s="79"/>
      <c r="E57" s="56"/>
      <c r="F57" s="76"/>
      <c r="G57" s="77">
        <f t="shared" si="1"/>
        <v>0</v>
      </c>
      <c r="H57" s="78">
        <f t="shared" si="2"/>
        <v>0</v>
      </c>
      <c r="I57" s="481"/>
      <c r="J57" s="72">
        <f t="shared" si="19"/>
        <v>0</v>
      </c>
      <c r="K57" s="72">
        <f t="shared" si="20"/>
        <v>0</v>
      </c>
      <c r="L57" s="72">
        <f t="shared" si="21"/>
        <v>0</v>
      </c>
      <c r="M57" s="72">
        <f t="shared" si="22"/>
        <v>0</v>
      </c>
      <c r="N57" s="72">
        <f t="shared" si="23"/>
        <v>0</v>
      </c>
      <c r="O57" s="72">
        <f t="shared" si="24"/>
        <v>0</v>
      </c>
      <c r="P57" s="72">
        <f t="shared" si="25"/>
        <v>0</v>
      </c>
      <c r="Q57" s="72">
        <f t="shared" si="26"/>
        <v>0</v>
      </c>
      <c r="R57" s="72">
        <f t="shared" si="27"/>
        <v>0</v>
      </c>
      <c r="S57" s="72">
        <f t="shared" si="28"/>
        <v>0</v>
      </c>
      <c r="T57" s="72">
        <f t="shared" si="29"/>
        <v>0</v>
      </c>
      <c r="U57" s="72">
        <f t="shared" si="30"/>
        <v>0</v>
      </c>
      <c r="V57" s="72">
        <f t="shared" si="33"/>
        <v>0</v>
      </c>
      <c r="W57" s="72">
        <f t="shared" si="33"/>
        <v>0</v>
      </c>
      <c r="X57" s="72">
        <f t="shared" si="33"/>
        <v>0</v>
      </c>
      <c r="Z57" s="72">
        <f t="shared" si="6"/>
        <v>0</v>
      </c>
      <c r="AA57" s="72">
        <f t="shared" si="7"/>
        <v>0</v>
      </c>
      <c r="AB57" s="72">
        <f t="shared" si="8"/>
        <v>0</v>
      </c>
      <c r="AC57" s="72">
        <f t="shared" si="9"/>
        <v>0</v>
      </c>
      <c r="AD57" s="72">
        <f t="shared" si="10"/>
        <v>0</v>
      </c>
      <c r="AE57" s="72">
        <f t="shared" si="11"/>
        <v>0</v>
      </c>
      <c r="AF57" s="72">
        <f t="shared" si="12"/>
        <v>0</v>
      </c>
      <c r="AG57" s="72">
        <f t="shared" si="13"/>
        <v>0</v>
      </c>
      <c r="AH57" s="72">
        <f t="shared" si="14"/>
        <v>0</v>
      </c>
      <c r="AI57" s="72">
        <f t="shared" si="15"/>
        <v>0</v>
      </c>
      <c r="AJ57" s="72">
        <f t="shared" si="16"/>
        <v>0</v>
      </c>
      <c r="AK57" s="72">
        <f t="shared" si="17"/>
        <v>0</v>
      </c>
      <c r="AL57" s="72">
        <f t="shared" si="18"/>
        <v>0</v>
      </c>
      <c r="AM57" s="72">
        <f t="shared" si="18"/>
        <v>0</v>
      </c>
      <c r="AN57" s="72">
        <f t="shared" si="18"/>
        <v>0</v>
      </c>
    </row>
    <row r="58" spans="2:42">
      <c r="B58" s="60"/>
      <c r="C58" s="62"/>
      <c r="D58" s="79"/>
      <c r="E58" s="56"/>
      <c r="F58" s="76"/>
      <c r="G58" s="77">
        <f t="shared" si="1"/>
        <v>0</v>
      </c>
      <c r="H58" s="78">
        <f t="shared" si="2"/>
        <v>0</v>
      </c>
      <c r="I58" s="481"/>
      <c r="J58" s="72">
        <f t="shared" si="19"/>
        <v>0</v>
      </c>
      <c r="K58" s="72">
        <f t="shared" si="20"/>
        <v>0</v>
      </c>
      <c r="L58" s="72">
        <f t="shared" si="21"/>
        <v>0</v>
      </c>
      <c r="M58" s="72">
        <f t="shared" si="22"/>
        <v>0</v>
      </c>
      <c r="N58" s="72">
        <f t="shared" si="23"/>
        <v>0</v>
      </c>
      <c r="O58" s="72">
        <f t="shared" si="24"/>
        <v>0</v>
      </c>
      <c r="P58" s="72">
        <f t="shared" si="25"/>
        <v>0</v>
      </c>
      <c r="Q58" s="72">
        <f t="shared" si="26"/>
        <v>0</v>
      </c>
      <c r="R58" s="72">
        <f t="shared" si="27"/>
        <v>0</v>
      </c>
      <c r="S58" s="72">
        <f t="shared" si="28"/>
        <v>0</v>
      </c>
      <c r="T58" s="72">
        <f t="shared" si="29"/>
        <v>0</v>
      </c>
      <c r="U58" s="72">
        <f t="shared" si="30"/>
        <v>0</v>
      </c>
      <c r="V58" s="72">
        <f t="shared" si="33"/>
        <v>0</v>
      </c>
      <c r="W58" s="72">
        <f t="shared" si="33"/>
        <v>0</v>
      </c>
      <c r="X58" s="72">
        <f t="shared" si="33"/>
        <v>0</v>
      </c>
      <c r="Z58" s="72">
        <f t="shared" si="6"/>
        <v>0</v>
      </c>
      <c r="AA58" s="72">
        <f t="shared" si="7"/>
        <v>0</v>
      </c>
      <c r="AB58" s="72">
        <f t="shared" si="8"/>
        <v>0</v>
      </c>
      <c r="AC58" s="72">
        <f t="shared" si="9"/>
        <v>0</v>
      </c>
      <c r="AD58" s="72">
        <f t="shared" si="10"/>
        <v>0</v>
      </c>
      <c r="AE58" s="72">
        <f t="shared" si="11"/>
        <v>0</v>
      </c>
      <c r="AF58" s="72">
        <f t="shared" si="12"/>
        <v>0</v>
      </c>
      <c r="AG58" s="72">
        <f t="shared" si="13"/>
        <v>0</v>
      </c>
      <c r="AH58" s="72">
        <f t="shared" si="14"/>
        <v>0</v>
      </c>
      <c r="AI58" s="72">
        <f t="shared" si="15"/>
        <v>0</v>
      </c>
      <c r="AJ58" s="72">
        <f t="shared" si="16"/>
        <v>0</v>
      </c>
      <c r="AK58" s="72">
        <f t="shared" si="17"/>
        <v>0</v>
      </c>
      <c r="AL58" s="72">
        <f t="shared" si="18"/>
        <v>0</v>
      </c>
      <c r="AM58" s="72">
        <f t="shared" si="18"/>
        <v>0</v>
      </c>
      <c r="AN58" s="72">
        <f t="shared" si="18"/>
        <v>0</v>
      </c>
    </row>
    <row r="59" spans="2:42">
      <c r="B59" s="60"/>
      <c r="C59" s="62"/>
      <c r="D59" s="79"/>
      <c r="E59" s="56"/>
      <c r="F59" s="76"/>
      <c r="G59" s="77">
        <f t="shared" si="1"/>
        <v>0</v>
      </c>
      <c r="H59" s="78">
        <f t="shared" si="2"/>
        <v>0</v>
      </c>
      <c r="I59" s="481"/>
      <c r="J59" s="72">
        <f t="shared" si="19"/>
        <v>0</v>
      </c>
      <c r="K59" s="72">
        <f t="shared" si="20"/>
        <v>0</v>
      </c>
      <c r="L59" s="72">
        <f t="shared" si="21"/>
        <v>0</v>
      </c>
      <c r="M59" s="72">
        <f t="shared" si="22"/>
        <v>0</v>
      </c>
      <c r="N59" s="72">
        <f t="shared" si="23"/>
        <v>0</v>
      </c>
      <c r="O59" s="72">
        <f t="shared" si="24"/>
        <v>0</v>
      </c>
      <c r="P59" s="72">
        <f t="shared" si="25"/>
        <v>0</v>
      </c>
      <c r="Q59" s="72">
        <f t="shared" si="26"/>
        <v>0</v>
      </c>
      <c r="R59" s="72">
        <f t="shared" si="27"/>
        <v>0</v>
      </c>
      <c r="S59" s="72">
        <f t="shared" si="28"/>
        <v>0</v>
      </c>
      <c r="T59" s="72">
        <f t="shared" si="29"/>
        <v>0</v>
      </c>
      <c r="U59" s="72">
        <f t="shared" si="30"/>
        <v>0</v>
      </c>
      <c r="V59" s="72">
        <f t="shared" si="33"/>
        <v>0</v>
      </c>
      <c r="W59" s="72">
        <f t="shared" si="33"/>
        <v>0</v>
      </c>
      <c r="X59" s="72">
        <f t="shared" si="33"/>
        <v>0</v>
      </c>
      <c r="Z59" s="72">
        <f t="shared" si="6"/>
        <v>0</v>
      </c>
      <c r="AA59" s="72">
        <f t="shared" si="7"/>
        <v>0</v>
      </c>
      <c r="AB59" s="72">
        <f t="shared" si="8"/>
        <v>0</v>
      </c>
      <c r="AC59" s="72">
        <f t="shared" si="9"/>
        <v>0</v>
      </c>
      <c r="AD59" s="72">
        <f t="shared" si="10"/>
        <v>0</v>
      </c>
      <c r="AE59" s="72">
        <f t="shared" si="11"/>
        <v>0</v>
      </c>
      <c r="AF59" s="72">
        <f t="shared" si="12"/>
        <v>0</v>
      </c>
      <c r="AG59" s="72">
        <f t="shared" si="13"/>
        <v>0</v>
      </c>
      <c r="AH59" s="72">
        <f t="shared" si="14"/>
        <v>0</v>
      </c>
      <c r="AI59" s="72">
        <f t="shared" si="15"/>
        <v>0</v>
      </c>
      <c r="AJ59" s="72">
        <f t="shared" si="16"/>
        <v>0</v>
      </c>
      <c r="AK59" s="72">
        <f t="shared" si="17"/>
        <v>0</v>
      </c>
      <c r="AL59" s="72">
        <f t="shared" si="18"/>
        <v>0</v>
      </c>
      <c r="AM59" s="72">
        <f t="shared" si="18"/>
        <v>0</v>
      </c>
      <c r="AN59" s="72">
        <f t="shared" si="18"/>
        <v>0</v>
      </c>
    </row>
    <row r="60" spans="2:42">
      <c r="B60" s="60"/>
      <c r="C60" s="62"/>
      <c r="D60" s="79"/>
      <c r="E60" s="56"/>
      <c r="F60" s="76"/>
      <c r="G60" s="77">
        <f t="shared" si="1"/>
        <v>0</v>
      </c>
      <c r="H60" s="78">
        <f t="shared" si="2"/>
        <v>0</v>
      </c>
      <c r="I60" s="481"/>
      <c r="J60" s="72">
        <f t="shared" si="19"/>
        <v>0</v>
      </c>
      <c r="K60" s="72">
        <f t="shared" si="20"/>
        <v>0</v>
      </c>
      <c r="L60" s="72">
        <f t="shared" si="21"/>
        <v>0</v>
      </c>
      <c r="M60" s="72">
        <f t="shared" si="22"/>
        <v>0</v>
      </c>
      <c r="N60" s="72">
        <f t="shared" si="23"/>
        <v>0</v>
      </c>
      <c r="O60" s="72">
        <f t="shared" si="24"/>
        <v>0</v>
      </c>
      <c r="P60" s="72">
        <f t="shared" si="25"/>
        <v>0</v>
      </c>
      <c r="Q60" s="72">
        <f t="shared" si="26"/>
        <v>0</v>
      </c>
      <c r="R60" s="72">
        <f t="shared" si="27"/>
        <v>0</v>
      </c>
      <c r="S60" s="72">
        <f t="shared" si="28"/>
        <v>0</v>
      </c>
      <c r="T60" s="72">
        <f t="shared" si="29"/>
        <v>0</v>
      </c>
      <c r="U60" s="72">
        <f t="shared" si="30"/>
        <v>0</v>
      </c>
      <c r="V60" s="72">
        <f t="shared" si="33"/>
        <v>0</v>
      </c>
      <c r="W60" s="72">
        <f t="shared" si="33"/>
        <v>0</v>
      </c>
      <c r="X60" s="72">
        <f t="shared" si="33"/>
        <v>0</v>
      </c>
      <c r="Z60" s="72">
        <f t="shared" si="6"/>
        <v>0</v>
      </c>
      <c r="AA60" s="72">
        <f t="shared" si="7"/>
        <v>0</v>
      </c>
      <c r="AB60" s="72">
        <f t="shared" si="8"/>
        <v>0</v>
      </c>
      <c r="AC60" s="72">
        <f t="shared" si="9"/>
        <v>0</v>
      </c>
      <c r="AD60" s="72">
        <f t="shared" si="10"/>
        <v>0</v>
      </c>
      <c r="AE60" s="72">
        <f t="shared" si="11"/>
        <v>0</v>
      </c>
      <c r="AF60" s="72">
        <f t="shared" si="12"/>
        <v>0</v>
      </c>
      <c r="AG60" s="72">
        <f t="shared" si="13"/>
        <v>0</v>
      </c>
      <c r="AH60" s="72">
        <f t="shared" si="14"/>
        <v>0</v>
      </c>
      <c r="AI60" s="72">
        <f t="shared" si="15"/>
        <v>0</v>
      </c>
      <c r="AJ60" s="72">
        <f t="shared" si="16"/>
        <v>0</v>
      </c>
      <c r="AK60" s="72">
        <f t="shared" si="17"/>
        <v>0</v>
      </c>
      <c r="AL60" s="72">
        <f t="shared" si="18"/>
        <v>0</v>
      </c>
      <c r="AM60" s="72">
        <f t="shared" si="18"/>
        <v>0</v>
      </c>
      <c r="AN60" s="72">
        <f t="shared" si="18"/>
        <v>0</v>
      </c>
    </row>
    <row r="61" spans="2:42">
      <c r="B61" s="60"/>
      <c r="C61" s="62"/>
      <c r="D61" s="79"/>
      <c r="E61" s="56"/>
      <c r="F61" s="76"/>
      <c r="G61" s="77">
        <f t="shared" si="1"/>
        <v>0</v>
      </c>
      <c r="H61" s="78">
        <f t="shared" si="2"/>
        <v>0</v>
      </c>
      <c r="I61" s="481"/>
      <c r="J61" s="72">
        <f t="shared" si="19"/>
        <v>0</v>
      </c>
      <c r="K61" s="72">
        <f t="shared" si="20"/>
        <v>0</v>
      </c>
      <c r="L61" s="72">
        <f t="shared" si="21"/>
        <v>0</v>
      </c>
      <c r="M61" s="72">
        <f t="shared" si="22"/>
        <v>0</v>
      </c>
      <c r="N61" s="72">
        <f t="shared" si="23"/>
        <v>0</v>
      </c>
      <c r="O61" s="72">
        <f t="shared" si="24"/>
        <v>0</v>
      </c>
      <c r="P61" s="72">
        <f t="shared" si="25"/>
        <v>0</v>
      </c>
      <c r="Q61" s="72">
        <f t="shared" si="26"/>
        <v>0</v>
      </c>
      <c r="R61" s="72">
        <f t="shared" si="27"/>
        <v>0</v>
      </c>
      <c r="S61" s="72">
        <f t="shared" si="28"/>
        <v>0</v>
      </c>
      <c r="T61" s="72">
        <f t="shared" si="29"/>
        <v>0</v>
      </c>
      <c r="U61" s="72">
        <f t="shared" si="30"/>
        <v>0</v>
      </c>
      <c r="V61" s="72">
        <f t="shared" si="33"/>
        <v>0</v>
      </c>
      <c r="W61" s="72">
        <f t="shared" si="33"/>
        <v>0</v>
      </c>
      <c r="X61" s="72">
        <f t="shared" si="33"/>
        <v>0</v>
      </c>
      <c r="Z61" s="72">
        <f t="shared" si="6"/>
        <v>0</v>
      </c>
      <c r="AA61" s="72">
        <f t="shared" si="7"/>
        <v>0</v>
      </c>
      <c r="AB61" s="72">
        <f t="shared" si="8"/>
        <v>0</v>
      </c>
      <c r="AC61" s="72">
        <f t="shared" si="9"/>
        <v>0</v>
      </c>
      <c r="AD61" s="72">
        <f t="shared" si="10"/>
        <v>0</v>
      </c>
      <c r="AE61" s="72">
        <f t="shared" si="11"/>
        <v>0</v>
      </c>
      <c r="AF61" s="72">
        <f t="shared" si="12"/>
        <v>0</v>
      </c>
      <c r="AG61" s="72">
        <f t="shared" si="13"/>
        <v>0</v>
      </c>
      <c r="AH61" s="72">
        <f t="shared" si="14"/>
        <v>0</v>
      </c>
      <c r="AI61" s="72">
        <f t="shared" si="15"/>
        <v>0</v>
      </c>
      <c r="AJ61" s="72">
        <f t="shared" si="16"/>
        <v>0</v>
      </c>
      <c r="AK61" s="72">
        <f t="shared" si="17"/>
        <v>0</v>
      </c>
      <c r="AL61" s="72">
        <f t="shared" si="18"/>
        <v>0</v>
      </c>
      <c r="AM61" s="72">
        <f t="shared" si="18"/>
        <v>0</v>
      </c>
      <c r="AN61" s="72">
        <f t="shared" si="18"/>
        <v>0</v>
      </c>
    </row>
    <row r="62" spans="2:42" ht="17.25" thickBot="1">
      <c r="B62" s="100"/>
      <c r="C62" s="84"/>
      <c r="D62" s="171"/>
      <c r="E62" s="86"/>
      <c r="F62" s="163"/>
      <c r="G62" s="161">
        <f t="shared" si="1"/>
        <v>0</v>
      </c>
      <c r="H62" s="162">
        <f t="shared" si="2"/>
        <v>0</v>
      </c>
      <c r="I62" s="481"/>
      <c r="J62" s="72">
        <f t="shared" si="19"/>
        <v>0</v>
      </c>
      <c r="K62" s="72">
        <f t="shared" si="20"/>
        <v>0</v>
      </c>
      <c r="L62" s="72">
        <f t="shared" si="21"/>
        <v>0</v>
      </c>
      <c r="M62" s="72">
        <f t="shared" si="22"/>
        <v>0</v>
      </c>
      <c r="N62" s="72">
        <f t="shared" si="23"/>
        <v>0</v>
      </c>
      <c r="O62" s="72">
        <f t="shared" si="24"/>
        <v>0</v>
      </c>
      <c r="P62" s="72">
        <f t="shared" si="25"/>
        <v>0</v>
      </c>
      <c r="Q62" s="72">
        <f t="shared" si="26"/>
        <v>0</v>
      </c>
      <c r="R62" s="72">
        <f t="shared" si="27"/>
        <v>0</v>
      </c>
      <c r="S62" s="72">
        <f t="shared" si="28"/>
        <v>0</v>
      </c>
      <c r="T62" s="72">
        <f t="shared" si="29"/>
        <v>0</v>
      </c>
      <c r="U62" s="72">
        <f t="shared" si="30"/>
        <v>0</v>
      </c>
      <c r="V62" s="72">
        <f t="shared" si="33"/>
        <v>0</v>
      </c>
      <c r="W62" s="72">
        <f t="shared" si="33"/>
        <v>0</v>
      </c>
      <c r="X62" s="72">
        <f t="shared" si="33"/>
        <v>0</v>
      </c>
      <c r="Z62" s="72">
        <f t="shared" si="6"/>
        <v>0</v>
      </c>
      <c r="AA62" s="72">
        <f t="shared" si="7"/>
        <v>0</v>
      </c>
      <c r="AB62" s="72">
        <f t="shared" si="8"/>
        <v>0</v>
      </c>
      <c r="AC62" s="72">
        <f t="shared" si="9"/>
        <v>0</v>
      </c>
      <c r="AD62" s="72">
        <f t="shared" si="10"/>
        <v>0</v>
      </c>
      <c r="AE62" s="72">
        <f t="shared" si="11"/>
        <v>0</v>
      </c>
      <c r="AF62" s="72">
        <f t="shared" si="12"/>
        <v>0</v>
      </c>
      <c r="AG62" s="72">
        <f t="shared" si="13"/>
        <v>0</v>
      </c>
      <c r="AH62" s="72">
        <f t="shared" si="14"/>
        <v>0</v>
      </c>
      <c r="AI62" s="72">
        <f t="shared" si="15"/>
        <v>0</v>
      </c>
      <c r="AJ62" s="72">
        <f t="shared" si="16"/>
        <v>0</v>
      </c>
      <c r="AK62" s="72">
        <f t="shared" si="17"/>
        <v>0</v>
      </c>
      <c r="AL62" s="72">
        <f t="shared" si="18"/>
        <v>0</v>
      </c>
      <c r="AM62" s="72">
        <f t="shared" si="18"/>
        <v>0</v>
      </c>
      <c r="AN62" s="72">
        <f t="shared" si="18"/>
        <v>0</v>
      </c>
    </row>
    <row r="63" spans="2:42" ht="17.25" thickBot="1">
      <c r="C63" s="853" t="s">
        <v>45</v>
      </c>
      <c r="D63" s="854"/>
      <c r="E63" s="63">
        <f>SUM(E3:E62)</f>
        <v>70.58</v>
      </c>
      <c r="F63" s="69"/>
      <c r="G63" s="64">
        <f>SUM(G3:G62)</f>
        <v>0</v>
      </c>
      <c r="H63" s="65">
        <f>SUM(H3:H62)</f>
        <v>70.58</v>
      </c>
      <c r="I63" s="483"/>
      <c r="J63" s="73">
        <f>SUM(J3:J62)</f>
        <v>21.98</v>
      </c>
      <c r="K63" s="73">
        <f t="shared" ref="K63:X63" si="34">SUM(K3:K62)</f>
        <v>0</v>
      </c>
      <c r="L63" s="73">
        <f t="shared" si="34"/>
        <v>0</v>
      </c>
      <c r="M63" s="73">
        <f t="shared" si="34"/>
        <v>0</v>
      </c>
      <c r="N63" s="73">
        <f t="shared" si="34"/>
        <v>0</v>
      </c>
      <c r="O63" s="73">
        <f t="shared" si="34"/>
        <v>0</v>
      </c>
      <c r="P63" s="73">
        <f t="shared" si="34"/>
        <v>0</v>
      </c>
      <c r="Q63" s="73">
        <f t="shared" si="34"/>
        <v>0</v>
      </c>
      <c r="R63" s="73">
        <f t="shared" si="34"/>
        <v>0</v>
      </c>
      <c r="S63" s="73">
        <f t="shared" si="34"/>
        <v>48.599999999999994</v>
      </c>
      <c r="T63" s="73">
        <f t="shared" si="34"/>
        <v>0</v>
      </c>
      <c r="U63" s="73">
        <f t="shared" si="34"/>
        <v>0</v>
      </c>
      <c r="V63" s="73">
        <f t="shared" si="34"/>
        <v>0</v>
      </c>
      <c r="W63" s="73">
        <f t="shared" si="34"/>
        <v>0</v>
      </c>
      <c r="X63" s="73">
        <f t="shared" si="34"/>
        <v>0</v>
      </c>
      <c r="Y63" s="73"/>
      <c r="Z63" s="73">
        <f>SUM(Z3:Z62)</f>
        <v>0</v>
      </c>
      <c r="AA63" s="73">
        <f t="shared" ref="AA63:AN63" si="35">SUM(AA3:AA62)</f>
        <v>0</v>
      </c>
      <c r="AB63" s="73">
        <f t="shared" si="35"/>
        <v>0</v>
      </c>
      <c r="AC63" s="73">
        <f t="shared" si="35"/>
        <v>0</v>
      </c>
      <c r="AD63" s="73">
        <f t="shared" si="35"/>
        <v>0</v>
      </c>
      <c r="AE63" s="73">
        <f t="shared" si="35"/>
        <v>0</v>
      </c>
      <c r="AF63" s="73">
        <f t="shared" si="35"/>
        <v>0</v>
      </c>
      <c r="AG63" s="73">
        <f t="shared" si="35"/>
        <v>0</v>
      </c>
      <c r="AH63" s="73">
        <f t="shared" si="35"/>
        <v>0</v>
      </c>
      <c r="AI63" s="73">
        <f t="shared" si="35"/>
        <v>0</v>
      </c>
      <c r="AJ63" s="73">
        <f t="shared" si="35"/>
        <v>0</v>
      </c>
      <c r="AK63" s="73">
        <f t="shared" si="35"/>
        <v>0</v>
      </c>
      <c r="AL63" s="73">
        <f t="shared" si="35"/>
        <v>0</v>
      </c>
      <c r="AM63" s="73">
        <f t="shared" si="35"/>
        <v>0</v>
      </c>
      <c r="AN63" s="73">
        <f t="shared" si="35"/>
        <v>0</v>
      </c>
      <c r="AO63" s="73"/>
      <c r="AP63" s="73"/>
    </row>
    <row r="64" spans="2:42">
      <c r="H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Z64" s="59"/>
      <c r="AA64" s="59"/>
      <c r="AB64" s="59"/>
      <c r="AC64" s="59"/>
      <c r="AD64" s="59"/>
      <c r="AE64" s="59"/>
      <c r="AF64" s="59"/>
      <c r="AG64" s="59"/>
      <c r="AH64" s="59"/>
      <c r="AI64" s="59"/>
    </row>
    <row r="70" spans="5:6">
      <c r="E70" s="59"/>
      <c r="F70" s="70"/>
    </row>
  </sheetData>
  <mergeCells count="6">
    <mergeCell ref="AR18:AT18"/>
    <mergeCell ref="C63:D63"/>
    <mergeCell ref="AV23:AW23"/>
    <mergeCell ref="AY23:AZ23"/>
    <mergeCell ref="AS25:AT25"/>
    <mergeCell ref="AS27:AT28"/>
  </mergeCells>
  <dataValidations count="3">
    <dataValidation type="list" allowBlank="1" showInputMessage="1" showErrorMessage="1" sqref="F3:F62">
      <formula1>$AQ$17:$AQ$19</formula1>
    </dataValidation>
    <dataValidation type="list" allowBlank="1" showInputMessage="1" showErrorMessage="1" sqref="D6:D62 D3:D4">
      <formula1>$AQ$2:$AQ$16</formula1>
    </dataValidation>
    <dataValidation type="list" allowBlank="1" showInputMessage="1" showErrorMessage="1" sqref="D5">
      <formula1>$AQ$2:$AQ$12</formula1>
    </dataValidation>
  </dataValidations>
  <pageMargins left="0.511811024" right="0.511811024" top="0.78740157499999996" bottom="0.78740157499999996" header="0.31496062000000002" footer="0.31496062000000002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D215"/>
  <sheetViews>
    <sheetView tabSelected="1" topLeftCell="A11" zoomScale="85" zoomScaleNormal="85" workbookViewId="0">
      <pane xSplit="2" topLeftCell="C1" activePane="topRight" state="frozenSplit"/>
      <selection pane="topRight" activeCell="P30" sqref="P30"/>
    </sheetView>
  </sheetViews>
  <sheetFormatPr defaultRowHeight="15"/>
  <cols>
    <col min="1" max="1" width="1.28515625" style="1" customWidth="1"/>
    <col min="2" max="2" width="17.140625" customWidth="1"/>
    <col min="3" max="3" width="12.5703125" customWidth="1"/>
    <col min="4" max="4" width="13.7109375" bestFit="1" customWidth="1"/>
    <col min="5" max="6" width="12.5703125" customWidth="1"/>
    <col min="7" max="7" width="13.7109375" bestFit="1" customWidth="1"/>
    <col min="8" max="13" width="12.5703125" customWidth="1"/>
    <col min="14" max="15" width="13.7109375" bestFit="1" customWidth="1"/>
    <col min="16" max="16" width="13.7109375" customWidth="1"/>
    <col min="17" max="17" width="10.5703125" style="1" customWidth="1"/>
    <col min="18" max="18" width="16.42578125" style="1" bestFit="1" customWidth="1"/>
    <col min="19" max="19" width="13.28515625" style="1" bestFit="1" customWidth="1"/>
    <col min="20" max="20" width="18.85546875" style="1" bestFit="1" customWidth="1"/>
    <col min="21" max="21" width="14.28515625" style="1" bestFit="1" customWidth="1"/>
    <col min="22" max="22" width="12.7109375" style="1" bestFit="1" customWidth="1"/>
    <col min="23" max="30" width="9.140625" style="1"/>
  </cols>
  <sheetData>
    <row r="1" spans="2:23" s="1" customFormat="1" ht="7.5" customHeight="1" thickBot="1">
      <c r="E1" s="114"/>
    </row>
    <row r="2" spans="2:23" ht="15.75" hidden="1" thickBot="1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23" ht="15.75" hidden="1" thickBot="1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2:23" ht="16.5">
      <c r="B4" s="19" t="s">
        <v>5</v>
      </c>
      <c r="C4" s="885" t="s">
        <v>119</v>
      </c>
      <c r="D4" s="886"/>
      <c r="E4" s="886"/>
      <c r="F4" s="886"/>
      <c r="G4" s="886"/>
      <c r="H4" s="886"/>
      <c r="I4" s="886"/>
      <c r="J4" s="886"/>
      <c r="K4" s="886"/>
      <c r="L4" s="886"/>
      <c r="M4" s="886"/>
      <c r="N4" s="887"/>
      <c r="O4" s="893" t="s">
        <v>6</v>
      </c>
      <c r="P4" s="1221" t="s">
        <v>709</v>
      </c>
      <c r="R4" s="895">
        <f ca="1">TODAY()</f>
        <v>45301</v>
      </c>
      <c r="S4" s="896"/>
      <c r="T4" s="142" t="s">
        <v>701</v>
      </c>
    </row>
    <row r="5" spans="2:23" ht="17.25" thickBot="1">
      <c r="B5" s="20" t="s">
        <v>9</v>
      </c>
      <c r="C5" s="21" t="s">
        <v>10</v>
      </c>
      <c r="D5" s="22" t="s">
        <v>11</v>
      </c>
      <c r="E5" s="22" t="s">
        <v>12</v>
      </c>
      <c r="F5" s="22" t="s">
        <v>13</v>
      </c>
      <c r="G5" s="22" t="s">
        <v>14</v>
      </c>
      <c r="H5" s="22" t="s">
        <v>15</v>
      </c>
      <c r="I5" s="22" t="s">
        <v>16</v>
      </c>
      <c r="J5" s="22" t="s">
        <v>17</v>
      </c>
      <c r="K5" s="22" t="s">
        <v>18</v>
      </c>
      <c r="L5" s="22" t="s">
        <v>19</v>
      </c>
      <c r="M5" s="22" t="s">
        <v>20</v>
      </c>
      <c r="N5" s="23" t="s">
        <v>21</v>
      </c>
      <c r="O5" s="894"/>
      <c r="P5" s="1221"/>
      <c r="R5" s="142"/>
      <c r="S5" s="142"/>
      <c r="T5" s="142">
        <v>82800170034</v>
      </c>
    </row>
    <row r="6" spans="2:23" ht="17.25" thickBot="1">
      <c r="B6" s="24" t="s">
        <v>24</v>
      </c>
      <c r="C6" s="101">
        <f>700/2</f>
        <v>350</v>
      </c>
      <c r="D6" s="25">
        <v>350</v>
      </c>
      <c r="E6" s="25">
        <v>350</v>
      </c>
      <c r="F6" s="25">
        <f>700/2</f>
        <v>350</v>
      </c>
      <c r="G6" s="25">
        <f>700/2</f>
        <v>350</v>
      </c>
      <c r="H6" s="25">
        <v>350</v>
      </c>
      <c r="I6" s="25">
        <f>700/2</f>
        <v>350</v>
      </c>
      <c r="J6" s="25">
        <f>700/2</f>
        <v>350</v>
      </c>
      <c r="K6" s="25">
        <v>350</v>
      </c>
      <c r="L6" s="25">
        <v>350</v>
      </c>
      <c r="M6" s="25">
        <v>350</v>
      </c>
      <c r="N6" s="26">
        <v>350</v>
      </c>
      <c r="O6" s="6">
        <f>SUM(C6:N6)</f>
        <v>4200</v>
      </c>
      <c r="P6" s="1210">
        <f>O6/12</f>
        <v>350</v>
      </c>
      <c r="R6" s="888" t="s">
        <v>7</v>
      </c>
      <c r="S6" s="889"/>
      <c r="T6" s="156" t="s">
        <v>8</v>
      </c>
    </row>
    <row r="7" spans="2:23" ht="16.5" customHeight="1">
      <c r="B7" s="24" t="s">
        <v>27</v>
      </c>
      <c r="C7" s="101">
        <v>330.2</v>
      </c>
      <c r="D7" s="25">
        <v>330.2</v>
      </c>
      <c r="E7" s="25">
        <v>330.2</v>
      </c>
      <c r="F7" s="25">
        <v>330.2</v>
      </c>
      <c r="G7" s="25">
        <v>330.2</v>
      </c>
      <c r="H7" s="25">
        <v>330.2</v>
      </c>
      <c r="I7" s="25">
        <v>330.2</v>
      </c>
      <c r="J7" s="25">
        <v>330.2</v>
      </c>
      <c r="K7" s="25">
        <v>330.2</v>
      </c>
      <c r="L7" s="25">
        <v>368.02</v>
      </c>
      <c r="M7" s="25">
        <v>368.07</v>
      </c>
      <c r="N7" s="26">
        <v>368.07</v>
      </c>
      <c r="O7" s="6">
        <f>SUM(C7:N7)</f>
        <v>4075.96</v>
      </c>
      <c r="P7" s="1210">
        <f t="shared" ref="P7:P20" si="0">O7/12</f>
        <v>339.66333333333336</v>
      </c>
      <c r="R7" s="377" t="s">
        <v>46</v>
      </c>
      <c r="S7" s="378" t="s">
        <v>47</v>
      </c>
      <c r="T7" s="379" t="s">
        <v>50</v>
      </c>
      <c r="U7" s="169">
        <v>64.91</v>
      </c>
      <c r="W7" s="458">
        <f>U7/U$21</f>
        <v>1.601110985037222E-2</v>
      </c>
    </row>
    <row r="8" spans="2:23" ht="16.5" customHeight="1">
      <c r="B8" s="24" t="s">
        <v>28</v>
      </c>
      <c r="C8" s="101">
        <v>0</v>
      </c>
      <c r="D8" s="25">
        <f>1194.15+612</f>
        <v>1806.15</v>
      </c>
      <c r="E8" s="25">
        <f>612+988.53</f>
        <v>1600.53</v>
      </c>
      <c r="F8" s="25">
        <f>988.53+734.83</f>
        <v>1723.3600000000001</v>
      </c>
      <c r="G8" s="25">
        <f>612+1107.86</f>
        <v>1719.86</v>
      </c>
      <c r="H8" s="25">
        <f>1128.03+612</f>
        <v>1740.03</v>
      </c>
      <c r="I8" s="25">
        <f>1092.18+612</f>
        <v>1704.18</v>
      </c>
      <c r="J8" s="25">
        <f>1092.18+612</f>
        <v>1704.18</v>
      </c>
      <c r="K8" s="25">
        <f>1092.18+612</f>
        <v>1704.18</v>
      </c>
      <c r="L8" s="25">
        <f>1078.9+612</f>
        <v>1690.9</v>
      </c>
      <c r="M8" s="25">
        <f>612+1078.39</f>
        <v>1690.39</v>
      </c>
      <c r="N8" s="25">
        <f>612+1078.39</f>
        <v>1690.39</v>
      </c>
      <c r="O8" s="6">
        <f t="shared" ref="O8:O14" si="1">SUM(C8:N8)</f>
        <v>18774.150000000001</v>
      </c>
      <c r="P8" s="1210">
        <f t="shared" si="0"/>
        <v>1564.5125</v>
      </c>
      <c r="R8" s="3" t="s">
        <v>28</v>
      </c>
      <c r="S8" s="110" t="s">
        <v>266</v>
      </c>
      <c r="T8" s="146" t="s">
        <v>385</v>
      </c>
      <c r="U8" s="169">
        <v>1690</v>
      </c>
      <c r="W8" s="458">
        <f t="shared" ref="W8:W19" si="2">U8/U$21</f>
        <v>0.41686605526311893</v>
      </c>
    </row>
    <row r="9" spans="2:23" ht="16.5" customHeight="1">
      <c r="B9" s="24" t="s">
        <v>31</v>
      </c>
      <c r="C9" s="101">
        <v>82.98</v>
      </c>
      <c r="D9" s="25">
        <v>82.98</v>
      </c>
      <c r="E9" s="25">
        <v>87.33</v>
      </c>
      <c r="F9" s="25">
        <v>87.33</v>
      </c>
      <c r="G9" s="25">
        <v>87.33</v>
      </c>
      <c r="H9" s="25">
        <v>87.33</v>
      </c>
      <c r="I9" s="25">
        <v>87.33</v>
      </c>
      <c r="J9" s="25">
        <v>87.33</v>
      </c>
      <c r="K9" s="25">
        <v>87.33</v>
      </c>
      <c r="L9" s="25">
        <v>87.33</v>
      </c>
      <c r="M9" s="25">
        <v>87.33</v>
      </c>
      <c r="N9" s="26"/>
      <c r="O9" s="6">
        <f t="shared" si="1"/>
        <v>951.93000000000018</v>
      </c>
      <c r="P9" s="1210">
        <f t="shared" si="0"/>
        <v>79.327500000000015</v>
      </c>
      <c r="R9" s="3" t="s">
        <v>27</v>
      </c>
      <c r="S9" s="110" t="s">
        <v>26</v>
      </c>
      <c r="T9" s="146" t="s">
        <v>29</v>
      </c>
      <c r="U9" s="169">
        <v>368.02</v>
      </c>
      <c r="W9" s="458">
        <f t="shared" si="2"/>
        <v>9.0778133525404162E-2</v>
      </c>
    </row>
    <row r="10" spans="2:23" ht="16.5">
      <c r="B10" s="24" t="s">
        <v>46</v>
      </c>
      <c r="C10" s="101">
        <v>51.24</v>
      </c>
      <c r="D10" s="25"/>
      <c r="E10" s="25">
        <f>105.58/2</f>
        <v>52.79</v>
      </c>
      <c r="F10" s="25">
        <v>59.9</v>
      </c>
      <c r="G10" s="25">
        <f>119.8/2</f>
        <v>59.9</v>
      </c>
      <c r="H10" s="25">
        <f>122.45/2</f>
        <v>61.225000000000001</v>
      </c>
      <c r="I10" s="25">
        <f>121.09/2</f>
        <v>60.545000000000002</v>
      </c>
      <c r="J10" s="25">
        <f>132.33/2</f>
        <v>66.165000000000006</v>
      </c>
      <c r="K10" s="25">
        <f>129.82/2</f>
        <v>64.91</v>
      </c>
      <c r="L10" s="25">
        <f>129.82/2</f>
        <v>64.91</v>
      </c>
      <c r="M10" s="25">
        <f>129.82/2</f>
        <v>64.91</v>
      </c>
      <c r="N10" s="26">
        <f>129.82/2</f>
        <v>64.91</v>
      </c>
      <c r="O10" s="6">
        <f t="shared" si="1"/>
        <v>671.40499999999997</v>
      </c>
      <c r="P10" s="1210">
        <f t="shared" si="0"/>
        <v>55.950416666666662</v>
      </c>
      <c r="R10" s="3" t="s">
        <v>25</v>
      </c>
      <c r="S10" s="110" t="s">
        <v>26</v>
      </c>
      <c r="T10" s="891" t="s">
        <v>49</v>
      </c>
      <c r="U10" s="169">
        <v>132</v>
      </c>
      <c r="W10" s="458">
        <f t="shared" si="2"/>
        <v>3.2559952245403374E-2</v>
      </c>
    </row>
    <row r="11" spans="2:23" ht="16.5">
      <c r="B11" s="24" t="s">
        <v>85</v>
      </c>
      <c r="C11" s="101">
        <f>752.67+752.67</f>
        <v>1505.34</v>
      </c>
      <c r="D11" s="25"/>
      <c r="E11" s="25"/>
      <c r="F11" s="25"/>
      <c r="G11" s="25"/>
      <c r="H11" s="25"/>
      <c r="I11" s="25"/>
      <c r="J11" s="25"/>
      <c r="K11" s="25"/>
      <c r="L11" s="25"/>
      <c r="M11" s="25">
        <f>181.2+339.52</f>
        <v>520.72</v>
      </c>
      <c r="N11" s="25">
        <f>181.81+339.5</f>
        <v>521.30999999999995</v>
      </c>
      <c r="O11" s="6">
        <f t="shared" si="1"/>
        <v>2547.37</v>
      </c>
      <c r="P11" s="1210">
        <f t="shared" si="0"/>
        <v>212.28083333333333</v>
      </c>
      <c r="R11" s="3" t="s">
        <v>24</v>
      </c>
      <c r="S11" s="110" t="s">
        <v>26</v>
      </c>
      <c r="T11" s="892"/>
      <c r="U11" s="169">
        <v>350</v>
      </c>
      <c r="W11" s="458">
        <f t="shared" si="2"/>
        <v>8.6333206711296823E-2</v>
      </c>
    </row>
    <row r="12" spans="2:23" ht="16.5">
      <c r="B12" s="135" t="s">
        <v>268</v>
      </c>
      <c r="C12" s="136"/>
      <c r="D12" s="28"/>
      <c r="E12" s="28"/>
      <c r="F12" s="28">
        <v>260.85000000000002</v>
      </c>
      <c r="G12" s="28">
        <v>260.85000000000002</v>
      </c>
      <c r="H12" s="28">
        <v>260.85000000000002</v>
      </c>
      <c r="I12" s="28">
        <v>260.85000000000002</v>
      </c>
      <c r="J12" s="28">
        <v>260.85000000000002</v>
      </c>
      <c r="K12" s="28">
        <v>260.85000000000002</v>
      </c>
      <c r="L12" s="28">
        <v>260.85000000000002</v>
      </c>
      <c r="M12" s="28">
        <v>260.85000000000002</v>
      </c>
      <c r="N12" s="28"/>
      <c r="O12" s="6">
        <f t="shared" si="1"/>
        <v>2086.7999999999997</v>
      </c>
      <c r="P12" s="1210">
        <f t="shared" si="0"/>
        <v>173.89999999999998</v>
      </c>
      <c r="R12" s="3" t="s">
        <v>128</v>
      </c>
      <c r="S12" s="110" t="s">
        <v>124</v>
      </c>
      <c r="T12" s="146" t="s">
        <v>410</v>
      </c>
      <c r="U12" s="169">
        <f>29.7+18.9</f>
        <v>48.599999999999994</v>
      </c>
      <c r="W12" s="458">
        <f>U12/U$21</f>
        <v>1.1987982417625786E-2</v>
      </c>
    </row>
    <row r="13" spans="2:23" ht="16.5">
      <c r="B13" s="135" t="s">
        <v>687</v>
      </c>
      <c r="C13" s="136"/>
      <c r="D13" s="28"/>
      <c r="E13" s="28"/>
      <c r="F13" s="28"/>
      <c r="G13" s="28"/>
      <c r="H13" s="28"/>
      <c r="I13" s="28"/>
      <c r="J13" s="28"/>
      <c r="K13" s="28"/>
      <c r="L13" s="28">
        <v>261</v>
      </c>
      <c r="M13" s="28"/>
      <c r="N13" s="28"/>
      <c r="O13" s="6">
        <f t="shared" si="1"/>
        <v>261</v>
      </c>
      <c r="P13" s="1210">
        <f t="shared" si="0"/>
        <v>21.75</v>
      </c>
      <c r="R13" s="3" t="s">
        <v>31</v>
      </c>
      <c r="S13" s="110" t="s">
        <v>30</v>
      </c>
      <c r="T13" s="146" t="s">
        <v>412</v>
      </c>
      <c r="U13" s="169">
        <v>87.33</v>
      </c>
      <c r="W13" s="458">
        <f t="shared" si="2"/>
        <v>2.1541368405993005E-2</v>
      </c>
    </row>
    <row r="14" spans="2:23" ht="16.5">
      <c r="B14" s="135"/>
      <c r="C14" s="136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6">
        <f t="shared" si="1"/>
        <v>0</v>
      </c>
      <c r="P14" s="1210">
        <f t="shared" si="0"/>
        <v>0</v>
      </c>
      <c r="R14" s="143" t="s">
        <v>129</v>
      </c>
      <c r="S14" s="144" t="s">
        <v>304</v>
      </c>
      <c r="T14" s="145" t="s">
        <v>411</v>
      </c>
      <c r="U14" s="169">
        <v>0</v>
      </c>
      <c r="W14" s="458">
        <f t="shared" si="2"/>
        <v>0</v>
      </c>
    </row>
    <row r="15" spans="2:23" ht="17.25" thickBot="1">
      <c r="B15" s="27"/>
      <c r="C15" s="136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31">
        <f>SUM(C15:N15)</f>
        <v>0</v>
      </c>
      <c r="P15" s="1210">
        <f t="shared" si="0"/>
        <v>0</v>
      </c>
      <c r="R15" s="147" t="s">
        <v>33</v>
      </c>
      <c r="S15" s="148" t="s">
        <v>34</v>
      </c>
      <c r="T15" s="149" t="s">
        <v>48</v>
      </c>
      <c r="U15" s="169">
        <v>132</v>
      </c>
      <c r="W15" s="458">
        <f t="shared" si="2"/>
        <v>3.2559952245403374E-2</v>
      </c>
    </row>
    <row r="16" spans="2:23" ht="17.25" thickBot="1">
      <c r="B16" s="32" t="s">
        <v>35</v>
      </c>
      <c r="C16" s="884"/>
      <c r="D16" s="884"/>
      <c r="E16" s="884"/>
      <c r="F16" s="884"/>
      <c r="G16" s="884"/>
      <c r="H16" s="884"/>
      <c r="I16" s="884"/>
      <c r="J16" s="884"/>
      <c r="K16" s="884"/>
      <c r="L16" s="884"/>
      <c r="M16" s="884"/>
      <c r="N16" s="884"/>
      <c r="O16" s="1219"/>
      <c r="P16" s="1220"/>
      <c r="R16" s="380" t="s">
        <v>85</v>
      </c>
      <c r="S16" s="381"/>
      <c r="T16" s="382" t="s">
        <v>694</v>
      </c>
      <c r="U16" s="169">
        <f>181.2</f>
        <v>181.2</v>
      </c>
      <c r="W16" s="458">
        <f t="shared" si="2"/>
        <v>4.4695934445962808E-2</v>
      </c>
    </row>
    <row r="17" spans="2:25" ht="16.5">
      <c r="B17" s="33" t="s">
        <v>32</v>
      </c>
      <c r="C17" s="137">
        <v>0</v>
      </c>
      <c r="D17" s="138">
        <f>1660+260.48+43.51</f>
        <v>1963.99</v>
      </c>
      <c r="E17" s="138">
        <f>2310.3-1120.19+763.04</f>
        <v>1953.15</v>
      </c>
      <c r="F17" s="138">
        <f>1166.87+(585.04-390.03)</f>
        <v>1361.8799999999999</v>
      </c>
      <c r="G17" s="138">
        <f>969.06+195.02</f>
        <v>1164.08</v>
      </c>
      <c r="H17" s="138">
        <f>58.66+1024.82+506.73+81</f>
        <v>1671.21</v>
      </c>
      <c r="I17" s="138">
        <f>1010.38+175.97</f>
        <v>1186.3499999999999</v>
      </c>
      <c r="J17" s="138">
        <f>1911.86+58.66</f>
        <v>1970.52</v>
      </c>
      <c r="K17" s="138">
        <f>58.66+2031.34</f>
        <v>2090</v>
      </c>
      <c r="L17" s="138">
        <f>1819.73+58.66</f>
        <v>1878.39</v>
      </c>
      <c r="M17" s="138">
        <f>58.66+1995.64</f>
        <v>2054.3000000000002</v>
      </c>
      <c r="N17" s="30">
        <v>70.58</v>
      </c>
      <c r="O17" s="39">
        <f>SUM(C17:N17)</f>
        <v>17364.45</v>
      </c>
      <c r="P17" s="1210">
        <f t="shared" si="0"/>
        <v>1447.0375000000001</v>
      </c>
      <c r="R17" s="150" t="s">
        <v>436</v>
      </c>
      <c r="S17" s="151"/>
      <c r="T17" s="152"/>
      <c r="U17" s="169">
        <v>500</v>
      </c>
      <c r="W17" s="458">
        <f t="shared" si="2"/>
        <v>0.12333315244470974</v>
      </c>
    </row>
    <row r="18" spans="2:25" ht="16.5">
      <c r="B18" s="33" t="s">
        <v>33</v>
      </c>
      <c r="C18" s="139">
        <f>217.27</f>
        <v>217.27</v>
      </c>
      <c r="D18" s="25">
        <v>213.66</v>
      </c>
      <c r="E18" s="25">
        <f>224.39/2</f>
        <v>112.19499999999999</v>
      </c>
      <c r="F18" s="25">
        <f>187.33/2</f>
        <v>93.665000000000006</v>
      </c>
      <c r="G18" s="25">
        <f>218.37/2</f>
        <v>109.185</v>
      </c>
      <c r="H18" s="25">
        <f>250.13/2</f>
        <v>125.065</v>
      </c>
      <c r="I18" s="25">
        <f>186.06/2</f>
        <v>93.03</v>
      </c>
      <c r="J18" s="25">
        <f>215.57/2</f>
        <v>107.785</v>
      </c>
      <c r="K18" s="25">
        <f>225.04/2</f>
        <v>112.52</v>
      </c>
      <c r="L18" s="25">
        <f>225.08/2</f>
        <v>112.54</v>
      </c>
      <c r="M18" s="25">
        <f>262.58/2</f>
        <v>131.29</v>
      </c>
      <c r="N18" s="26"/>
      <c r="O18" s="6">
        <f>SUM(C18:N18)</f>
        <v>1428.2049999999999</v>
      </c>
      <c r="P18" s="1210">
        <f t="shared" si="0"/>
        <v>119.01708333333333</v>
      </c>
      <c r="R18" s="150" t="s">
        <v>419</v>
      </c>
      <c r="S18" s="151" t="s">
        <v>420</v>
      </c>
      <c r="T18" s="152" t="s">
        <v>421</v>
      </c>
      <c r="U18" s="169">
        <v>500</v>
      </c>
      <c r="W18" s="458">
        <f t="shared" si="2"/>
        <v>0.12333315244470974</v>
      </c>
    </row>
    <row r="19" spans="2:25" ht="17.25" thickBot="1">
      <c r="B19" s="33" t="s">
        <v>25</v>
      </c>
      <c r="C19" s="139">
        <f>201.36/2</f>
        <v>100.68</v>
      </c>
      <c r="D19" s="25">
        <v>216.21</v>
      </c>
      <c r="E19" s="25">
        <v>83</v>
      </c>
      <c r="F19" s="25">
        <f>277.86/2</f>
        <v>138.93</v>
      </c>
      <c r="G19" s="25">
        <f>345.87/2</f>
        <v>172.935</v>
      </c>
      <c r="H19" s="25">
        <f>214.11/2</f>
        <v>107.05500000000001</v>
      </c>
      <c r="I19" s="25">
        <f>252.36/2</f>
        <v>126.18</v>
      </c>
      <c r="J19" s="25">
        <f>287.47/2</f>
        <v>143.73500000000001</v>
      </c>
      <c r="K19" s="25">
        <f>247.89/2</f>
        <v>123.94499999999999</v>
      </c>
      <c r="L19" s="25">
        <f>274.28/2</f>
        <v>137.13999999999999</v>
      </c>
      <c r="M19" s="25">
        <f>274.28/2</f>
        <v>137.13999999999999</v>
      </c>
      <c r="N19" s="25"/>
      <c r="O19" s="6">
        <f t="shared" ref="O19:O37" si="3">SUM(C19:N19)</f>
        <v>1486.9499999999998</v>
      </c>
      <c r="P19" s="1210">
        <f t="shared" si="0"/>
        <v>123.91249999999998</v>
      </c>
      <c r="R19" s="153"/>
      <c r="S19" s="154"/>
      <c r="T19" s="155"/>
      <c r="U19" s="169"/>
      <c r="W19" s="458">
        <f t="shared" si="2"/>
        <v>0</v>
      </c>
    </row>
    <row r="20" spans="2:25" ht="16.5">
      <c r="B20" s="34" t="s">
        <v>62</v>
      </c>
      <c r="C20" s="140">
        <v>0</v>
      </c>
      <c r="D20" s="28">
        <f>1183.72+121.3</f>
        <v>1305.02</v>
      </c>
      <c r="E20" s="28"/>
      <c r="F20" s="28"/>
      <c r="G20" s="28"/>
      <c r="H20" s="28"/>
      <c r="I20" s="28"/>
      <c r="J20" s="28"/>
      <c r="K20" s="28"/>
      <c r="L20" s="28"/>
      <c r="M20" s="28"/>
      <c r="N20" s="28">
        <f>8.52</f>
        <v>8.52</v>
      </c>
      <c r="O20" s="6">
        <f t="shared" si="3"/>
        <v>1313.54</v>
      </c>
      <c r="P20" s="1210">
        <f t="shared" si="0"/>
        <v>109.46166666666666</v>
      </c>
      <c r="S20" s="142"/>
      <c r="T20" s="142"/>
      <c r="U20" s="170">
        <f>SUM(U7:U19)</f>
        <v>4054.06</v>
      </c>
      <c r="W20" s="458">
        <f>SUM(W7:W19)</f>
        <v>1</v>
      </c>
    </row>
    <row r="21" spans="2:25" ht="16.5">
      <c r="B21" s="34" t="s">
        <v>57</v>
      </c>
      <c r="C21" s="140">
        <f>15.16+11+31+7.96+13.8+26+11+26.66+10+37+54.01</f>
        <v>243.58999999999997</v>
      </c>
      <c r="D21" s="28">
        <f>26.9+10.31+39+85+66.46+14.15+29.93+203.37+21+18.8</f>
        <v>514.91999999999996</v>
      </c>
      <c r="E21" s="28">
        <f>51.28+16.47+32+19.9+10+30.14+18.36+10+12.67+23.37+8</f>
        <v>232.19000000000003</v>
      </c>
      <c r="F21" s="28">
        <f>30+7.09</f>
        <v>37.090000000000003</v>
      </c>
      <c r="G21" s="28">
        <f>59+10+11+52.93+34.99+26.47+3.95+27.5+25+44.94</f>
        <v>295.77999999999997</v>
      </c>
      <c r="H21" s="28">
        <f>25+22+22+74.7+62.5+44+10.19</f>
        <v>260.39</v>
      </c>
      <c r="I21" s="28"/>
      <c r="J21" s="28">
        <f>22+22+33+11+28.5+35+37.6</f>
        <v>189.1</v>
      </c>
      <c r="K21" s="28">
        <f>39+45+14.36+7</f>
        <v>105.36</v>
      </c>
      <c r="L21" s="28">
        <f>10+24+14.2+3.4+87.78+51+1.5+67+76.9</f>
        <v>335.78</v>
      </c>
      <c r="M21" s="28">
        <f>17+70+84.8</f>
        <v>171.8</v>
      </c>
      <c r="N21" s="29">
        <f>34+97.1+19.99+10.29+414.65+38+10.3</f>
        <v>624.32999999999993</v>
      </c>
      <c r="O21" s="6">
        <f t="shared" si="3"/>
        <v>3010.33</v>
      </c>
      <c r="P21" s="1210">
        <f>(O21+O54)/12</f>
        <v>300.47125</v>
      </c>
      <c r="S21" s="142"/>
      <c r="T21" s="142"/>
      <c r="U21" s="170">
        <f>U20</f>
        <v>4054.06</v>
      </c>
    </row>
    <row r="22" spans="2:25" ht="16.5">
      <c r="B22" s="34" t="s">
        <v>51</v>
      </c>
      <c r="C22" s="140">
        <f>125/2</f>
        <v>62.5</v>
      </c>
      <c r="D22" s="28"/>
      <c r="E22" s="28">
        <f>150-83</f>
        <v>67</v>
      </c>
      <c r="F22" s="28"/>
      <c r="G22" s="28"/>
      <c r="H22" s="28">
        <v>74.75</v>
      </c>
      <c r="I22" s="28"/>
      <c r="J22" s="28">
        <v>75</v>
      </c>
      <c r="K22" s="28"/>
      <c r="L22" s="28"/>
      <c r="M22" s="28"/>
      <c r="N22" s="29"/>
      <c r="O22" s="6">
        <f t="shared" si="3"/>
        <v>279.25</v>
      </c>
      <c r="P22" s="1210">
        <f t="shared" ref="P22:P30" si="4">(O22+O55)/12</f>
        <v>87</v>
      </c>
      <c r="R22" s="2"/>
      <c r="S22" s="170"/>
      <c r="T22" s="142"/>
      <c r="U22" s="142"/>
    </row>
    <row r="23" spans="2:25" ht="16.5">
      <c r="B23" s="34" t="s">
        <v>120</v>
      </c>
      <c r="C23" s="140">
        <f>105+160+90</f>
        <v>355</v>
      </c>
      <c r="D23" s="28"/>
      <c r="E23" s="28">
        <f>35+90</f>
        <v>125</v>
      </c>
      <c r="F23" s="28"/>
      <c r="G23" s="28">
        <f>63.89</f>
        <v>63.89</v>
      </c>
      <c r="H23" s="28"/>
      <c r="I23" s="28"/>
      <c r="J23" s="28"/>
      <c r="K23" s="28">
        <f>35</f>
        <v>35</v>
      </c>
      <c r="L23" s="28"/>
      <c r="M23" s="28"/>
      <c r="N23" s="28">
        <f>35</f>
        <v>35</v>
      </c>
      <c r="O23" s="6">
        <f t="shared" si="3"/>
        <v>613.89</v>
      </c>
      <c r="P23" s="1210">
        <f t="shared" si="4"/>
        <v>237.57916666666665</v>
      </c>
      <c r="R23" s="2"/>
      <c r="S23" s="170"/>
      <c r="T23" s="142"/>
      <c r="U23" s="142"/>
      <c r="Y23" s="1">
        <v>700</v>
      </c>
    </row>
    <row r="24" spans="2:25" ht="16.5">
      <c r="B24" s="34" t="s">
        <v>36</v>
      </c>
      <c r="C24" s="140">
        <f>30+150</f>
        <v>180</v>
      </c>
      <c r="D24" s="28">
        <f>59.85+50+100+51.6</f>
        <v>261.45</v>
      </c>
      <c r="E24" s="28">
        <f>62.97+49+65.41+50+50+50+10+50+59.53</f>
        <v>446.90999999999997</v>
      </c>
      <c r="F24" s="28">
        <f>59.49+15+(65.07-1.3)</f>
        <v>138.26</v>
      </c>
      <c r="G24" s="28">
        <f>20+50.28+30+68.35+60+64.56</f>
        <v>293.19</v>
      </c>
      <c r="H24" s="28">
        <f>70.05+70+30+71.28+40+52.21</f>
        <v>333.54</v>
      </c>
      <c r="I24" s="28">
        <f>58.8+2.27</f>
        <v>61.07</v>
      </c>
      <c r="J24" s="28">
        <f>50+50+20+50+41.23+70.09+50</f>
        <v>331.32</v>
      </c>
      <c r="K24" s="28">
        <f>30+50+50+78.82+50+53.52+45+50+128.23-50</f>
        <v>485.56999999999994</v>
      </c>
      <c r="L24" s="28">
        <f>20+50+15+50+50+30+30</f>
        <v>245</v>
      </c>
      <c r="M24" s="28">
        <f>60+63.84+50</f>
        <v>173.84</v>
      </c>
      <c r="N24" s="29">
        <f>50+50</f>
        <v>100</v>
      </c>
      <c r="O24" s="6">
        <f t="shared" si="3"/>
        <v>3050.1499999999996</v>
      </c>
      <c r="P24" s="1210">
        <f t="shared" si="4"/>
        <v>289.53083333333331</v>
      </c>
      <c r="R24" s="2"/>
      <c r="S24" s="170"/>
      <c r="T24" s="142"/>
      <c r="U24" s="142"/>
      <c r="Y24" s="1">
        <v>247.89</v>
      </c>
    </row>
    <row r="25" spans="2:25" ht="16.5">
      <c r="B25" s="34" t="s">
        <v>56</v>
      </c>
      <c r="C25" s="140">
        <v>21</v>
      </c>
      <c r="D25" s="28">
        <f>270.11+100+19</f>
        <v>389.11</v>
      </c>
      <c r="E25" s="28">
        <f>30</f>
        <v>30</v>
      </c>
      <c r="F25" s="28">
        <f>5+343.4+40</f>
        <v>388.4</v>
      </c>
      <c r="G25" s="28">
        <f>40</f>
        <v>40</v>
      </c>
      <c r="H25" s="28">
        <f>32+14+7+60+22+30+11.2</f>
        <v>176.2</v>
      </c>
      <c r="I25" s="28"/>
      <c r="J25" s="28">
        <f>109.99+75.7</f>
        <v>185.69</v>
      </c>
      <c r="K25" s="28">
        <f>12.45+16.5+23.5+51.9</f>
        <v>104.35</v>
      </c>
      <c r="L25" s="28">
        <f>48+7+55.6+18+18+32+22+24+18.5+30</f>
        <v>273.10000000000002</v>
      </c>
      <c r="M25" s="28">
        <f>36+18</f>
        <v>54</v>
      </c>
      <c r="N25" s="29">
        <f>18+180.8</f>
        <v>198.8</v>
      </c>
      <c r="O25" s="6">
        <f t="shared" si="3"/>
        <v>1860.6499999999999</v>
      </c>
      <c r="P25" s="1210">
        <f t="shared" si="4"/>
        <v>323.01847222222221</v>
      </c>
      <c r="R25" s="2"/>
      <c r="S25" s="170"/>
      <c r="T25" s="142"/>
      <c r="U25" s="142"/>
      <c r="Y25" s="1">
        <f>Y24+Y23</f>
        <v>947.89</v>
      </c>
    </row>
    <row r="26" spans="2:25" ht="16.5">
      <c r="B26" s="34" t="s">
        <v>123</v>
      </c>
      <c r="C26" s="140">
        <v>0</v>
      </c>
      <c r="D26" s="28"/>
      <c r="E26" s="28"/>
      <c r="F26" s="28"/>
      <c r="G26" s="28"/>
      <c r="H26" s="28"/>
      <c r="I26" s="28"/>
      <c r="J26" s="28">
        <f>105.7+30</f>
        <v>135.69999999999999</v>
      </c>
      <c r="K26" s="28"/>
      <c r="L26" s="28">
        <v>74</v>
      </c>
      <c r="M26" s="28"/>
      <c r="N26" s="29">
        <v>1000</v>
      </c>
      <c r="O26" s="6">
        <f t="shared" si="3"/>
        <v>1209.7</v>
      </c>
      <c r="P26" s="1210">
        <f t="shared" si="4"/>
        <v>270.52791666666667</v>
      </c>
      <c r="R26" s="2">
        <f>O26+O59</f>
        <v>3246.335</v>
      </c>
      <c r="S26" s="170">
        <f t="shared" ref="S26:S27" si="5">R26/12</f>
        <v>270.52791666666667</v>
      </c>
      <c r="T26" s="142"/>
      <c r="U26" s="170"/>
    </row>
    <row r="27" spans="2:25" ht="16.5">
      <c r="B27" s="34" t="s">
        <v>54</v>
      </c>
      <c r="C27" s="140">
        <v>0</v>
      </c>
      <c r="D27" s="28"/>
      <c r="E27" s="28"/>
      <c r="F27" s="28"/>
      <c r="G27" s="28"/>
      <c r="H27" s="28">
        <v>150</v>
      </c>
      <c r="I27" s="28"/>
      <c r="J27" s="28">
        <f>92.4+70+50</f>
        <v>212.4</v>
      </c>
      <c r="K27" s="28"/>
      <c r="L27" s="28">
        <f>939.09+120+261.16+18.2</f>
        <v>1338.4500000000003</v>
      </c>
      <c r="M27" s="28">
        <f>170+1524.6</f>
        <v>1694.6</v>
      </c>
      <c r="N27" s="29">
        <f>75+40+335.95</f>
        <v>450.95</v>
      </c>
      <c r="O27" s="6">
        <f t="shared" si="3"/>
        <v>3846.4</v>
      </c>
      <c r="P27" s="1210">
        <f t="shared" si="4"/>
        <v>549.37750000000005</v>
      </c>
      <c r="R27" s="2">
        <f>O27+O60</f>
        <v>6592.5300000000007</v>
      </c>
      <c r="S27" s="170">
        <f t="shared" si="5"/>
        <v>549.37750000000005</v>
      </c>
      <c r="T27" s="142"/>
      <c r="U27" s="142"/>
      <c r="X27" s="820">
        <v>117.31</v>
      </c>
      <c r="Y27" s="1" t="s">
        <v>697</v>
      </c>
    </row>
    <row r="28" spans="2:25" ht="16.5">
      <c r="B28" s="34" t="s">
        <v>59</v>
      </c>
      <c r="C28" s="140">
        <v>0</v>
      </c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9"/>
      <c r="O28" s="6">
        <f t="shared" si="3"/>
        <v>0</v>
      </c>
      <c r="P28" s="1210">
        <f t="shared" si="4"/>
        <v>38.5</v>
      </c>
      <c r="R28" s="2"/>
      <c r="S28" s="170"/>
      <c r="T28" s="142">
        <f>14657.5+836</f>
        <v>15493.5</v>
      </c>
      <c r="U28" s="142" t="s">
        <v>682</v>
      </c>
      <c r="X28" s="821"/>
    </row>
    <row r="29" spans="2:25" ht="16.5">
      <c r="B29" s="34" t="s">
        <v>40</v>
      </c>
      <c r="C29" s="140">
        <f>107</f>
        <v>107</v>
      </c>
      <c r="D29" s="28">
        <f>16+16+37+14+74+26.99+215.1+87.9+18.71+140.48+70.25+357.97</f>
        <v>1074.4000000000001</v>
      </c>
      <c r="E29" s="28"/>
      <c r="F29" s="28">
        <f>100+34+56</f>
        <v>190</v>
      </c>
      <c r="G29" s="28">
        <f>55+86.99</f>
        <v>141.99</v>
      </c>
      <c r="H29" s="28">
        <v>30</v>
      </c>
      <c r="I29" s="28">
        <f>20</f>
        <v>20</v>
      </c>
      <c r="J29" s="28">
        <f>205+475+50+64+25+30+16</f>
        <v>865</v>
      </c>
      <c r="K29" s="28">
        <f>28.76</f>
        <v>28.76</v>
      </c>
      <c r="L29" s="28">
        <f>16.95</f>
        <v>16.95</v>
      </c>
      <c r="M29" s="28">
        <f>10+150+20+70</f>
        <v>250</v>
      </c>
      <c r="N29" s="29">
        <f>15+20.5+500</f>
        <v>535.5</v>
      </c>
      <c r="O29" s="6">
        <f t="shared" si="3"/>
        <v>3259.6000000000004</v>
      </c>
      <c r="P29" s="1210">
        <f t="shared" si="4"/>
        <v>534.55166666666673</v>
      </c>
      <c r="R29" s="2"/>
      <c r="S29" s="170"/>
      <c r="T29" s="819">
        <f>R45</f>
        <v>14080.079999999998</v>
      </c>
      <c r="U29" s="142" t="s">
        <v>681</v>
      </c>
      <c r="X29" s="821"/>
    </row>
    <row r="30" spans="2:25" ht="16.5">
      <c r="B30" s="34" t="s">
        <v>58</v>
      </c>
      <c r="C30" s="140">
        <f>3</f>
        <v>3</v>
      </c>
      <c r="D30" s="28"/>
      <c r="E30" s="28">
        <f>13.9</f>
        <v>13.9</v>
      </c>
      <c r="F30" s="28"/>
      <c r="G30" s="28">
        <f>31.47+21.01</f>
        <v>52.480000000000004</v>
      </c>
      <c r="H30" s="28"/>
      <c r="I30" s="28"/>
      <c r="J30" s="28">
        <f>35+44.99</f>
        <v>79.990000000000009</v>
      </c>
      <c r="K30" s="28">
        <f>23.89</f>
        <v>23.89</v>
      </c>
      <c r="L30" s="28">
        <f>35</f>
        <v>35</v>
      </c>
      <c r="M30" s="28"/>
      <c r="N30" s="29">
        <f>95.19</f>
        <v>95.19</v>
      </c>
      <c r="O30" s="6">
        <f t="shared" si="3"/>
        <v>303.45</v>
      </c>
      <c r="P30" s="1210">
        <f>(O30+O64)/12</f>
        <v>105.45416666666667</v>
      </c>
      <c r="R30" s="2"/>
      <c r="S30" s="170"/>
      <c r="T30" s="170">
        <v>0</v>
      </c>
      <c r="U30" s="170" t="s">
        <v>683</v>
      </c>
      <c r="X30" s="821"/>
    </row>
    <row r="31" spans="2:25" ht="16.5">
      <c r="B31" s="34" t="s">
        <v>52</v>
      </c>
      <c r="C31" s="140">
        <v>0</v>
      </c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9"/>
      <c r="O31" s="6">
        <f t="shared" si="3"/>
        <v>0</v>
      </c>
      <c r="P31" s="1210"/>
      <c r="R31" s="2"/>
      <c r="S31" s="170"/>
      <c r="T31" s="170">
        <f>T28-T29-T30</f>
        <v>1413.4200000000019</v>
      </c>
      <c r="U31" s="818" t="s">
        <v>684</v>
      </c>
      <c r="X31" s="821"/>
    </row>
    <row r="32" spans="2:25" ht="16.5">
      <c r="B32" s="34" t="s">
        <v>143</v>
      </c>
      <c r="C32" s="140">
        <f>53</f>
        <v>53</v>
      </c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9"/>
      <c r="O32" s="6">
        <f t="shared" si="3"/>
        <v>53</v>
      </c>
      <c r="P32" s="1210"/>
      <c r="R32" s="2"/>
      <c r="S32" s="170"/>
      <c r="T32" s="890" t="s">
        <v>269</v>
      </c>
      <c r="U32" s="890"/>
      <c r="X32" s="821"/>
    </row>
    <row r="33" spans="2:28" ht="16.5" customHeight="1">
      <c r="B33" s="34" t="s">
        <v>260</v>
      </c>
      <c r="C33" s="140"/>
      <c r="D33" s="28">
        <v>35</v>
      </c>
      <c r="E33" s="28"/>
      <c r="F33" s="28"/>
      <c r="G33" s="28"/>
      <c r="H33" s="28"/>
      <c r="I33" s="28"/>
      <c r="J33" s="28"/>
      <c r="K33" s="28"/>
      <c r="L33" s="28"/>
      <c r="M33" s="28"/>
      <c r="N33" s="29"/>
      <c r="O33" s="6">
        <f t="shared" si="3"/>
        <v>35</v>
      </c>
      <c r="P33" s="1210"/>
      <c r="S33" s="142"/>
      <c r="T33" s="890"/>
      <c r="U33" s="890"/>
      <c r="X33" s="822"/>
    </row>
    <row r="34" spans="2:28" ht="16.5">
      <c r="B34" s="34" t="s">
        <v>440</v>
      </c>
      <c r="C34" s="140"/>
      <c r="D34" s="28"/>
      <c r="E34" s="28"/>
      <c r="F34" s="28">
        <f>0.39+101.43</f>
        <v>101.82000000000001</v>
      </c>
      <c r="G34" s="28">
        <f>0.38+100.59+0.96+2.81+99.76+0.38</f>
        <v>204.88</v>
      </c>
      <c r="H34" s="28"/>
      <c r="I34" s="28"/>
      <c r="J34" s="28"/>
      <c r="K34" s="28"/>
      <c r="L34" s="28"/>
      <c r="M34" s="28"/>
      <c r="N34" s="29"/>
      <c r="O34" s="6">
        <f t="shared" si="3"/>
        <v>306.7</v>
      </c>
      <c r="P34" s="1210"/>
      <c r="S34" s="142"/>
      <c r="T34" s="890"/>
      <c r="U34" s="890"/>
      <c r="X34" s="1">
        <f>SUM(X27:X33)</f>
        <v>117.31</v>
      </c>
    </row>
    <row r="35" spans="2:28" ht="16.5">
      <c r="B35" s="34" t="s">
        <v>268</v>
      </c>
      <c r="C35" s="140"/>
      <c r="D35" s="28"/>
      <c r="E35" s="28"/>
      <c r="F35" s="28"/>
      <c r="G35" s="28"/>
      <c r="H35" s="28"/>
      <c r="I35" s="28"/>
      <c r="J35" s="28">
        <v>102</v>
      </c>
      <c r="K35" s="28">
        <v>51.99</v>
      </c>
      <c r="L35" s="28">
        <f>52+22.67+12.5</f>
        <v>87.17</v>
      </c>
      <c r="M35" s="28"/>
      <c r="N35" s="29"/>
      <c r="O35" s="6">
        <f t="shared" si="3"/>
        <v>241.16000000000003</v>
      </c>
      <c r="P35" s="1210"/>
      <c r="S35" s="142"/>
      <c r="T35" s="890"/>
      <c r="U35" s="890"/>
    </row>
    <row r="36" spans="2:28" ht="16.5">
      <c r="B36" s="34"/>
      <c r="C36" s="139"/>
      <c r="D36" s="25"/>
      <c r="E36" s="25"/>
      <c r="F36" s="25"/>
      <c r="G36" s="25"/>
      <c r="H36" s="25"/>
      <c r="I36" s="25"/>
      <c r="J36" s="25"/>
      <c r="K36" s="25"/>
      <c r="L36" s="25">
        <v>500</v>
      </c>
      <c r="M36" s="25"/>
      <c r="N36" s="26"/>
      <c r="O36" s="6">
        <f t="shared" si="3"/>
        <v>500</v>
      </c>
      <c r="P36" s="1210"/>
      <c r="R36" s="384" t="s">
        <v>270</v>
      </c>
      <c r="T36" s="890"/>
      <c r="U36" s="890"/>
      <c r="X36" s="1">
        <v>839.43</v>
      </c>
      <c r="Y36" s="1" t="s">
        <v>268</v>
      </c>
    </row>
    <row r="37" spans="2:28" ht="16.5">
      <c r="B37" s="141" t="s">
        <v>121</v>
      </c>
      <c r="C37" s="139"/>
      <c r="D37" s="25"/>
      <c r="E37" s="25"/>
      <c r="F37" s="25"/>
      <c r="G37" s="25"/>
      <c r="H37" s="25">
        <v>4.1399999999999997</v>
      </c>
      <c r="I37" s="25"/>
      <c r="J37" s="25">
        <v>333.79</v>
      </c>
      <c r="K37" s="25">
        <v>500</v>
      </c>
      <c r="L37" s="25"/>
      <c r="M37" s="25"/>
      <c r="N37" s="25"/>
      <c r="O37" s="6">
        <f t="shared" si="3"/>
        <v>837.93000000000006</v>
      </c>
      <c r="P37" s="1210"/>
      <c r="R37" s="426">
        <f>500*12</f>
        <v>6000</v>
      </c>
    </row>
    <row r="38" spans="2:28" ht="17.25" thickBot="1">
      <c r="B38" s="141" t="s">
        <v>122</v>
      </c>
      <c r="C38" s="140"/>
      <c r="D38" s="28"/>
      <c r="E38" s="28">
        <f>700+229.25</f>
        <v>929.25</v>
      </c>
      <c r="F38" s="28"/>
      <c r="G38" s="28">
        <v>560</v>
      </c>
      <c r="H38" s="28">
        <f>5004.31+22.71</f>
        <v>5027.0200000000004</v>
      </c>
      <c r="I38" s="28">
        <f>300+32+187.48+250</f>
        <v>769.48</v>
      </c>
      <c r="J38" s="28">
        <v>41.54</v>
      </c>
      <c r="K38" s="28"/>
      <c r="L38" s="28">
        <v>1050</v>
      </c>
      <c r="M38" s="28"/>
      <c r="N38" s="29"/>
      <c r="O38" s="16">
        <f>SUM(C38:N38)</f>
        <v>8377.2900000000009</v>
      </c>
      <c r="P38" s="1210"/>
      <c r="R38" s="384" t="s">
        <v>271</v>
      </c>
      <c r="S38" s="2"/>
      <c r="U38" s="832" t="s">
        <v>695</v>
      </c>
      <c r="V38" s="834" t="s">
        <v>696</v>
      </c>
    </row>
    <row r="39" spans="2:28" ht="17.25" thickBot="1">
      <c r="B39" s="4" t="s">
        <v>37</v>
      </c>
      <c r="C39" s="38">
        <f>SUM(C17:C36,C6:C15)</f>
        <v>3662.7999999999993</v>
      </c>
      <c r="D39" s="38">
        <f>SUM(D17:D36,D6:D15)</f>
        <v>8543.09</v>
      </c>
      <c r="E39" s="38">
        <f t="shared" ref="E39:N39" si="6">SUM(E17:E36,E6:E15)</f>
        <v>5484.1949999999997</v>
      </c>
      <c r="F39" s="38">
        <f t="shared" si="6"/>
        <v>5261.6849999999995</v>
      </c>
      <c r="G39" s="38">
        <f t="shared" si="6"/>
        <v>5346.55</v>
      </c>
      <c r="H39" s="38">
        <f t="shared" si="6"/>
        <v>5757.8450000000003</v>
      </c>
      <c r="I39" s="38">
        <f t="shared" si="6"/>
        <v>4279.7350000000006</v>
      </c>
      <c r="J39" s="38">
        <f t="shared" si="6"/>
        <v>7196.9650000000001</v>
      </c>
      <c r="K39" s="38">
        <f t="shared" si="6"/>
        <v>5958.8550000000005</v>
      </c>
      <c r="L39" s="38">
        <f t="shared" si="6"/>
        <v>8116.5300000000007</v>
      </c>
      <c r="M39" s="38">
        <f t="shared" si="6"/>
        <v>8009.2400000000007</v>
      </c>
      <c r="N39" s="38">
        <f t="shared" si="6"/>
        <v>6113.5499999999993</v>
      </c>
      <c r="O39" s="40">
        <f>SUM(C39:N39)</f>
        <v>73731.039999999994</v>
      </c>
      <c r="P39" s="1211"/>
      <c r="R39" s="426">
        <f>R37-O38-O37</f>
        <v>-3215.2200000000012</v>
      </c>
      <c r="S39" s="2">
        <f>T28-T29</f>
        <v>1413.4200000000019</v>
      </c>
      <c r="T39" s="2"/>
      <c r="U39" s="833">
        <v>45243</v>
      </c>
      <c r="V39" s="835">
        <v>45245</v>
      </c>
    </row>
    <row r="40" spans="2:28" ht="16.5">
      <c r="B40" s="35" t="s">
        <v>38</v>
      </c>
      <c r="C40" s="36">
        <v>1896</v>
      </c>
      <c r="D40" s="37">
        <v>1897</v>
      </c>
      <c r="E40" s="37">
        <v>2117</v>
      </c>
      <c r="F40" s="37">
        <v>1895.07</v>
      </c>
      <c r="G40" s="37">
        <v>1911</v>
      </c>
      <c r="H40" s="37">
        <v>1906</v>
      </c>
      <c r="I40" s="37">
        <v>1895</v>
      </c>
      <c r="J40" s="37">
        <v>1925</v>
      </c>
      <c r="K40" s="37">
        <v>1922</v>
      </c>
      <c r="L40" s="37">
        <v>1895</v>
      </c>
      <c r="M40" s="37">
        <f>1945-50</f>
        <v>1895</v>
      </c>
      <c r="N40" s="37"/>
      <c r="O40" s="41">
        <f>SUM(C40:N40)</f>
        <v>21154.07</v>
      </c>
      <c r="P40" s="1212"/>
      <c r="R40" s="2"/>
      <c r="S40" s="2"/>
      <c r="U40" s="833">
        <v>45267</v>
      </c>
      <c r="V40" s="835">
        <v>45271</v>
      </c>
    </row>
    <row r="41" spans="2:28" ht="16.5">
      <c r="B41" s="7" t="s">
        <v>39</v>
      </c>
      <c r="C41" s="8">
        <v>2714</v>
      </c>
      <c r="D41" s="9">
        <f>2391.8+330.2</f>
        <v>2722</v>
      </c>
      <c r="E41" s="9">
        <v>2716</v>
      </c>
      <c r="F41" s="9">
        <v>2748</v>
      </c>
      <c r="G41" s="9">
        <v>2662</v>
      </c>
      <c r="H41" s="9">
        <v>2745</v>
      </c>
      <c r="I41" s="9">
        <v>2574</v>
      </c>
      <c r="J41" s="9">
        <v>2581</v>
      </c>
      <c r="K41" s="9">
        <v>2757</v>
      </c>
      <c r="L41" s="9">
        <v>2745</v>
      </c>
      <c r="M41" s="9">
        <v>4101</v>
      </c>
      <c r="N41" s="9"/>
      <c r="O41" s="42">
        <f>SUM(C41:N41)</f>
        <v>31065</v>
      </c>
      <c r="P41" s="1212"/>
      <c r="R41" s="169"/>
      <c r="S41" s="2"/>
      <c r="T41" s="534" t="s">
        <v>268</v>
      </c>
      <c r="U41" s="833">
        <v>44934</v>
      </c>
      <c r="V41" s="835">
        <v>44936</v>
      </c>
    </row>
    <row r="42" spans="2:28" ht="17.25" thickBot="1">
      <c r="B42" s="10" t="s">
        <v>40</v>
      </c>
      <c r="C42" s="11"/>
      <c r="D42" s="12">
        <f>7019.2+1.89+1704</f>
        <v>8725.09</v>
      </c>
      <c r="E42" s="12">
        <f>33.56+195.5+0.19</f>
        <v>229.25</v>
      </c>
      <c r="F42" s="12">
        <f>4.65+1.9+1000</f>
        <v>1006.55</v>
      </c>
      <c r="G42" s="12">
        <f>2+1.46+1.01+253.16+1.37+0.9+1.46+1.29+6500</f>
        <v>6762.65</v>
      </c>
      <c r="H42" s="12">
        <f>1.05+1.43</f>
        <v>2.48</v>
      </c>
      <c r="I42" s="12">
        <f>1.2+200</f>
        <v>201.2</v>
      </c>
      <c r="J42" s="12">
        <f>2343.7+800</f>
        <v>3143.7</v>
      </c>
      <c r="K42" s="12">
        <f>4500-750+500+250+70</f>
        <v>4570</v>
      </c>
      <c r="L42" s="12">
        <f>130+1050+232</f>
        <v>1412</v>
      </c>
      <c r="M42" s="12">
        <f>270+65.25+188.6+3152</f>
        <v>3675.85</v>
      </c>
      <c r="N42" s="12">
        <f>80+162.5+14836</f>
        <v>15078.5</v>
      </c>
      <c r="O42" s="43">
        <f>SUM(C42:N42)</f>
        <v>44807.270000000004</v>
      </c>
      <c r="P42" s="1212"/>
      <c r="R42" s="568"/>
      <c r="T42" s="803">
        <f>378.58</f>
        <v>378.58</v>
      </c>
      <c r="U42" s="115">
        <v>181.18</v>
      </c>
      <c r="V42" s="1">
        <v>339.54</v>
      </c>
    </row>
    <row r="43" spans="2:28" ht="16.5">
      <c r="B43" s="13" t="s">
        <v>41</v>
      </c>
      <c r="C43" s="5">
        <f>SUM(C40:C42)</f>
        <v>4610</v>
      </c>
      <c r="D43" s="5">
        <f t="shared" ref="D43:O43" si="7">SUM(D40:D42)</f>
        <v>13344.09</v>
      </c>
      <c r="E43" s="5">
        <f t="shared" si="7"/>
        <v>5062.25</v>
      </c>
      <c r="F43" s="5">
        <f t="shared" si="7"/>
        <v>5649.62</v>
      </c>
      <c r="G43" s="5">
        <f t="shared" si="7"/>
        <v>11335.65</v>
      </c>
      <c r="H43" s="5">
        <f t="shared" si="7"/>
        <v>4653.4799999999996</v>
      </c>
      <c r="I43" s="5">
        <f t="shared" si="7"/>
        <v>4670.2</v>
      </c>
      <c r="J43" s="5">
        <f t="shared" si="7"/>
        <v>7649.7</v>
      </c>
      <c r="K43" s="5">
        <f t="shared" si="7"/>
        <v>9249</v>
      </c>
      <c r="L43" s="5">
        <f t="shared" si="7"/>
        <v>6052</v>
      </c>
      <c r="M43" s="5">
        <f t="shared" si="7"/>
        <v>9671.85</v>
      </c>
      <c r="N43" s="5">
        <f t="shared" si="7"/>
        <v>15078.5</v>
      </c>
      <c r="O43" s="41">
        <f t="shared" si="7"/>
        <v>97026.34</v>
      </c>
      <c r="P43" s="1212"/>
      <c r="R43" s="2"/>
      <c r="S43" s="2"/>
      <c r="U43" s="2"/>
      <c r="V43" s="2"/>
      <c r="AA43" s="1">
        <v>1707.18</v>
      </c>
      <c r="AB43" s="1" t="s">
        <v>707</v>
      </c>
    </row>
    <row r="44" spans="2:28" ht="16.5">
      <c r="B44" s="14" t="s">
        <v>42</v>
      </c>
      <c r="C44" s="15">
        <f>C43-C39</f>
        <v>947.20000000000073</v>
      </c>
      <c r="D44" s="15">
        <f t="shared" ref="D44:O44" si="8">D43-D39</f>
        <v>4801</v>
      </c>
      <c r="E44" s="15">
        <f t="shared" si="8"/>
        <v>-421.94499999999971</v>
      </c>
      <c r="F44" s="15">
        <f t="shared" si="8"/>
        <v>387.9350000000004</v>
      </c>
      <c r="G44" s="15">
        <f t="shared" si="8"/>
        <v>5989.0999999999995</v>
      </c>
      <c r="H44" s="15">
        <f t="shared" si="8"/>
        <v>-1104.3650000000007</v>
      </c>
      <c r="I44" s="15">
        <f t="shared" si="8"/>
        <v>390.46499999999924</v>
      </c>
      <c r="J44" s="15">
        <f t="shared" si="8"/>
        <v>452.73499999999967</v>
      </c>
      <c r="K44" s="15">
        <f t="shared" si="8"/>
        <v>3290.1449999999995</v>
      </c>
      <c r="L44" s="15">
        <f t="shared" si="8"/>
        <v>-2064.5300000000007</v>
      </c>
      <c r="M44" s="15">
        <f t="shared" si="8"/>
        <v>1662.6099999999997</v>
      </c>
      <c r="N44" s="15">
        <f t="shared" si="8"/>
        <v>8964.9500000000007</v>
      </c>
      <c r="O44" s="44">
        <f t="shared" si="8"/>
        <v>23295.300000000003</v>
      </c>
      <c r="P44" s="1213"/>
      <c r="T44" s="1">
        <v>4514.59</v>
      </c>
      <c r="U44" s="2"/>
      <c r="V44" s="2"/>
      <c r="AA44" s="1">
        <v>1396.11</v>
      </c>
      <c r="AB44" s="1" t="s">
        <v>708</v>
      </c>
    </row>
    <row r="45" spans="2:28" ht="18">
      <c r="B45" s="181" t="s">
        <v>158</v>
      </c>
      <c r="C45" s="182">
        <f>C43-C48</f>
        <v>947.19999999999982</v>
      </c>
      <c r="D45" s="185">
        <f>C45+(D43-D48)</f>
        <v>5748.2</v>
      </c>
      <c r="E45" s="185">
        <f>D45+(E43-E48)</f>
        <v>4397.0050000000001</v>
      </c>
      <c r="F45" s="185">
        <f t="shared" ref="F45:N45" si="9">E45+(F43-F48)</f>
        <v>4784.9399999999996</v>
      </c>
      <c r="G45" s="185">
        <f t="shared" si="9"/>
        <v>10214.039999999999</v>
      </c>
      <c r="H45" s="185">
        <f t="shared" si="9"/>
        <v>4078.5149999999976</v>
      </c>
      <c r="I45" s="185">
        <f t="shared" si="9"/>
        <v>3699.4999999999973</v>
      </c>
      <c r="J45" s="185">
        <f t="shared" si="9"/>
        <v>3776.904999999997</v>
      </c>
      <c r="K45" s="185">
        <f t="shared" si="9"/>
        <v>6567.0499999999975</v>
      </c>
      <c r="L45" s="185">
        <f t="shared" si="9"/>
        <v>3452.5199999999968</v>
      </c>
      <c r="M45" s="185">
        <f t="shared" si="9"/>
        <v>5115.1299999999974</v>
      </c>
      <c r="N45" s="185">
        <f t="shared" si="9"/>
        <v>14080.079999999998</v>
      </c>
      <c r="O45" s="177"/>
      <c r="P45" s="1213"/>
      <c r="R45" s="594">
        <f>N45</f>
        <v>14080.079999999998</v>
      </c>
      <c r="T45" s="2">
        <v>3841.42</v>
      </c>
    </row>
    <row r="46" spans="2:28" ht="17.25" thickBot="1">
      <c r="B46" s="174" t="s">
        <v>43</v>
      </c>
      <c r="C46" s="175">
        <f>C44/C43</f>
        <v>0.20546637744034724</v>
      </c>
      <c r="D46" s="175">
        <f t="shared" ref="D46:O46" si="10">D44/D43</f>
        <v>0.35978474365805385</v>
      </c>
      <c r="E46" s="175">
        <f t="shared" si="10"/>
        <v>-8.3351276606252106E-2</v>
      </c>
      <c r="F46" s="175">
        <f t="shared" si="10"/>
        <v>6.8665680169639795E-2</v>
      </c>
      <c r="G46" s="175">
        <f t="shared" si="10"/>
        <v>0.52834200067927284</v>
      </c>
      <c r="H46" s="175">
        <f t="shared" si="10"/>
        <v>-0.23732024205540816</v>
      </c>
      <c r="I46" s="175">
        <f t="shared" si="10"/>
        <v>8.3607768403922589E-2</v>
      </c>
      <c r="J46" s="175">
        <f t="shared" si="10"/>
        <v>5.9183366667973865E-2</v>
      </c>
      <c r="K46" s="175">
        <f t="shared" si="10"/>
        <v>0.35572980862795972</v>
      </c>
      <c r="L46" s="175">
        <f t="shared" si="10"/>
        <v>-0.34113185723727701</v>
      </c>
      <c r="M46" s="175">
        <f t="shared" si="10"/>
        <v>0.17190196291298973</v>
      </c>
      <c r="N46" s="175">
        <f t="shared" si="10"/>
        <v>0.59455184534270655</v>
      </c>
      <c r="O46" s="176">
        <f t="shared" si="10"/>
        <v>0.24009253569700767</v>
      </c>
      <c r="P46" s="1214"/>
      <c r="S46" s="168"/>
      <c r="T46" s="2">
        <f>T44-T45</f>
        <v>673.17000000000007</v>
      </c>
    </row>
    <row r="47" spans="2:28" ht="17.25" thickBot="1">
      <c r="B47" s="17" t="s">
        <v>44</v>
      </c>
      <c r="C47" s="18">
        <f>C39/C43</f>
        <v>0.79453362255965276</v>
      </c>
      <c r="D47" s="18">
        <f t="shared" ref="D47:O47" si="11">D39/D43</f>
        <v>0.64021525634194609</v>
      </c>
      <c r="E47" s="18">
        <f t="shared" si="11"/>
        <v>1.0833512766062521</v>
      </c>
      <c r="F47" s="18">
        <f t="shared" si="11"/>
        <v>0.93133431983036019</v>
      </c>
      <c r="G47" s="18">
        <f t="shared" si="11"/>
        <v>0.47165799932072711</v>
      </c>
      <c r="H47" s="18">
        <f t="shared" si="11"/>
        <v>1.2373202420554081</v>
      </c>
      <c r="I47" s="18">
        <f t="shared" si="11"/>
        <v>0.91639223159607741</v>
      </c>
      <c r="J47" s="18">
        <f t="shared" si="11"/>
        <v>0.94081663333202614</v>
      </c>
      <c r="K47" s="18">
        <f t="shared" si="11"/>
        <v>0.64427019137204022</v>
      </c>
      <c r="L47" s="18">
        <f t="shared" si="11"/>
        <v>1.341131857237277</v>
      </c>
      <c r="M47" s="18">
        <f t="shared" si="11"/>
        <v>0.82809803708701024</v>
      </c>
      <c r="N47" s="18">
        <f t="shared" si="11"/>
        <v>0.40544815465729345</v>
      </c>
      <c r="O47" s="45">
        <f t="shared" si="11"/>
        <v>0.75990746430299227</v>
      </c>
      <c r="P47" s="179"/>
    </row>
    <row r="48" spans="2:28" ht="0.75" hidden="1" customHeight="1">
      <c r="B48" s="178"/>
      <c r="C48" s="180">
        <f>SUM(C17:C38)+SUM(C6:C15)</f>
        <v>3662.8</v>
      </c>
      <c r="D48" s="180">
        <f>SUM(D17:D38)+SUM(D6:D15)</f>
        <v>8543.09</v>
      </c>
      <c r="E48" s="180">
        <f t="shared" ref="E48:N48" si="12">SUM(E17:E38)+SUM(E6:E15)</f>
        <v>6413.4449999999997</v>
      </c>
      <c r="F48" s="180">
        <f t="shared" si="12"/>
        <v>5261.6850000000004</v>
      </c>
      <c r="G48" s="180">
        <f t="shared" si="12"/>
        <v>5906.55</v>
      </c>
      <c r="H48" s="180">
        <f t="shared" si="12"/>
        <v>10789.005000000001</v>
      </c>
      <c r="I48" s="180">
        <f t="shared" si="12"/>
        <v>5049.2150000000001</v>
      </c>
      <c r="J48" s="180">
        <f t="shared" si="12"/>
        <v>7572.2950000000001</v>
      </c>
      <c r="K48" s="180">
        <f t="shared" si="12"/>
        <v>6458.8549999999996</v>
      </c>
      <c r="L48" s="180">
        <f t="shared" si="12"/>
        <v>9166.5300000000007</v>
      </c>
      <c r="M48" s="180">
        <f t="shared" si="12"/>
        <v>8009.24</v>
      </c>
      <c r="N48" s="180">
        <f t="shared" si="12"/>
        <v>6113.5499999999993</v>
      </c>
      <c r="O48" s="179"/>
      <c r="P48" s="179"/>
    </row>
    <row r="49" spans="2:21" ht="16.5" hidden="1" customHeight="1">
      <c r="B49" s="178"/>
      <c r="C49" s="183">
        <v>44957</v>
      </c>
      <c r="D49" s="183">
        <v>44985</v>
      </c>
      <c r="E49" s="183">
        <v>45016</v>
      </c>
      <c r="F49" s="183">
        <v>45046</v>
      </c>
      <c r="G49" s="183">
        <v>45077</v>
      </c>
      <c r="H49" s="183">
        <v>45107</v>
      </c>
      <c r="I49" s="183">
        <v>45138</v>
      </c>
      <c r="J49" s="183">
        <v>45169</v>
      </c>
      <c r="K49" s="183">
        <v>45199</v>
      </c>
      <c r="L49" s="183">
        <v>45230</v>
      </c>
      <c r="M49" s="183">
        <v>45260</v>
      </c>
      <c r="N49" s="183">
        <v>45291</v>
      </c>
      <c r="O49" s="179"/>
      <c r="P49" s="179"/>
    </row>
    <row r="50" spans="2:21" ht="15" hidden="1" customHeight="1">
      <c r="B50" s="1"/>
      <c r="C50" s="53"/>
      <c r="D50" s="184">
        <v>44946</v>
      </c>
      <c r="E50" s="184">
        <v>44977</v>
      </c>
      <c r="F50" s="184">
        <v>45005</v>
      </c>
      <c r="G50" s="184">
        <v>45036</v>
      </c>
      <c r="H50" s="184">
        <v>45066</v>
      </c>
      <c r="I50" s="184">
        <v>45097</v>
      </c>
      <c r="J50" s="184">
        <v>45127</v>
      </c>
      <c r="K50" s="184">
        <v>45158</v>
      </c>
      <c r="L50" s="184">
        <v>45189</v>
      </c>
      <c r="M50" s="184">
        <v>45219</v>
      </c>
      <c r="N50" s="184">
        <v>45250</v>
      </c>
      <c r="O50" s="1"/>
      <c r="P50" s="1"/>
    </row>
    <row r="51" spans="2:21">
      <c r="B51" s="1"/>
      <c r="C51" s="757"/>
      <c r="D51" s="757"/>
      <c r="E51" s="757"/>
      <c r="F51" s="757"/>
      <c r="G51" s="757"/>
      <c r="H51" s="757">
        <v>11000</v>
      </c>
      <c r="I51" s="757"/>
      <c r="J51" s="757">
        <v>500</v>
      </c>
      <c r="K51" s="757"/>
      <c r="L51" s="757">
        <v>1000</v>
      </c>
      <c r="M51" s="757"/>
      <c r="N51" s="757"/>
      <c r="O51" s="758"/>
      <c r="P51" s="758"/>
      <c r="R51" s="2">
        <f>SUM(C51:N51)</f>
        <v>12500</v>
      </c>
      <c r="S51" s="1" t="s">
        <v>631</v>
      </c>
    </row>
    <row r="52" spans="2:2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R52" s="786"/>
    </row>
    <row r="53" spans="2:21">
      <c r="B53" s="47" t="s">
        <v>32</v>
      </c>
      <c r="C53" s="49" t="s">
        <v>10</v>
      </c>
      <c r="D53" s="49" t="s">
        <v>11</v>
      </c>
      <c r="E53" s="49" t="s">
        <v>12</v>
      </c>
      <c r="F53" s="49" t="s">
        <v>13</v>
      </c>
      <c r="G53" s="49" t="s">
        <v>14</v>
      </c>
      <c r="H53" s="49" t="s">
        <v>15</v>
      </c>
      <c r="I53" s="49" t="s">
        <v>16</v>
      </c>
      <c r="J53" s="49" t="s">
        <v>17</v>
      </c>
      <c r="K53" s="49" t="s">
        <v>18</v>
      </c>
      <c r="L53" s="49" t="s">
        <v>19</v>
      </c>
      <c r="M53" s="49" t="s">
        <v>20</v>
      </c>
      <c r="N53" s="50" t="s">
        <v>21</v>
      </c>
      <c r="O53" s="51"/>
      <c r="P53" s="1215"/>
    </row>
    <row r="54" spans="2:21" ht="16.5">
      <c r="B54" s="71" t="s">
        <v>57</v>
      </c>
      <c r="C54" s="102">
        <v>0</v>
      </c>
      <c r="D54" s="102">
        <v>51.225000000000001</v>
      </c>
      <c r="E54" s="102">
        <v>0</v>
      </c>
      <c r="F54" s="102">
        <v>0</v>
      </c>
      <c r="G54" s="102">
        <v>111</v>
      </c>
      <c r="H54" s="102">
        <v>65.92</v>
      </c>
      <c r="I54" s="102">
        <v>0</v>
      </c>
      <c r="J54" s="102">
        <v>0</v>
      </c>
      <c r="K54" s="102">
        <v>166.5</v>
      </c>
      <c r="L54" s="102">
        <v>0</v>
      </c>
      <c r="M54" s="102">
        <v>178.7</v>
      </c>
      <c r="N54" s="102">
        <v>21.98</v>
      </c>
      <c r="O54" s="105">
        <f t="shared" ref="O54:O68" si="13">SUM(C54:N54)</f>
        <v>595.32500000000005</v>
      </c>
      <c r="P54" s="1216"/>
    </row>
    <row r="55" spans="2:21" ht="16.5">
      <c r="B55" s="71" t="s">
        <v>51</v>
      </c>
      <c r="C55" s="102">
        <v>115</v>
      </c>
      <c r="D55" s="102">
        <v>0</v>
      </c>
      <c r="E55" s="102">
        <v>0</v>
      </c>
      <c r="F55" s="102">
        <v>0</v>
      </c>
      <c r="G55" s="102">
        <v>62.5</v>
      </c>
      <c r="H55" s="102">
        <v>92.25</v>
      </c>
      <c r="I55" s="102">
        <v>75</v>
      </c>
      <c r="J55" s="102">
        <v>120</v>
      </c>
      <c r="K55" s="102">
        <v>75</v>
      </c>
      <c r="L55" s="102">
        <v>150</v>
      </c>
      <c r="M55" s="102">
        <v>75</v>
      </c>
      <c r="N55" s="102">
        <v>0</v>
      </c>
      <c r="O55" s="105">
        <f t="shared" si="13"/>
        <v>764.75</v>
      </c>
      <c r="P55" s="1216"/>
    </row>
    <row r="56" spans="2:21" ht="16.5">
      <c r="B56" s="71" t="s">
        <v>120</v>
      </c>
      <c r="C56" s="102">
        <v>14.9</v>
      </c>
      <c r="D56" s="102">
        <v>417.86</v>
      </c>
      <c r="E56" s="102">
        <v>368.53999999999996</v>
      </c>
      <c r="F56" s="102">
        <v>331.95</v>
      </c>
      <c r="G56" s="102">
        <v>248.99</v>
      </c>
      <c r="H56" s="102">
        <v>325.11</v>
      </c>
      <c r="I56" s="102">
        <v>221.70999999999998</v>
      </c>
      <c r="J56" s="102">
        <v>77</v>
      </c>
      <c r="K56" s="102">
        <v>77</v>
      </c>
      <c r="L56" s="102">
        <v>77</v>
      </c>
      <c r="M56" s="102">
        <v>77</v>
      </c>
      <c r="N56" s="102">
        <v>0</v>
      </c>
      <c r="O56" s="105">
        <f t="shared" si="13"/>
        <v>2237.06</v>
      </c>
      <c r="P56" s="1216"/>
    </row>
    <row r="57" spans="2:21" ht="16.5">
      <c r="B57" s="71" t="s">
        <v>36</v>
      </c>
      <c r="C57" s="102">
        <v>95</v>
      </c>
      <c r="D57" s="102">
        <v>150</v>
      </c>
      <c r="E57" s="102">
        <v>0</v>
      </c>
      <c r="F57" s="102">
        <v>35</v>
      </c>
      <c r="G57" s="102">
        <v>80</v>
      </c>
      <c r="H57" s="102">
        <v>64.22</v>
      </c>
      <c r="I57" s="102">
        <v>0</v>
      </c>
      <c r="J57" s="102">
        <v>0</v>
      </c>
      <c r="K57" s="102">
        <v>0</v>
      </c>
      <c r="L57" s="102">
        <v>0</v>
      </c>
      <c r="M57" s="102">
        <v>0</v>
      </c>
      <c r="N57" s="102">
        <v>0</v>
      </c>
      <c r="O57" s="105">
        <f t="shared" si="13"/>
        <v>424.22</v>
      </c>
      <c r="P57" s="1216"/>
    </row>
    <row r="58" spans="2:21" ht="16.5">
      <c r="B58" s="71" t="s">
        <v>56</v>
      </c>
      <c r="C58" s="102">
        <v>62.905000000000001</v>
      </c>
      <c r="D58" s="102">
        <v>465.97666666666669</v>
      </c>
      <c r="E58" s="102">
        <v>195.01666666666665</v>
      </c>
      <c r="F58" s="102">
        <v>235.91666666666666</v>
      </c>
      <c r="G58" s="102">
        <v>237.01666666666665</v>
      </c>
      <c r="H58" s="102">
        <v>168.16000000000003</v>
      </c>
      <c r="I58" s="102">
        <v>58.66</v>
      </c>
      <c r="J58" s="102">
        <v>58.66</v>
      </c>
      <c r="K58" s="102">
        <v>415.93999999999994</v>
      </c>
      <c r="L58" s="102">
        <v>58.66</v>
      </c>
      <c r="M58" s="102">
        <v>58.66</v>
      </c>
      <c r="N58" s="102">
        <v>0</v>
      </c>
      <c r="O58" s="105">
        <f t="shared" si="13"/>
        <v>2015.5716666666667</v>
      </c>
      <c r="P58" s="1216"/>
    </row>
    <row r="59" spans="2:21" ht="16.5">
      <c r="B59" s="71" t="s">
        <v>53</v>
      </c>
      <c r="C59" s="102">
        <v>0</v>
      </c>
      <c r="D59" s="102">
        <v>0</v>
      </c>
      <c r="E59" s="102">
        <v>0</v>
      </c>
      <c r="F59" s="102">
        <v>68.025000000000006</v>
      </c>
      <c r="G59" s="102">
        <v>0</v>
      </c>
      <c r="H59" s="102">
        <v>0</v>
      </c>
      <c r="I59" s="102">
        <v>0</v>
      </c>
      <c r="J59" s="102">
        <v>878.04</v>
      </c>
      <c r="K59" s="102">
        <v>248.44</v>
      </c>
      <c r="L59" s="102">
        <v>427</v>
      </c>
      <c r="M59" s="102">
        <v>415.13</v>
      </c>
      <c r="N59" s="102">
        <v>0</v>
      </c>
      <c r="O59" s="104">
        <f t="shared" si="13"/>
        <v>2036.6349999999998</v>
      </c>
      <c r="P59" s="1216"/>
      <c r="R59" s="1">
        <v>1467.4</v>
      </c>
    </row>
    <row r="60" spans="2:21" ht="16.5">
      <c r="B60" s="71" t="s">
        <v>54</v>
      </c>
      <c r="C60" s="102">
        <v>333.8</v>
      </c>
      <c r="D60" s="102">
        <v>333.8</v>
      </c>
      <c r="E60" s="102">
        <v>211.3</v>
      </c>
      <c r="F60" s="102">
        <v>211.3</v>
      </c>
      <c r="G60" s="102">
        <v>0</v>
      </c>
      <c r="H60" s="102">
        <v>167.98</v>
      </c>
      <c r="I60" s="102">
        <v>0</v>
      </c>
      <c r="J60" s="102">
        <v>168.9</v>
      </c>
      <c r="K60" s="102">
        <v>409.03999999999996</v>
      </c>
      <c r="L60" s="102">
        <v>409.03</v>
      </c>
      <c r="M60" s="102">
        <v>500.98</v>
      </c>
      <c r="N60" s="102">
        <v>0</v>
      </c>
      <c r="O60" s="104">
        <f t="shared" si="13"/>
        <v>2746.13</v>
      </c>
      <c r="P60" s="1216"/>
      <c r="R60" s="1">
        <f>R54-R59</f>
        <v>-1467.4</v>
      </c>
      <c r="T60" s="112" t="s">
        <v>75</v>
      </c>
      <c r="U60" s="1">
        <v>101.93</v>
      </c>
    </row>
    <row r="61" spans="2:21" ht="16.5">
      <c r="B61" s="71" t="s">
        <v>59</v>
      </c>
      <c r="C61" s="102">
        <v>115.5</v>
      </c>
      <c r="D61" s="102">
        <v>115.5</v>
      </c>
      <c r="E61" s="102">
        <v>115.5</v>
      </c>
      <c r="F61" s="102">
        <v>115.5</v>
      </c>
      <c r="G61" s="102">
        <v>0</v>
      </c>
      <c r="H61" s="102">
        <v>0</v>
      </c>
      <c r="I61" s="102">
        <v>0</v>
      </c>
      <c r="J61" s="102">
        <v>0</v>
      </c>
      <c r="K61" s="102">
        <v>0</v>
      </c>
      <c r="L61" s="102">
        <v>0</v>
      </c>
      <c r="M61" s="102">
        <v>0</v>
      </c>
      <c r="N61" s="102">
        <v>0</v>
      </c>
      <c r="O61" s="104">
        <f t="shared" si="13"/>
        <v>462</v>
      </c>
      <c r="P61" s="1216"/>
      <c r="T61" s="112" t="s">
        <v>76</v>
      </c>
      <c r="U61" s="1">
        <v>226.86</v>
      </c>
    </row>
    <row r="62" spans="2:21" ht="16.5">
      <c r="B62" s="71" t="s">
        <v>40</v>
      </c>
      <c r="C62" s="102">
        <v>682.66499999999996</v>
      </c>
      <c r="D62" s="102">
        <v>484.64499999999998</v>
      </c>
      <c r="E62" s="102">
        <v>484.60500000000002</v>
      </c>
      <c r="F62" s="102">
        <v>301.625</v>
      </c>
      <c r="G62" s="102">
        <v>337.11499999999995</v>
      </c>
      <c r="H62" s="102">
        <v>238.13499999999999</v>
      </c>
      <c r="I62" s="102">
        <v>290.54500000000002</v>
      </c>
      <c r="J62" s="102">
        <v>200.10500000000002</v>
      </c>
      <c r="K62" s="102">
        <v>47.815000000000005</v>
      </c>
      <c r="L62" s="102">
        <v>47.815000000000005</v>
      </c>
      <c r="M62" s="102">
        <v>39.950000000000003</v>
      </c>
      <c r="N62" s="102">
        <v>0</v>
      </c>
      <c r="O62" s="104">
        <f t="shared" si="13"/>
        <v>3155.02</v>
      </c>
      <c r="P62" s="1216"/>
      <c r="T62" s="112" t="s">
        <v>77</v>
      </c>
      <c r="U62" s="1">
        <v>700</v>
      </c>
    </row>
    <row r="63" spans="2:21" ht="16.5">
      <c r="B63" s="71" t="s">
        <v>55</v>
      </c>
      <c r="C63" s="102">
        <v>0</v>
      </c>
      <c r="D63" s="102">
        <v>0</v>
      </c>
      <c r="E63" s="102">
        <v>0</v>
      </c>
      <c r="F63" s="102">
        <v>0</v>
      </c>
      <c r="G63" s="102">
        <v>0</v>
      </c>
      <c r="H63" s="102">
        <v>78.3</v>
      </c>
      <c r="I63" s="102">
        <v>48.599999999999994</v>
      </c>
      <c r="J63" s="102">
        <v>48.599999999999994</v>
      </c>
      <c r="K63" s="102">
        <v>48.599999999999994</v>
      </c>
      <c r="L63" s="102">
        <v>48.599999999999994</v>
      </c>
      <c r="M63" s="102">
        <v>48.599999999999994</v>
      </c>
      <c r="N63" s="102">
        <v>48.599999999999994</v>
      </c>
      <c r="O63" s="104">
        <f t="shared" si="13"/>
        <v>369.9</v>
      </c>
      <c r="P63" s="1216"/>
      <c r="T63" s="112" t="s">
        <v>78</v>
      </c>
      <c r="U63" s="54">
        <v>239.61</v>
      </c>
    </row>
    <row r="64" spans="2:21" ht="16.5">
      <c r="B64" s="71" t="s">
        <v>58</v>
      </c>
      <c r="C64" s="102">
        <v>355.7</v>
      </c>
      <c r="D64" s="102">
        <v>182</v>
      </c>
      <c r="E64" s="102">
        <v>158</v>
      </c>
      <c r="F64" s="102">
        <v>29.7</v>
      </c>
      <c r="G64" s="102">
        <v>54.59</v>
      </c>
      <c r="H64" s="102">
        <v>60.67</v>
      </c>
      <c r="I64" s="102">
        <v>60.67</v>
      </c>
      <c r="J64" s="102">
        <v>60.67</v>
      </c>
      <c r="K64" s="102">
        <v>0</v>
      </c>
      <c r="L64" s="102">
        <v>0</v>
      </c>
      <c r="M64" s="102">
        <v>0</v>
      </c>
      <c r="N64" s="102">
        <v>0</v>
      </c>
      <c r="O64" s="104">
        <f t="shared" si="13"/>
        <v>962</v>
      </c>
      <c r="P64" s="1216"/>
      <c r="T64" s="112" t="s">
        <v>45</v>
      </c>
      <c r="U64" s="1">
        <f>+SUM(U60:U63)</f>
        <v>1268.4000000000001</v>
      </c>
    </row>
    <row r="65" spans="2:25" ht="16.5">
      <c r="B65" s="71" t="s">
        <v>52</v>
      </c>
      <c r="C65" s="102">
        <v>0</v>
      </c>
      <c r="D65" s="102">
        <v>0</v>
      </c>
      <c r="E65" s="102">
        <v>0</v>
      </c>
      <c r="F65" s="102">
        <v>0</v>
      </c>
      <c r="G65" s="102">
        <v>0</v>
      </c>
      <c r="H65" s="102">
        <v>0</v>
      </c>
      <c r="I65" s="102">
        <v>0</v>
      </c>
      <c r="J65" s="102">
        <v>0</v>
      </c>
      <c r="K65" s="102">
        <v>0</v>
      </c>
      <c r="L65" s="102">
        <v>0</v>
      </c>
      <c r="M65" s="102">
        <v>0</v>
      </c>
      <c r="N65" s="102">
        <v>0</v>
      </c>
      <c r="O65" s="104">
        <f t="shared" si="13"/>
        <v>0</v>
      </c>
      <c r="P65" s="1216"/>
      <c r="T65" s="112"/>
    </row>
    <row r="66" spans="2:25" ht="17.25" thickBot="1">
      <c r="B66" s="71" t="s">
        <v>143</v>
      </c>
      <c r="C66" s="102">
        <v>0</v>
      </c>
      <c r="D66" s="102">
        <v>0</v>
      </c>
      <c r="E66" s="102">
        <v>0</v>
      </c>
      <c r="F66" s="102">
        <v>32.869999999999997</v>
      </c>
      <c r="G66" s="102">
        <v>32.869999999999997</v>
      </c>
      <c r="H66" s="102">
        <v>32.869999999999997</v>
      </c>
      <c r="I66" s="102">
        <v>32.869999999999997</v>
      </c>
      <c r="J66" s="102">
        <v>0</v>
      </c>
      <c r="K66" s="102">
        <v>191.88</v>
      </c>
      <c r="L66" s="102">
        <v>191.86</v>
      </c>
      <c r="M66" s="102">
        <v>191.86</v>
      </c>
      <c r="N66" s="102">
        <v>0</v>
      </c>
      <c r="O66" s="104">
        <f t="shared" si="13"/>
        <v>707.08</v>
      </c>
      <c r="P66" s="1216"/>
    </row>
    <row r="67" spans="2:25" s="1" customFormat="1" ht="17.25" thickBot="1">
      <c r="B67" s="71" t="s">
        <v>268</v>
      </c>
      <c r="C67" s="102">
        <v>0</v>
      </c>
      <c r="D67" s="102">
        <v>0</v>
      </c>
      <c r="E67" s="102">
        <v>0</v>
      </c>
      <c r="F67" s="102">
        <v>0</v>
      </c>
      <c r="G67" s="102">
        <v>0</v>
      </c>
      <c r="H67" s="102">
        <v>384.59</v>
      </c>
      <c r="I67" s="102">
        <v>299.88</v>
      </c>
      <c r="J67" s="102">
        <v>299.88</v>
      </c>
      <c r="K67" s="102">
        <v>409.78</v>
      </c>
      <c r="L67" s="102">
        <v>409.76</v>
      </c>
      <c r="M67" s="102">
        <v>409.76</v>
      </c>
      <c r="N67" s="102">
        <v>0</v>
      </c>
      <c r="O67" s="104">
        <f t="shared" si="13"/>
        <v>2213.65</v>
      </c>
      <c r="P67" s="1216"/>
      <c r="T67" s="112" t="s">
        <v>80</v>
      </c>
      <c r="U67" s="113">
        <f>U64/2</f>
        <v>634.20000000000005</v>
      </c>
      <c r="Y67" s="1">
        <v>14907.6</v>
      </c>
    </row>
    <row r="68" spans="2:25" s="1" customFormat="1" ht="16.5">
      <c r="B68" s="71"/>
      <c r="C68" s="102">
        <v>0</v>
      </c>
      <c r="D68" s="102">
        <v>0</v>
      </c>
      <c r="E68" s="103">
        <v>0</v>
      </c>
      <c r="F68" s="103">
        <v>0</v>
      </c>
      <c r="G68" s="102">
        <v>0</v>
      </c>
      <c r="H68" s="102">
        <v>0</v>
      </c>
      <c r="I68" s="102">
        <v>0</v>
      </c>
      <c r="J68" s="102">
        <v>0</v>
      </c>
      <c r="K68" s="102">
        <v>0</v>
      </c>
      <c r="L68" s="102">
        <v>0</v>
      </c>
      <c r="M68" s="102">
        <v>0</v>
      </c>
      <c r="N68" s="102">
        <v>0</v>
      </c>
      <c r="O68" s="104">
        <f t="shared" si="13"/>
        <v>0</v>
      </c>
      <c r="P68" s="1216"/>
      <c r="U68" s="1">
        <f>U62+U63</f>
        <v>939.61</v>
      </c>
      <c r="Y68" s="1">
        <f>Y67/12</f>
        <v>1242.3</v>
      </c>
    </row>
    <row r="69" spans="2:25" s="1" customFormat="1" ht="15.75">
      <c r="B69" s="48"/>
      <c r="C69" s="102">
        <v>0</v>
      </c>
      <c r="D69" s="102">
        <v>0</v>
      </c>
      <c r="E69" s="103">
        <v>0</v>
      </c>
      <c r="F69" s="103">
        <v>0</v>
      </c>
      <c r="G69" s="102">
        <v>0</v>
      </c>
      <c r="H69" s="102">
        <v>0</v>
      </c>
      <c r="I69" s="102">
        <v>0</v>
      </c>
      <c r="J69" s="102">
        <v>0</v>
      </c>
      <c r="K69" s="102">
        <v>0</v>
      </c>
      <c r="L69" s="102">
        <v>0</v>
      </c>
      <c r="M69" s="102">
        <v>0</v>
      </c>
      <c r="N69" s="102">
        <v>0</v>
      </c>
      <c r="O69" s="104">
        <f t="shared" ref="O69" si="14">SUM(C69:N69)</f>
        <v>0</v>
      </c>
      <c r="P69" s="1216"/>
      <c r="U69" s="2">
        <f>U68-907.69</f>
        <v>31.919999999999959</v>
      </c>
    </row>
    <row r="70" spans="2:25" s="1" customFormat="1" ht="15.75">
      <c r="B70" s="46"/>
      <c r="C70" s="104">
        <f>SUM(C54:C69)</f>
        <v>1775.47</v>
      </c>
      <c r="D70" s="104">
        <f t="shared" ref="D70:N70" si="15">SUM(D54:D69)</f>
        <v>2201.0066666666667</v>
      </c>
      <c r="E70" s="104">
        <f t="shared" si="15"/>
        <v>1532.9616666666666</v>
      </c>
      <c r="F70" s="104">
        <f t="shared" si="15"/>
        <v>1361.8866666666665</v>
      </c>
      <c r="G70" s="104">
        <f t="shared" si="15"/>
        <v>1164.0816666666665</v>
      </c>
      <c r="H70" s="104">
        <f t="shared" si="15"/>
        <v>1678.2049999999999</v>
      </c>
      <c r="I70" s="104">
        <f t="shared" si="15"/>
        <v>1087.9349999999999</v>
      </c>
      <c r="J70" s="104">
        <f t="shared" si="15"/>
        <v>1911.855</v>
      </c>
      <c r="K70" s="104">
        <f t="shared" si="15"/>
        <v>2089.9949999999999</v>
      </c>
      <c r="L70" s="104">
        <f t="shared" si="15"/>
        <v>1819.7250000000001</v>
      </c>
      <c r="M70" s="104">
        <f t="shared" si="15"/>
        <v>1995.64</v>
      </c>
      <c r="N70" s="106">
        <f t="shared" si="15"/>
        <v>70.58</v>
      </c>
      <c r="O70" s="107" t="s">
        <v>45</v>
      </c>
      <c r="P70" s="1217"/>
    </row>
    <row r="71" spans="2:25" s="1" customFormat="1" ht="15.75">
      <c r="B71" s="46"/>
      <c r="C71" s="52"/>
      <c r="D71" s="46"/>
      <c r="E71" s="46"/>
      <c r="F71" s="46"/>
      <c r="G71" s="46"/>
      <c r="H71" s="108"/>
      <c r="I71" s="108"/>
      <c r="J71" s="108"/>
      <c r="K71" s="108"/>
      <c r="L71" s="108"/>
      <c r="M71" s="108"/>
      <c r="N71" s="108"/>
      <c r="O71" s="109">
        <f>SUM(O54:O69)</f>
        <v>18689.341666666667</v>
      </c>
      <c r="P71" s="1218"/>
    </row>
    <row r="72" spans="2:25" s="1" customFormat="1"/>
    <row r="73" spans="2:25" s="1" customFormat="1">
      <c r="I73" s="1" t="s">
        <v>110</v>
      </c>
    </row>
    <row r="74" spans="2:25" s="1" customFormat="1"/>
    <row r="75" spans="2:25" s="1" customFormat="1"/>
    <row r="76" spans="2:25" s="1" customFormat="1"/>
    <row r="77" spans="2:25" s="1" customFormat="1"/>
    <row r="78" spans="2:25" s="1" customFormat="1"/>
    <row r="79" spans="2:25" s="1" customFormat="1"/>
    <row r="80" spans="2:25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</sheetData>
  <sortState ref="B35:B46">
    <sortCondition ref="B35"/>
  </sortState>
  <mergeCells count="8">
    <mergeCell ref="C16:N16"/>
    <mergeCell ref="C4:N4"/>
    <mergeCell ref="R6:S6"/>
    <mergeCell ref="T32:U36"/>
    <mergeCell ref="T10:T11"/>
    <mergeCell ref="O4:O5"/>
    <mergeCell ref="R4:S4"/>
    <mergeCell ref="P4:P5"/>
  </mergeCells>
  <conditionalFormatting sqref="D45">
    <cfRule type="expression" dxfId="6" priority="3">
      <formula>$R$4&gt;D49</formula>
    </cfRule>
    <cfRule type="expression" dxfId="5" priority="6">
      <formula>$R$4&gt;=D50</formula>
    </cfRule>
  </conditionalFormatting>
  <conditionalFormatting sqref="E45:N45">
    <cfRule type="expression" dxfId="4" priority="5">
      <formula>$R$4&gt;=E50</formula>
    </cfRule>
  </conditionalFormatting>
  <conditionalFormatting sqref="C45">
    <cfRule type="expression" dxfId="3" priority="4">
      <formula>$R$4&gt;C49</formula>
    </cfRule>
  </conditionalFormatting>
  <conditionalFormatting sqref="E45:N45">
    <cfRule type="expression" dxfId="2" priority="1">
      <formula>$R$4&gt;E49</formula>
    </cfRule>
    <cfRule type="expression" dxfId="1" priority="2">
      <formula>$R$4&gt;=E50</formula>
    </cfRule>
  </conditionalFormatting>
  <conditionalFormatting sqref="R4:S4">
    <cfRule type="expression" dxfId="0" priority="8">
      <formula>E50&gt;=$R4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ignoredErrors>
    <ignoredError sqref="D46:O47" evalError="1"/>
  </ignoredErrors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B1:AZ70"/>
  <sheetViews>
    <sheetView workbookViewId="0">
      <selection sqref="A1:XFD1048576"/>
    </sheetView>
  </sheetViews>
  <sheetFormatPr defaultRowHeight="16.5"/>
  <cols>
    <col min="1" max="1" width="1" style="55" customWidth="1"/>
    <col min="2" max="2" width="6.5703125" style="134" bestFit="1" customWidth="1"/>
    <col min="3" max="3" width="16.7109375" style="55" customWidth="1"/>
    <col min="4" max="4" width="17.5703125" style="55" customWidth="1"/>
    <col min="5" max="5" width="13.7109375" style="55" customWidth="1"/>
    <col min="6" max="6" width="13.7109375" style="134" customWidth="1"/>
    <col min="7" max="8" width="13.7109375" style="55" customWidth="1"/>
    <col min="9" max="9" width="8.42578125" style="89" customWidth="1"/>
    <col min="10" max="10" width="13.5703125" style="55" hidden="1" customWidth="1"/>
    <col min="11" max="11" width="7.85546875" style="55" hidden="1" customWidth="1"/>
    <col min="12" max="12" width="7.42578125" style="55" hidden="1" customWidth="1"/>
    <col min="13" max="13" width="9.7109375" style="55" hidden="1" customWidth="1"/>
    <col min="14" max="14" width="7.42578125" style="55" hidden="1" customWidth="1"/>
    <col min="15" max="15" width="14.5703125" style="55" hidden="1" customWidth="1"/>
    <col min="16" max="16" width="16.85546875" style="55" hidden="1" customWidth="1"/>
    <col min="17" max="17" width="7.7109375" style="55" hidden="1" customWidth="1"/>
    <col min="18" max="18" width="8.85546875" style="55" hidden="1" customWidth="1"/>
    <col min="19" max="19" width="8" style="55" hidden="1" customWidth="1"/>
    <col min="20" max="20" width="7.42578125" style="55" hidden="1" customWidth="1"/>
    <col min="21" max="21" width="2" style="55" hidden="1" customWidth="1"/>
    <col min="22" max="22" width="9.7109375" style="55" hidden="1" customWidth="1"/>
    <col min="23" max="24" width="7.42578125" style="55" hidden="1" customWidth="1"/>
    <col min="25" max="25" width="1.7109375" style="55" hidden="1" customWidth="1"/>
    <col min="26" max="26" width="13.5703125" style="55" hidden="1" customWidth="1"/>
    <col min="27" max="27" width="7.85546875" style="55" hidden="1" customWidth="1"/>
    <col min="28" max="28" width="7.42578125" style="55" hidden="1" customWidth="1"/>
    <col min="29" max="29" width="9.7109375" style="55" hidden="1" customWidth="1"/>
    <col min="30" max="30" width="7.42578125" style="55" hidden="1" customWidth="1"/>
    <col min="31" max="31" width="14.5703125" style="55" hidden="1" customWidth="1"/>
    <col min="32" max="32" width="16.85546875" style="55" hidden="1" customWidth="1"/>
    <col min="33" max="33" width="7.7109375" style="55" hidden="1" customWidth="1"/>
    <col min="34" max="34" width="8.85546875" style="55" hidden="1" customWidth="1"/>
    <col min="35" max="35" width="8" style="55" hidden="1" customWidth="1"/>
    <col min="36" max="36" width="7.42578125" style="55" hidden="1" customWidth="1"/>
    <col min="37" max="37" width="13.42578125" style="55" hidden="1" customWidth="1"/>
    <col min="38" max="38" width="10.28515625" style="450" hidden="1" customWidth="1"/>
    <col min="39" max="40" width="7.42578125" style="55" hidden="1" customWidth="1"/>
    <col min="41" max="41" width="4" style="55" hidden="1" customWidth="1"/>
    <col min="42" max="42" width="2.5703125" style="55" customWidth="1"/>
    <col min="43" max="43" width="16.85546875" style="55" bestFit="1" customWidth="1"/>
    <col min="44" max="47" width="12.7109375" style="55" customWidth="1"/>
    <col min="48" max="48" width="8.28515625" style="55" bestFit="1" customWidth="1"/>
    <col min="49" max="49" width="10.5703125" style="55" bestFit="1" customWidth="1"/>
    <col min="50" max="50" width="3.28515625" style="55" customWidth="1"/>
    <col min="51" max="51" width="18.42578125" style="55" bestFit="1" customWidth="1"/>
    <col min="52" max="52" width="11.7109375" style="55" bestFit="1" customWidth="1"/>
    <col min="53" max="16384" width="9.140625" style="55"/>
  </cols>
  <sheetData>
    <row r="1" spans="2:48" ht="17.25" thickBot="1">
      <c r="AR1" s="134" t="s">
        <v>66</v>
      </c>
      <c r="AS1" s="134" t="s">
        <v>67</v>
      </c>
      <c r="AT1" s="81" t="s">
        <v>65</v>
      </c>
      <c r="AV1" s="134"/>
    </row>
    <row r="2" spans="2:48" ht="17.25" thickBot="1">
      <c r="B2" s="68" t="s">
        <v>1</v>
      </c>
      <c r="C2" s="66" t="s">
        <v>0</v>
      </c>
      <c r="D2" s="66" t="s">
        <v>63</v>
      </c>
      <c r="E2" s="66" t="s">
        <v>2</v>
      </c>
      <c r="F2" s="66" t="s">
        <v>64</v>
      </c>
      <c r="G2" s="66" t="s">
        <v>3</v>
      </c>
      <c r="H2" s="67" t="s">
        <v>4</v>
      </c>
      <c r="I2" s="90"/>
      <c r="J2" s="75" t="s">
        <v>57</v>
      </c>
      <c r="K2" s="74" t="s">
        <v>51</v>
      </c>
      <c r="L2" s="74" t="s">
        <v>120</v>
      </c>
      <c r="M2" s="74" t="s">
        <v>36</v>
      </c>
      <c r="N2" s="74" t="s">
        <v>56</v>
      </c>
      <c r="O2" s="74" t="s">
        <v>125</v>
      </c>
      <c r="P2" s="74" t="s">
        <v>54</v>
      </c>
      <c r="Q2" s="74" t="s">
        <v>59</v>
      </c>
      <c r="R2" s="74" t="s">
        <v>40</v>
      </c>
      <c r="S2" s="74" t="s">
        <v>55</v>
      </c>
      <c r="T2" s="74" t="s">
        <v>58</v>
      </c>
      <c r="U2" s="74" t="s">
        <v>52</v>
      </c>
      <c r="V2" s="451" t="str">
        <f>AQ14</f>
        <v>ESTUDOS</v>
      </c>
      <c r="W2" s="74">
        <f>AQ15</f>
        <v>0</v>
      </c>
      <c r="X2" s="74">
        <f>AQ16</f>
        <v>0</v>
      </c>
      <c r="Z2" s="75" t="s">
        <v>57</v>
      </c>
      <c r="AA2" s="74" t="s">
        <v>51</v>
      </c>
      <c r="AB2" s="74" t="s">
        <v>120</v>
      </c>
      <c r="AC2" s="74" t="s">
        <v>36</v>
      </c>
      <c r="AD2" s="74" t="s">
        <v>56</v>
      </c>
      <c r="AE2" s="74" t="s">
        <v>125</v>
      </c>
      <c r="AF2" s="74" t="s">
        <v>54</v>
      </c>
      <c r="AG2" s="74" t="s">
        <v>59</v>
      </c>
      <c r="AH2" s="74" t="s">
        <v>40</v>
      </c>
      <c r="AI2" s="74" t="s">
        <v>55</v>
      </c>
      <c r="AJ2" s="74" t="s">
        <v>58</v>
      </c>
      <c r="AK2" s="74" t="s">
        <v>52</v>
      </c>
      <c r="AL2" s="451" t="str">
        <f>AQ14</f>
        <v>ESTUDOS</v>
      </c>
      <c r="AM2" s="74">
        <f>AQ15</f>
        <v>0</v>
      </c>
      <c r="AN2" s="74">
        <f>AQ16</f>
        <v>0</v>
      </c>
      <c r="AO2" s="74"/>
      <c r="AP2" s="74"/>
      <c r="AQ2" s="71" t="s">
        <v>57</v>
      </c>
      <c r="AR2" s="97">
        <f t="shared" ref="AR2:AR16" si="0">AT2+AS2</f>
        <v>0</v>
      </c>
      <c r="AS2" s="58">
        <f>Z63</f>
        <v>0</v>
      </c>
      <c r="AT2" s="58">
        <f>J63</f>
        <v>0</v>
      </c>
    </row>
    <row r="3" spans="2:48">
      <c r="B3" s="60"/>
      <c r="C3" s="62"/>
      <c r="D3" s="79"/>
      <c r="E3" s="56"/>
      <c r="F3" s="76"/>
      <c r="G3" s="157">
        <f>IF(F3="MARCIA",E3,IF(F3="AMBOS",E3/2,0))</f>
        <v>0</v>
      </c>
      <c r="H3" s="158">
        <f>IF(F3="LUCIANO",E3,IF(F3="AMBOS",E3/2,0))</f>
        <v>0</v>
      </c>
      <c r="I3" s="91"/>
      <c r="J3" s="72">
        <f>IF($D3="ALIMENTAÇÃO",$H3,0)</f>
        <v>0</v>
      </c>
      <c r="K3" s="72">
        <f>IF($D3="ANIMAIS",$H3,0)</f>
        <v>0</v>
      </c>
      <c r="L3" s="72">
        <f>IF($D3="FILHO",$H3,0)</f>
        <v>0</v>
      </c>
      <c r="M3" s="72">
        <f>IF($D3="GASOLINA",$H3,0)</f>
        <v>0</v>
      </c>
      <c r="N3" s="72">
        <f>IF($D3="LAZER",$H3,0)</f>
        <v>0</v>
      </c>
      <c r="O3" s="72">
        <f>IF($D3="MANUT. IMÓVEL",$H3,0)</f>
        <v>0</v>
      </c>
      <c r="P3" s="72">
        <f>IF($D3="MANUT. VEICULAR",$H3,0)</f>
        <v>0</v>
      </c>
      <c r="Q3" s="72">
        <f>IF($D3="MÓVEIS",$H3,0)</f>
        <v>0</v>
      </c>
      <c r="R3" s="72">
        <f>IF($D3="OUTROS",$H3,0)</f>
        <v>0</v>
      </c>
      <c r="S3" s="72">
        <f>IF($D3="PLANOS",$H3,0)</f>
        <v>0</v>
      </c>
      <c r="T3" s="72">
        <f>IF($D3="SAÚDE",$H3,0)</f>
        <v>0</v>
      </c>
      <c r="U3" s="72">
        <f>IF($D3="TRANSPORTE",$H3,0)</f>
        <v>0</v>
      </c>
      <c r="V3" s="72">
        <f>IF($D3=V$2,$H3,0)</f>
        <v>0</v>
      </c>
      <c r="W3" s="72">
        <f t="shared" ref="W3:X18" si="1">IF($D3=W$2,$H3,0)</f>
        <v>0</v>
      </c>
      <c r="X3" s="72">
        <f t="shared" si="1"/>
        <v>0</v>
      </c>
      <c r="Z3" s="72">
        <f>IF($D3="ALIMENTAÇÃO",$G3,0)</f>
        <v>0</v>
      </c>
      <c r="AA3" s="72">
        <f>IF($D3="ANIMAIS",$G3,0)</f>
        <v>0</v>
      </c>
      <c r="AB3" s="72">
        <f>IF($D3="FILHO",$G3,0)</f>
        <v>0</v>
      </c>
      <c r="AC3" s="72">
        <f>IF($D3="GASOLINA",$G3,0)</f>
        <v>0</v>
      </c>
      <c r="AD3" s="72">
        <f>IF($D3="LAZER",$G3,0)</f>
        <v>0</v>
      </c>
      <c r="AE3" s="72">
        <f>IF($D3="MANUT. IMÓVEL",$G3,0)</f>
        <v>0</v>
      </c>
      <c r="AF3" s="72">
        <f>IF($D3="MANUT. VEICULAR",$G3,0)</f>
        <v>0</v>
      </c>
      <c r="AG3" s="72">
        <f>IF($D3="MÓVEIS",$G3,0)</f>
        <v>0</v>
      </c>
      <c r="AH3" s="72">
        <f>IF($D3="OUTROS",$G3,0)</f>
        <v>0</v>
      </c>
      <c r="AI3" s="72">
        <f>IF($D3="PLANOS",$G3,0)</f>
        <v>0</v>
      </c>
      <c r="AJ3" s="72">
        <f>IF($D3="SAÚDE",$G3,0)</f>
        <v>0</v>
      </c>
      <c r="AK3" s="72">
        <f>IF($D3="TRANSPORTE",$G3,0)</f>
        <v>0</v>
      </c>
      <c r="AL3" s="72">
        <f>IF($D3=AL$2,$G3,0)</f>
        <v>0</v>
      </c>
      <c r="AM3" s="72">
        <f t="shared" ref="AM3:AN18" si="2">IF($D3=AM$2,$G3,0)</f>
        <v>0</v>
      </c>
      <c r="AN3" s="72">
        <f t="shared" si="2"/>
        <v>0</v>
      </c>
      <c r="AQ3" s="71" t="s">
        <v>51</v>
      </c>
      <c r="AR3" s="97">
        <f t="shared" si="0"/>
        <v>0</v>
      </c>
      <c r="AS3" s="58">
        <f>AA63</f>
        <v>0</v>
      </c>
      <c r="AT3" s="58">
        <f>K63</f>
        <v>0</v>
      </c>
    </row>
    <row r="4" spans="2:48">
      <c r="B4" s="60"/>
      <c r="C4" s="62"/>
      <c r="D4" s="79"/>
      <c r="E4" s="56"/>
      <c r="F4" s="76"/>
      <c r="G4" s="77">
        <f t="shared" ref="G4:G12" si="3">IF(F4="MARCIA",E4,IF(F4="AMBOS",E4/2,0))</f>
        <v>0</v>
      </c>
      <c r="H4" s="78">
        <f t="shared" ref="H4:H12" si="4">IF(F4="LUCIANO",E4,IF(F4="AMBOS",E4/2,0))</f>
        <v>0</v>
      </c>
      <c r="I4" s="91"/>
      <c r="J4" s="72">
        <f>IF($D4="ALIMENTAÇÃO",$H4,0)</f>
        <v>0</v>
      </c>
      <c r="K4" s="72">
        <f>IF($D4="ANIMAIS",$H4,0)</f>
        <v>0</v>
      </c>
      <c r="L4" s="72">
        <f>IF($D4="FILHO",$H4,0)</f>
        <v>0</v>
      </c>
      <c r="M4" s="72">
        <f>IF($D4="GASOLINA",$H4,0)</f>
        <v>0</v>
      </c>
      <c r="N4" s="72">
        <f>IF($D4="LAZER",$H4,0)</f>
        <v>0</v>
      </c>
      <c r="O4" s="72">
        <f>IF($D4="MANUT. IMÓVEL",$H4,0)</f>
        <v>0</v>
      </c>
      <c r="P4" s="72">
        <f>IF($D4="MANUT. VEICULAR",$H4,0)</f>
        <v>0</v>
      </c>
      <c r="Q4" s="72">
        <f>IF($D4="MÓVEIS",$H4,0)</f>
        <v>0</v>
      </c>
      <c r="R4" s="72">
        <f>IF($D4="OUTROS",$H4,0)</f>
        <v>0</v>
      </c>
      <c r="S4" s="72">
        <f>IF($D4="PLANOS",$H4,0)</f>
        <v>0</v>
      </c>
      <c r="T4" s="72">
        <f>IF($D4="SAÚDE",$H4,0)</f>
        <v>0</v>
      </c>
      <c r="U4" s="72">
        <f>IF($D4="TRANSPORTE",$H4,0)</f>
        <v>0</v>
      </c>
      <c r="V4" s="72">
        <f t="shared" ref="V4:X35" si="5">IF($D4=V$2,$H4,0)</f>
        <v>0</v>
      </c>
      <c r="W4" s="72">
        <f t="shared" si="1"/>
        <v>0</v>
      </c>
      <c r="X4" s="72">
        <f t="shared" si="1"/>
        <v>0</v>
      </c>
      <c r="Z4" s="72">
        <f t="shared" ref="Z4:Z62" si="6">IF($D4="ALIMENTAÇÃO",$G4,0)</f>
        <v>0</v>
      </c>
      <c r="AA4" s="72">
        <f t="shared" ref="AA4:AA62" si="7">IF($D4="ANIMAIS",$G4,0)</f>
        <v>0</v>
      </c>
      <c r="AB4" s="72">
        <f t="shared" ref="AB4:AB62" si="8">IF($D4="FILHO",$G4,0)</f>
        <v>0</v>
      </c>
      <c r="AC4" s="72">
        <f t="shared" ref="AC4:AC62" si="9">IF($D4="GASOLINA",$G4,0)</f>
        <v>0</v>
      </c>
      <c r="AD4" s="72">
        <f t="shared" ref="AD4:AD62" si="10">IF($D4="LAZER",$G4,0)</f>
        <v>0</v>
      </c>
      <c r="AE4" s="72">
        <f t="shared" ref="AE4:AE62" si="11">IF($D4="MANUT. IMÓVEL",$G4,0)</f>
        <v>0</v>
      </c>
      <c r="AF4" s="72">
        <f t="shared" ref="AF4:AF62" si="12">IF($D4="MANUT. VEICULAR",$G4,0)</f>
        <v>0</v>
      </c>
      <c r="AG4" s="72">
        <f t="shared" ref="AG4:AG62" si="13">IF($D4="MÓVEIS",$G4,0)</f>
        <v>0</v>
      </c>
      <c r="AH4" s="72">
        <f t="shared" ref="AH4:AH62" si="14">IF($D4="OUTROS",$G4,0)</f>
        <v>0</v>
      </c>
      <c r="AI4" s="72">
        <f t="shared" ref="AI4:AI62" si="15">IF($D4="PLANOS",$G4,0)</f>
        <v>0</v>
      </c>
      <c r="AJ4" s="72">
        <f t="shared" ref="AJ4:AJ62" si="16">IF($D4="SAÚDE",$G4,0)</f>
        <v>0</v>
      </c>
      <c r="AK4" s="72">
        <f t="shared" ref="AK4:AK62" si="17">IF($D4="TRANSPORTE",$G4,0)</f>
        <v>0</v>
      </c>
      <c r="AL4" s="72">
        <f t="shared" ref="AL4:AN62" si="18">IF($D4=AL$2,$G4,0)</f>
        <v>0</v>
      </c>
      <c r="AM4" s="72">
        <f t="shared" si="2"/>
        <v>0</v>
      </c>
      <c r="AN4" s="72">
        <f t="shared" si="2"/>
        <v>0</v>
      </c>
      <c r="AQ4" s="71" t="s">
        <v>120</v>
      </c>
      <c r="AR4" s="97">
        <f t="shared" si="0"/>
        <v>0</v>
      </c>
      <c r="AS4" s="58">
        <f>AB63</f>
        <v>0</v>
      </c>
      <c r="AT4" s="58">
        <f>L63</f>
        <v>0</v>
      </c>
    </row>
    <row r="5" spans="2:48">
      <c r="B5" s="60"/>
      <c r="C5" s="62"/>
      <c r="D5" s="79"/>
      <c r="E5" s="56"/>
      <c r="F5" s="76"/>
      <c r="G5" s="77">
        <f t="shared" si="3"/>
        <v>0</v>
      </c>
      <c r="H5" s="78">
        <f t="shared" si="4"/>
        <v>0</v>
      </c>
      <c r="I5" s="91"/>
      <c r="J5" s="72">
        <f t="shared" ref="J5:J62" si="19">IF($D5="ALIMENTAÇÃO",$H5,0)</f>
        <v>0</v>
      </c>
      <c r="K5" s="72">
        <f t="shared" ref="K5:K62" si="20">IF($D5="ANIMAIS",$H5,0)</f>
        <v>0</v>
      </c>
      <c r="L5" s="72">
        <f t="shared" ref="L5:L62" si="21">IF($D5="FILHO",$H5,0)</f>
        <v>0</v>
      </c>
      <c r="M5" s="72">
        <f t="shared" ref="M5:M62" si="22">IF($D5="GASOLINA",$H5,0)</f>
        <v>0</v>
      </c>
      <c r="N5" s="72">
        <f t="shared" ref="N5:N62" si="23">IF($D5="LAZER",$H5,0)</f>
        <v>0</v>
      </c>
      <c r="O5" s="72">
        <f t="shared" ref="O5:O62" si="24">IF($D5="MANUT. IMÓVEL",$H5,0)</f>
        <v>0</v>
      </c>
      <c r="P5" s="72">
        <f t="shared" ref="P5:P62" si="25">IF($D5="MANUT. VEICULAR",$H5,0)</f>
        <v>0</v>
      </c>
      <c r="Q5" s="72">
        <f t="shared" ref="Q5:Q62" si="26">IF($D5="MÓVEIS",$H5,0)</f>
        <v>0</v>
      </c>
      <c r="R5" s="72">
        <f t="shared" ref="R5:R62" si="27">IF($D5="OUTROS",$H5,0)</f>
        <v>0</v>
      </c>
      <c r="S5" s="72">
        <f t="shared" ref="S5:S62" si="28">IF($D5="PLANOS",$H5,0)</f>
        <v>0</v>
      </c>
      <c r="T5" s="72">
        <f t="shared" ref="T5:T62" si="29">IF($D5="SAÚDE",$H5,0)</f>
        <v>0</v>
      </c>
      <c r="U5" s="72">
        <f t="shared" ref="U5:U62" si="30">IF($D5="TRANSPORTE",$H5,0)</f>
        <v>0</v>
      </c>
      <c r="V5" s="72">
        <f t="shared" si="5"/>
        <v>0</v>
      </c>
      <c r="W5" s="72">
        <f t="shared" si="1"/>
        <v>0</v>
      </c>
      <c r="X5" s="72">
        <f t="shared" si="1"/>
        <v>0</v>
      </c>
      <c r="Z5" s="72">
        <f t="shared" si="6"/>
        <v>0</v>
      </c>
      <c r="AA5" s="72">
        <f t="shared" si="7"/>
        <v>0</v>
      </c>
      <c r="AB5" s="72">
        <f t="shared" si="8"/>
        <v>0</v>
      </c>
      <c r="AC5" s="72">
        <f t="shared" si="9"/>
        <v>0</v>
      </c>
      <c r="AD5" s="72">
        <f t="shared" si="10"/>
        <v>0</v>
      </c>
      <c r="AE5" s="72">
        <f t="shared" si="11"/>
        <v>0</v>
      </c>
      <c r="AF5" s="72">
        <f t="shared" si="12"/>
        <v>0</v>
      </c>
      <c r="AG5" s="72">
        <f t="shared" si="13"/>
        <v>0</v>
      </c>
      <c r="AH5" s="72">
        <f t="shared" si="14"/>
        <v>0</v>
      </c>
      <c r="AI5" s="72">
        <f t="shared" si="15"/>
        <v>0</v>
      </c>
      <c r="AJ5" s="72">
        <f t="shared" si="16"/>
        <v>0</v>
      </c>
      <c r="AK5" s="72">
        <f t="shared" si="17"/>
        <v>0</v>
      </c>
      <c r="AL5" s="72">
        <f t="shared" si="18"/>
        <v>0</v>
      </c>
      <c r="AM5" s="72">
        <f t="shared" si="2"/>
        <v>0</v>
      </c>
      <c r="AN5" s="72">
        <f t="shared" si="2"/>
        <v>0</v>
      </c>
      <c r="AQ5" s="71" t="s">
        <v>36</v>
      </c>
      <c r="AR5" s="97">
        <f t="shared" si="0"/>
        <v>0</v>
      </c>
      <c r="AS5" s="58">
        <f>AC63</f>
        <v>0</v>
      </c>
      <c r="AT5" s="58">
        <f>M63</f>
        <v>0</v>
      </c>
    </row>
    <row r="6" spans="2:48">
      <c r="B6" s="60"/>
      <c r="C6" s="62"/>
      <c r="D6" s="79"/>
      <c r="E6" s="56"/>
      <c r="F6" s="76"/>
      <c r="G6" s="77">
        <f t="shared" si="3"/>
        <v>0</v>
      </c>
      <c r="H6" s="78">
        <f t="shared" si="4"/>
        <v>0</v>
      </c>
      <c r="I6" s="91"/>
      <c r="J6" s="72">
        <f t="shared" si="19"/>
        <v>0</v>
      </c>
      <c r="K6" s="72">
        <f t="shared" si="20"/>
        <v>0</v>
      </c>
      <c r="L6" s="72">
        <f t="shared" si="21"/>
        <v>0</v>
      </c>
      <c r="M6" s="72">
        <f t="shared" si="22"/>
        <v>0</v>
      </c>
      <c r="N6" s="72">
        <f t="shared" si="23"/>
        <v>0</v>
      </c>
      <c r="O6" s="72">
        <f t="shared" si="24"/>
        <v>0</v>
      </c>
      <c r="P6" s="72">
        <f t="shared" si="25"/>
        <v>0</v>
      </c>
      <c r="Q6" s="72">
        <f t="shared" si="26"/>
        <v>0</v>
      </c>
      <c r="R6" s="72">
        <f t="shared" si="27"/>
        <v>0</v>
      </c>
      <c r="S6" s="72">
        <f t="shared" si="28"/>
        <v>0</v>
      </c>
      <c r="T6" s="72">
        <f t="shared" si="29"/>
        <v>0</v>
      </c>
      <c r="U6" s="72">
        <f t="shared" si="30"/>
        <v>0</v>
      </c>
      <c r="V6" s="72">
        <f t="shared" si="5"/>
        <v>0</v>
      </c>
      <c r="W6" s="72">
        <f t="shared" si="1"/>
        <v>0</v>
      </c>
      <c r="X6" s="72">
        <f t="shared" si="1"/>
        <v>0</v>
      </c>
      <c r="Z6" s="72">
        <f t="shared" si="6"/>
        <v>0</v>
      </c>
      <c r="AA6" s="72">
        <f t="shared" si="7"/>
        <v>0</v>
      </c>
      <c r="AB6" s="72">
        <f t="shared" si="8"/>
        <v>0</v>
      </c>
      <c r="AC6" s="72">
        <f t="shared" si="9"/>
        <v>0</v>
      </c>
      <c r="AD6" s="72">
        <f t="shared" si="10"/>
        <v>0</v>
      </c>
      <c r="AE6" s="72">
        <f t="shared" si="11"/>
        <v>0</v>
      </c>
      <c r="AF6" s="72">
        <f t="shared" si="12"/>
        <v>0</v>
      </c>
      <c r="AG6" s="72">
        <f t="shared" si="13"/>
        <v>0</v>
      </c>
      <c r="AH6" s="72">
        <f t="shared" si="14"/>
        <v>0</v>
      </c>
      <c r="AI6" s="72">
        <f t="shared" si="15"/>
        <v>0</v>
      </c>
      <c r="AJ6" s="72">
        <f t="shared" si="16"/>
        <v>0</v>
      </c>
      <c r="AK6" s="72">
        <f t="shared" si="17"/>
        <v>0</v>
      </c>
      <c r="AL6" s="72">
        <f t="shared" si="18"/>
        <v>0</v>
      </c>
      <c r="AM6" s="72">
        <f t="shared" si="2"/>
        <v>0</v>
      </c>
      <c r="AN6" s="72">
        <f t="shared" si="2"/>
        <v>0</v>
      </c>
      <c r="AQ6" s="71" t="s">
        <v>56</v>
      </c>
      <c r="AR6" s="97">
        <f t="shared" si="0"/>
        <v>0</v>
      </c>
      <c r="AS6" s="58">
        <f>AD63</f>
        <v>0</v>
      </c>
      <c r="AT6" s="58">
        <f>N63</f>
        <v>0</v>
      </c>
    </row>
    <row r="7" spans="2:48">
      <c r="B7" s="60"/>
      <c r="C7" s="62"/>
      <c r="D7" s="79"/>
      <c r="E7" s="56"/>
      <c r="F7" s="76"/>
      <c r="G7" s="77">
        <f t="shared" si="3"/>
        <v>0</v>
      </c>
      <c r="H7" s="78">
        <f t="shared" si="4"/>
        <v>0</v>
      </c>
      <c r="I7" s="91"/>
      <c r="J7" s="72">
        <f t="shared" si="19"/>
        <v>0</v>
      </c>
      <c r="K7" s="72">
        <f t="shared" si="20"/>
        <v>0</v>
      </c>
      <c r="L7" s="72">
        <f t="shared" si="21"/>
        <v>0</v>
      </c>
      <c r="M7" s="72">
        <f t="shared" si="22"/>
        <v>0</v>
      </c>
      <c r="N7" s="72">
        <f t="shared" si="23"/>
        <v>0</v>
      </c>
      <c r="O7" s="72">
        <f t="shared" si="24"/>
        <v>0</v>
      </c>
      <c r="P7" s="72">
        <f t="shared" si="25"/>
        <v>0</v>
      </c>
      <c r="Q7" s="72">
        <f t="shared" si="26"/>
        <v>0</v>
      </c>
      <c r="R7" s="72">
        <f t="shared" si="27"/>
        <v>0</v>
      </c>
      <c r="S7" s="72">
        <f t="shared" si="28"/>
        <v>0</v>
      </c>
      <c r="T7" s="72">
        <f t="shared" si="29"/>
        <v>0</v>
      </c>
      <c r="U7" s="72">
        <f t="shared" si="30"/>
        <v>0</v>
      </c>
      <c r="V7" s="72">
        <f t="shared" si="5"/>
        <v>0</v>
      </c>
      <c r="W7" s="72">
        <f t="shared" si="1"/>
        <v>0</v>
      </c>
      <c r="X7" s="72">
        <f t="shared" si="1"/>
        <v>0</v>
      </c>
      <c r="Z7" s="72">
        <f t="shared" si="6"/>
        <v>0</v>
      </c>
      <c r="AA7" s="72">
        <f t="shared" si="7"/>
        <v>0</v>
      </c>
      <c r="AB7" s="72">
        <f t="shared" si="8"/>
        <v>0</v>
      </c>
      <c r="AC7" s="72">
        <f t="shared" si="9"/>
        <v>0</v>
      </c>
      <c r="AD7" s="72">
        <f t="shared" si="10"/>
        <v>0</v>
      </c>
      <c r="AE7" s="72">
        <f t="shared" si="11"/>
        <v>0</v>
      </c>
      <c r="AF7" s="72">
        <f t="shared" si="12"/>
        <v>0</v>
      </c>
      <c r="AG7" s="72">
        <f t="shared" si="13"/>
        <v>0</v>
      </c>
      <c r="AH7" s="72">
        <f t="shared" si="14"/>
        <v>0</v>
      </c>
      <c r="AI7" s="72">
        <f t="shared" si="15"/>
        <v>0</v>
      </c>
      <c r="AJ7" s="72">
        <f t="shared" si="16"/>
        <v>0</v>
      </c>
      <c r="AK7" s="72">
        <f t="shared" si="17"/>
        <v>0</v>
      </c>
      <c r="AL7" s="72">
        <f t="shared" si="18"/>
        <v>0</v>
      </c>
      <c r="AM7" s="72">
        <f t="shared" si="2"/>
        <v>0</v>
      </c>
      <c r="AN7" s="72">
        <f t="shared" si="2"/>
        <v>0</v>
      </c>
      <c r="AQ7" s="71" t="s">
        <v>53</v>
      </c>
      <c r="AR7" s="97">
        <f t="shared" si="0"/>
        <v>0</v>
      </c>
      <c r="AS7" s="58">
        <f>AE63</f>
        <v>0</v>
      </c>
      <c r="AT7" s="58">
        <f>O63</f>
        <v>0</v>
      </c>
    </row>
    <row r="8" spans="2:48">
      <c r="B8" s="60"/>
      <c r="C8" s="62"/>
      <c r="D8" s="79"/>
      <c r="E8" s="56"/>
      <c r="F8" s="76"/>
      <c r="G8" s="77">
        <f t="shared" si="3"/>
        <v>0</v>
      </c>
      <c r="H8" s="78">
        <f t="shared" si="4"/>
        <v>0</v>
      </c>
      <c r="I8" s="91"/>
      <c r="J8" s="72">
        <f t="shared" si="19"/>
        <v>0</v>
      </c>
      <c r="K8" s="72">
        <f t="shared" si="20"/>
        <v>0</v>
      </c>
      <c r="L8" s="72">
        <f t="shared" si="21"/>
        <v>0</v>
      </c>
      <c r="M8" s="72">
        <f t="shared" si="22"/>
        <v>0</v>
      </c>
      <c r="N8" s="72">
        <f t="shared" si="23"/>
        <v>0</v>
      </c>
      <c r="O8" s="72">
        <f t="shared" si="24"/>
        <v>0</v>
      </c>
      <c r="P8" s="72">
        <f t="shared" si="25"/>
        <v>0</v>
      </c>
      <c r="Q8" s="72">
        <f t="shared" si="26"/>
        <v>0</v>
      </c>
      <c r="R8" s="72">
        <f t="shared" si="27"/>
        <v>0</v>
      </c>
      <c r="S8" s="72">
        <f t="shared" si="28"/>
        <v>0</v>
      </c>
      <c r="T8" s="72">
        <f t="shared" si="29"/>
        <v>0</v>
      </c>
      <c r="U8" s="72">
        <f t="shared" si="30"/>
        <v>0</v>
      </c>
      <c r="V8" s="72">
        <f t="shared" si="5"/>
        <v>0</v>
      </c>
      <c r="W8" s="72">
        <f t="shared" si="1"/>
        <v>0</v>
      </c>
      <c r="X8" s="72">
        <f t="shared" si="1"/>
        <v>0</v>
      </c>
      <c r="Z8" s="72">
        <f t="shared" si="6"/>
        <v>0</v>
      </c>
      <c r="AA8" s="72">
        <f t="shared" si="7"/>
        <v>0</v>
      </c>
      <c r="AB8" s="72">
        <f t="shared" si="8"/>
        <v>0</v>
      </c>
      <c r="AC8" s="72">
        <f t="shared" si="9"/>
        <v>0</v>
      </c>
      <c r="AD8" s="72">
        <f t="shared" si="10"/>
        <v>0</v>
      </c>
      <c r="AE8" s="72">
        <f t="shared" si="11"/>
        <v>0</v>
      </c>
      <c r="AF8" s="72">
        <f t="shared" si="12"/>
        <v>0</v>
      </c>
      <c r="AG8" s="72">
        <f t="shared" si="13"/>
        <v>0</v>
      </c>
      <c r="AH8" s="72">
        <f t="shared" si="14"/>
        <v>0</v>
      </c>
      <c r="AI8" s="72">
        <f t="shared" si="15"/>
        <v>0</v>
      </c>
      <c r="AJ8" s="72">
        <f t="shared" si="16"/>
        <v>0</v>
      </c>
      <c r="AK8" s="72">
        <f t="shared" si="17"/>
        <v>0</v>
      </c>
      <c r="AL8" s="72">
        <f t="shared" si="18"/>
        <v>0</v>
      </c>
      <c r="AM8" s="72">
        <f t="shared" si="2"/>
        <v>0</v>
      </c>
      <c r="AN8" s="72">
        <f t="shared" si="2"/>
        <v>0</v>
      </c>
      <c r="AQ8" s="71" t="s">
        <v>54</v>
      </c>
      <c r="AR8" s="97">
        <f t="shared" si="0"/>
        <v>0</v>
      </c>
      <c r="AS8" s="58">
        <f>AF63</f>
        <v>0</v>
      </c>
      <c r="AT8" s="58">
        <f>P63</f>
        <v>0</v>
      </c>
    </row>
    <row r="9" spans="2:48">
      <c r="B9" s="60"/>
      <c r="C9" s="62"/>
      <c r="D9" s="79"/>
      <c r="E9" s="56"/>
      <c r="F9" s="76"/>
      <c r="G9" s="77">
        <f t="shared" si="3"/>
        <v>0</v>
      </c>
      <c r="H9" s="78">
        <f t="shared" si="4"/>
        <v>0</v>
      </c>
      <c r="I9" s="91"/>
      <c r="J9" s="72">
        <f t="shared" si="19"/>
        <v>0</v>
      </c>
      <c r="K9" s="72">
        <f t="shared" si="20"/>
        <v>0</v>
      </c>
      <c r="L9" s="72">
        <f t="shared" si="21"/>
        <v>0</v>
      </c>
      <c r="M9" s="72">
        <f t="shared" si="22"/>
        <v>0</v>
      </c>
      <c r="N9" s="72">
        <f t="shared" si="23"/>
        <v>0</v>
      </c>
      <c r="O9" s="72">
        <f t="shared" si="24"/>
        <v>0</v>
      </c>
      <c r="P9" s="72">
        <f t="shared" si="25"/>
        <v>0</v>
      </c>
      <c r="Q9" s="72">
        <f t="shared" si="26"/>
        <v>0</v>
      </c>
      <c r="R9" s="72">
        <f t="shared" si="27"/>
        <v>0</v>
      </c>
      <c r="S9" s="72">
        <f t="shared" si="28"/>
        <v>0</v>
      </c>
      <c r="T9" s="72">
        <f t="shared" si="29"/>
        <v>0</v>
      </c>
      <c r="U9" s="72">
        <f t="shared" si="30"/>
        <v>0</v>
      </c>
      <c r="V9" s="72">
        <f t="shared" si="5"/>
        <v>0</v>
      </c>
      <c r="W9" s="72">
        <f t="shared" si="1"/>
        <v>0</v>
      </c>
      <c r="X9" s="72">
        <f t="shared" si="1"/>
        <v>0</v>
      </c>
      <c r="Z9" s="72">
        <f t="shared" si="6"/>
        <v>0</v>
      </c>
      <c r="AA9" s="72">
        <f t="shared" si="7"/>
        <v>0</v>
      </c>
      <c r="AB9" s="72">
        <f t="shared" si="8"/>
        <v>0</v>
      </c>
      <c r="AC9" s="72">
        <f t="shared" si="9"/>
        <v>0</v>
      </c>
      <c r="AD9" s="72">
        <f t="shared" si="10"/>
        <v>0</v>
      </c>
      <c r="AE9" s="72">
        <f t="shared" si="11"/>
        <v>0</v>
      </c>
      <c r="AF9" s="72">
        <f t="shared" si="12"/>
        <v>0</v>
      </c>
      <c r="AG9" s="72">
        <f t="shared" si="13"/>
        <v>0</v>
      </c>
      <c r="AH9" s="72">
        <f t="shared" si="14"/>
        <v>0</v>
      </c>
      <c r="AI9" s="72">
        <f t="shared" si="15"/>
        <v>0</v>
      </c>
      <c r="AJ9" s="72">
        <f t="shared" si="16"/>
        <v>0</v>
      </c>
      <c r="AK9" s="72">
        <f t="shared" si="17"/>
        <v>0</v>
      </c>
      <c r="AL9" s="72">
        <f t="shared" si="18"/>
        <v>0</v>
      </c>
      <c r="AM9" s="72">
        <f t="shared" si="2"/>
        <v>0</v>
      </c>
      <c r="AN9" s="72">
        <f t="shared" si="2"/>
        <v>0</v>
      </c>
      <c r="AQ9" s="71" t="s">
        <v>59</v>
      </c>
      <c r="AR9" s="97">
        <f t="shared" si="0"/>
        <v>0</v>
      </c>
      <c r="AS9" s="58">
        <f>AG63</f>
        <v>0</v>
      </c>
      <c r="AT9" s="58">
        <f>Q63</f>
        <v>0</v>
      </c>
    </row>
    <row r="10" spans="2:48">
      <c r="B10" s="60"/>
      <c r="C10" s="62"/>
      <c r="D10" s="79"/>
      <c r="E10" s="56"/>
      <c r="F10" s="76"/>
      <c r="G10" s="77">
        <f t="shared" si="3"/>
        <v>0</v>
      </c>
      <c r="H10" s="78">
        <f t="shared" si="4"/>
        <v>0</v>
      </c>
      <c r="I10" s="91"/>
      <c r="J10" s="72">
        <f t="shared" si="19"/>
        <v>0</v>
      </c>
      <c r="K10" s="72">
        <f t="shared" si="20"/>
        <v>0</v>
      </c>
      <c r="L10" s="72">
        <f t="shared" si="21"/>
        <v>0</v>
      </c>
      <c r="M10" s="72">
        <f t="shared" si="22"/>
        <v>0</v>
      </c>
      <c r="N10" s="72">
        <f t="shared" si="23"/>
        <v>0</v>
      </c>
      <c r="O10" s="72">
        <f t="shared" si="24"/>
        <v>0</v>
      </c>
      <c r="P10" s="72">
        <f t="shared" si="25"/>
        <v>0</v>
      </c>
      <c r="Q10" s="72">
        <f t="shared" si="26"/>
        <v>0</v>
      </c>
      <c r="R10" s="72">
        <f t="shared" si="27"/>
        <v>0</v>
      </c>
      <c r="S10" s="72">
        <f t="shared" si="28"/>
        <v>0</v>
      </c>
      <c r="T10" s="72">
        <f t="shared" si="29"/>
        <v>0</v>
      </c>
      <c r="U10" s="72">
        <f t="shared" si="30"/>
        <v>0</v>
      </c>
      <c r="V10" s="72">
        <f t="shared" si="5"/>
        <v>0</v>
      </c>
      <c r="W10" s="72">
        <f t="shared" si="1"/>
        <v>0</v>
      </c>
      <c r="X10" s="72">
        <f t="shared" si="1"/>
        <v>0</v>
      </c>
      <c r="Z10" s="72">
        <f t="shared" si="6"/>
        <v>0</v>
      </c>
      <c r="AA10" s="72">
        <f t="shared" si="7"/>
        <v>0</v>
      </c>
      <c r="AB10" s="72">
        <f t="shared" si="8"/>
        <v>0</v>
      </c>
      <c r="AC10" s="72">
        <f t="shared" si="9"/>
        <v>0</v>
      </c>
      <c r="AD10" s="72">
        <f t="shared" si="10"/>
        <v>0</v>
      </c>
      <c r="AE10" s="72">
        <f t="shared" si="11"/>
        <v>0</v>
      </c>
      <c r="AF10" s="72">
        <f t="shared" si="12"/>
        <v>0</v>
      </c>
      <c r="AG10" s="72">
        <f t="shared" si="13"/>
        <v>0</v>
      </c>
      <c r="AH10" s="72">
        <f t="shared" si="14"/>
        <v>0</v>
      </c>
      <c r="AI10" s="72">
        <f t="shared" si="15"/>
        <v>0</v>
      </c>
      <c r="AJ10" s="72">
        <f t="shared" si="16"/>
        <v>0</v>
      </c>
      <c r="AK10" s="72">
        <f t="shared" si="17"/>
        <v>0</v>
      </c>
      <c r="AL10" s="72">
        <f t="shared" si="18"/>
        <v>0</v>
      </c>
      <c r="AM10" s="72">
        <f t="shared" si="2"/>
        <v>0</v>
      </c>
      <c r="AN10" s="72">
        <f t="shared" si="2"/>
        <v>0</v>
      </c>
      <c r="AQ10" s="71" t="s">
        <v>40</v>
      </c>
      <c r="AR10" s="97">
        <f t="shared" si="0"/>
        <v>0</v>
      </c>
      <c r="AS10" s="58">
        <f>AH63</f>
        <v>0</v>
      </c>
      <c r="AT10" s="58">
        <f>R63</f>
        <v>0</v>
      </c>
    </row>
    <row r="11" spans="2:48">
      <c r="B11" s="60"/>
      <c r="C11" s="57"/>
      <c r="D11" s="79"/>
      <c r="E11" s="56"/>
      <c r="F11" s="76"/>
      <c r="G11" s="77">
        <f t="shared" si="3"/>
        <v>0</v>
      </c>
      <c r="H11" s="78">
        <f t="shared" si="4"/>
        <v>0</v>
      </c>
      <c r="I11" s="91"/>
      <c r="J11" s="72">
        <f t="shared" si="19"/>
        <v>0</v>
      </c>
      <c r="K11" s="72">
        <f t="shared" si="20"/>
        <v>0</v>
      </c>
      <c r="L11" s="72">
        <f t="shared" si="21"/>
        <v>0</v>
      </c>
      <c r="M11" s="72">
        <f t="shared" si="22"/>
        <v>0</v>
      </c>
      <c r="N11" s="72">
        <f t="shared" si="23"/>
        <v>0</v>
      </c>
      <c r="O11" s="72">
        <f t="shared" si="24"/>
        <v>0</v>
      </c>
      <c r="P11" s="72">
        <f t="shared" si="25"/>
        <v>0</v>
      </c>
      <c r="Q11" s="72">
        <f t="shared" si="26"/>
        <v>0</v>
      </c>
      <c r="R11" s="72">
        <f t="shared" si="27"/>
        <v>0</v>
      </c>
      <c r="S11" s="72">
        <f t="shared" si="28"/>
        <v>0</v>
      </c>
      <c r="T11" s="72">
        <f t="shared" si="29"/>
        <v>0</v>
      </c>
      <c r="U11" s="72">
        <f t="shared" si="30"/>
        <v>0</v>
      </c>
      <c r="V11" s="72">
        <f t="shared" si="5"/>
        <v>0</v>
      </c>
      <c r="W11" s="72">
        <f t="shared" si="1"/>
        <v>0</v>
      </c>
      <c r="X11" s="72">
        <f t="shared" si="1"/>
        <v>0</v>
      </c>
      <c r="Z11" s="72">
        <f t="shared" si="6"/>
        <v>0</v>
      </c>
      <c r="AA11" s="72">
        <f t="shared" si="7"/>
        <v>0</v>
      </c>
      <c r="AB11" s="72">
        <f t="shared" si="8"/>
        <v>0</v>
      </c>
      <c r="AC11" s="72">
        <f t="shared" si="9"/>
        <v>0</v>
      </c>
      <c r="AD11" s="72">
        <f t="shared" si="10"/>
        <v>0</v>
      </c>
      <c r="AE11" s="72">
        <f t="shared" si="11"/>
        <v>0</v>
      </c>
      <c r="AF11" s="72">
        <f t="shared" si="12"/>
        <v>0</v>
      </c>
      <c r="AG11" s="72">
        <f t="shared" si="13"/>
        <v>0</v>
      </c>
      <c r="AH11" s="72">
        <f t="shared" si="14"/>
        <v>0</v>
      </c>
      <c r="AI11" s="72">
        <f t="shared" si="15"/>
        <v>0</v>
      </c>
      <c r="AJ11" s="72">
        <f t="shared" si="16"/>
        <v>0</v>
      </c>
      <c r="AK11" s="72">
        <f t="shared" si="17"/>
        <v>0</v>
      </c>
      <c r="AL11" s="72">
        <f t="shared" si="18"/>
        <v>0</v>
      </c>
      <c r="AM11" s="72">
        <f t="shared" si="2"/>
        <v>0</v>
      </c>
      <c r="AN11" s="72">
        <f t="shared" si="2"/>
        <v>0</v>
      </c>
      <c r="AQ11" s="71" t="s">
        <v>55</v>
      </c>
      <c r="AR11" s="97">
        <f t="shared" si="0"/>
        <v>0</v>
      </c>
      <c r="AS11" s="58">
        <f>AI63</f>
        <v>0</v>
      </c>
      <c r="AT11" s="58">
        <f>S63</f>
        <v>0</v>
      </c>
    </row>
    <row r="12" spans="2:48">
      <c r="B12" s="60"/>
      <c r="C12" s="62"/>
      <c r="D12" s="79"/>
      <c r="E12" s="56"/>
      <c r="F12" s="76"/>
      <c r="G12" s="77">
        <f t="shared" si="3"/>
        <v>0</v>
      </c>
      <c r="H12" s="78">
        <f t="shared" si="4"/>
        <v>0</v>
      </c>
      <c r="I12" s="91"/>
      <c r="J12" s="72">
        <f t="shared" si="19"/>
        <v>0</v>
      </c>
      <c r="K12" s="72">
        <f t="shared" si="20"/>
        <v>0</v>
      </c>
      <c r="L12" s="72">
        <f t="shared" si="21"/>
        <v>0</v>
      </c>
      <c r="M12" s="72">
        <f t="shared" si="22"/>
        <v>0</v>
      </c>
      <c r="N12" s="72">
        <f t="shared" si="23"/>
        <v>0</v>
      </c>
      <c r="O12" s="72">
        <f t="shared" si="24"/>
        <v>0</v>
      </c>
      <c r="P12" s="72">
        <f t="shared" si="25"/>
        <v>0</v>
      </c>
      <c r="Q12" s="72">
        <f t="shared" si="26"/>
        <v>0</v>
      </c>
      <c r="R12" s="72">
        <f t="shared" si="27"/>
        <v>0</v>
      </c>
      <c r="S12" s="72">
        <f t="shared" si="28"/>
        <v>0</v>
      </c>
      <c r="T12" s="72">
        <f t="shared" si="29"/>
        <v>0</v>
      </c>
      <c r="U12" s="72">
        <f t="shared" si="30"/>
        <v>0</v>
      </c>
      <c r="V12" s="72">
        <f t="shared" si="5"/>
        <v>0</v>
      </c>
      <c r="W12" s="72">
        <f t="shared" si="1"/>
        <v>0</v>
      </c>
      <c r="X12" s="72">
        <f t="shared" si="1"/>
        <v>0</v>
      </c>
      <c r="Z12" s="72">
        <f t="shared" si="6"/>
        <v>0</v>
      </c>
      <c r="AA12" s="72">
        <f t="shared" si="7"/>
        <v>0</v>
      </c>
      <c r="AB12" s="72">
        <f t="shared" si="8"/>
        <v>0</v>
      </c>
      <c r="AC12" s="72">
        <f t="shared" si="9"/>
        <v>0</v>
      </c>
      <c r="AD12" s="72">
        <f t="shared" si="10"/>
        <v>0</v>
      </c>
      <c r="AE12" s="72">
        <f t="shared" si="11"/>
        <v>0</v>
      </c>
      <c r="AF12" s="72">
        <f t="shared" si="12"/>
        <v>0</v>
      </c>
      <c r="AG12" s="72">
        <f t="shared" si="13"/>
        <v>0</v>
      </c>
      <c r="AH12" s="72">
        <f t="shared" si="14"/>
        <v>0</v>
      </c>
      <c r="AI12" s="72">
        <f t="shared" si="15"/>
        <v>0</v>
      </c>
      <c r="AJ12" s="72">
        <f t="shared" si="16"/>
        <v>0</v>
      </c>
      <c r="AK12" s="72">
        <f t="shared" si="17"/>
        <v>0</v>
      </c>
      <c r="AL12" s="72">
        <f t="shared" si="18"/>
        <v>0</v>
      </c>
      <c r="AM12" s="72">
        <f t="shared" si="2"/>
        <v>0</v>
      </c>
      <c r="AN12" s="72">
        <f t="shared" si="2"/>
        <v>0</v>
      </c>
      <c r="AQ12" s="71" t="s">
        <v>58</v>
      </c>
      <c r="AR12" s="97">
        <f t="shared" si="0"/>
        <v>0</v>
      </c>
      <c r="AS12" s="58">
        <f>AJ63</f>
        <v>0</v>
      </c>
      <c r="AT12" s="58">
        <f>T63</f>
        <v>0</v>
      </c>
    </row>
    <row r="13" spans="2:48">
      <c r="B13" s="60"/>
      <c r="C13" s="62"/>
      <c r="D13" s="79"/>
      <c r="E13" s="56"/>
      <c r="F13" s="76"/>
      <c r="G13" s="77">
        <f t="shared" ref="G13:G16" si="31">IF(F13="MARCIA",E13,IF(F13="AMBOS",E13/2,0))</f>
        <v>0</v>
      </c>
      <c r="H13" s="78">
        <f t="shared" ref="H13:H16" si="32">IF(F13="LUCIANO",E13,IF(F13="AMBOS",E13/2,0))</f>
        <v>0</v>
      </c>
      <c r="I13" s="91"/>
      <c r="J13" s="72">
        <f t="shared" si="19"/>
        <v>0</v>
      </c>
      <c r="K13" s="72">
        <f t="shared" si="20"/>
        <v>0</v>
      </c>
      <c r="L13" s="72">
        <f t="shared" si="21"/>
        <v>0</v>
      </c>
      <c r="M13" s="72">
        <f t="shared" si="22"/>
        <v>0</v>
      </c>
      <c r="N13" s="72">
        <f t="shared" si="23"/>
        <v>0</v>
      </c>
      <c r="O13" s="72">
        <f t="shared" si="24"/>
        <v>0</v>
      </c>
      <c r="P13" s="72">
        <f t="shared" si="25"/>
        <v>0</v>
      </c>
      <c r="Q13" s="72">
        <f t="shared" si="26"/>
        <v>0</v>
      </c>
      <c r="R13" s="72">
        <f t="shared" si="27"/>
        <v>0</v>
      </c>
      <c r="S13" s="72">
        <f t="shared" si="28"/>
        <v>0</v>
      </c>
      <c r="T13" s="72">
        <f t="shared" si="29"/>
        <v>0</v>
      </c>
      <c r="U13" s="72">
        <f t="shared" si="30"/>
        <v>0</v>
      </c>
      <c r="V13" s="72">
        <f t="shared" si="5"/>
        <v>0</v>
      </c>
      <c r="W13" s="72">
        <f t="shared" si="1"/>
        <v>0</v>
      </c>
      <c r="X13" s="72">
        <f t="shared" si="1"/>
        <v>0</v>
      </c>
      <c r="Z13" s="72">
        <f t="shared" si="6"/>
        <v>0</v>
      </c>
      <c r="AA13" s="72">
        <f t="shared" si="7"/>
        <v>0</v>
      </c>
      <c r="AB13" s="72">
        <f t="shared" si="8"/>
        <v>0</v>
      </c>
      <c r="AC13" s="72">
        <f t="shared" si="9"/>
        <v>0</v>
      </c>
      <c r="AD13" s="72">
        <f t="shared" si="10"/>
        <v>0</v>
      </c>
      <c r="AE13" s="72">
        <f t="shared" si="11"/>
        <v>0</v>
      </c>
      <c r="AF13" s="72">
        <f t="shared" si="12"/>
        <v>0</v>
      </c>
      <c r="AG13" s="72">
        <f t="shared" si="13"/>
        <v>0</v>
      </c>
      <c r="AH13" s="72">
        <f t="shared" si="14"/>
        <v>0</v>
      </c>
      <c r="AI13" s="72">
        <f t="shared" si="15"/>
        <v>0</v>
      </c>
      <c r="AJ13" s="72">
        <f t="shared" si="16"/>
        <v>0</v>
      </c>
      <c r="AK13" s="72">
        <f t="shared" si="17"/>
        <v>0</v>
      </c>
      <c r="AL13" s="72">
        <f t="shared" si="18"/>
        <v>0</v>
      </c>
      <c r="AM13" s="72">
        <f t="shared" si="2"/>
        <v>0</v>
      </c>
      <c r="AN13" s="72">
        <f t="shared" si="2"/>
        <v>0</v>
      </c>
      <c r="AQ13" s="71" t="s">
        <v>52</v>
      </c>
      <c r="AR13" s="97">
        <f t="shared" si="0"/>
        <v>0</v>
      </c>
      <c r="AS13" s="58">
        <f>AK63</f>
        <v>0</v>
      </c>
      <c r="AT13" s="58">
        <f>U63</f>
        <v>0</v>
      </c>
    </row>
    <row r="14" spans="2:48" ht="16.5" customHeight="1">
      <c r="B14" s="60"/>
      <c r="C14" s="62"/>
      <c r="D14" s="79"/>
      <c r="E14" s="56"/>
      <c r="F14" s="76"/>
      <c r="G14" s="77">
        <f t="shared" si="31"/>
        <v>0</v>
      </c>
      <c r="H14" s="78">
        <f t="shared" si="32"/>
        <v>0</v>
      </c>
      <c r="I14" s="91"/>
      <c r="J14" s="72">
        <f t="shared" si="19"/>
        <v>0</v>
      </c>
      <c r="K14" s="72">
        <f t="shared" si="20"/>
        <v>0</v>
      </c>
      <c r="L14" s="72">
        <f t="shared" si="21"/>
        <v>0</v>
      </c>
      <c r="M14" s="72">
        <f t="shared" si="22"/>
        <v>0</v>
      </c>
      <c r="N14" s="72">
        <f t="shared" si="23"/>
        <v>0</v>
      </c>
      <c r="O14" s="72">
        <f t="shared" si="24"/>
        <v>0</v>
      </c>
      <c r="P14" s="72">
        <f t="shared" si="25"/>
        <v>0</v>
      </c>
      <c r="Q14" s="72">
        <f t="shared" si="26"/>
        <v>0</v>
      </c>
      <c r="R14" s="72">
        <f t="shared" si="27"/>
        <v>0</v>
      </c>
      <c r="S14" s="72">
        <f t="shared" si="28"/>
        <v>0</v>
      </c>
      <c r="T14" s="72">
        <f t="shared" si="29"/>
        <v>0</v>
      </c>
      <c r="U14" s="72">
        <f t="shared" si="30"/>
        <v>0</v>
      </c>
      <c r="V14" s="72">
        <f t="shared" si="5"/>
        <v>0</v>
      </c>
      <c r="W14" s="72">
        <f t="shared" si="1"/>
        <v>0</v>
      </c>
      <c r="X14" s="72">
        <f t="shared" si="1"/>
        <v>0</v>
      </c>
      <c r="Z14" s="72">
        <f t="shared" si="6"/>
        <v>0</v>
      </c>
      <c r="AA14" s="72">
        <f t="shared" si="7"/>
        <v>0</v>
      </c>
      <c r="AB14" s="72">
        <f t="shared" si="8"/>
        <v>0</v>
      </c>
      <c r="AC14" s="72">
        <f t="shared" si="9"/>
        <v>0</v>
      </c>
      <c r="AD14" s="72">
        <f t="shared" si="10"/>
        <v>0</v>
      </c>
      <c r="AE14" s="72">
        <f t="shared" si="11"/>
        <v>0</v>
      </c>
      <c r="AF14" s="72">
        <f t="shared" si="12"/>
        <v>0</v>
      </c>
      <c r="AG14" s="72">
        <f t="shared" si="13"/>
        <v>0</v>
      </c>
      <c r="AH14" s="72">
        <f t="shared" si="14"/>
        <v>0</v>
      </c>
      <c r="AI14" s="72">
        <f t="shared" si="15"/>
        <v>0</v>
      </c>
      <c r="AJ14" s="72">
        <f t="shared" si="16"/>
        <v>0</v>
      </c>
      <c r="AK14" s="72">
        <f t="shared" si="17"/>
        <v>0</v>
      </c>
      <c r="AL14" s="72">
        <f t="shared" si="18"/>
        <v>0</v>
      </c>
      <c r="AM14" s="72">
        <f t="shared" si="2"/>
        <v>0</v>
      </c>
      <c r="AN14" s="72">
        <f t="shared" si="2"/>
        <v>0</v>
      </c>
      <c r="AQ14" s="71" t="s">
        <v>143</v>
      </c>
      <c r="AR14" s="97">
        <f t="shared" si="0"/>
        <v>0</v>
      </c>
      <c r="AS14" s="58">
        <f>AL63</f>
        <v>0</v>
      </c>
      <c r="AT14" s="58">
        <f>V63</f>
        <v>0</v>
      </c>
    </row>
    <row r="15" spans="2:48" ht="16.5" customHeight="1">
      <c r="B15" s="60"/>
      <c r="C15" s="62"/>
      <c r="D15" s="79"/>
      <c r="E15" s="56"/>
      <c r="F15" s="76"/>
      <c r="G15" s="77">
        <f t="shared" si="31"/>
        <v>0</v>
      </c>
      <c r="H15" s="78">
        <f t="shared" si="32"/>
        <v>0</v>
      </c>
      <c r="I15" s="91"/>
      <c r="J15" s="72">
        <f t="shared" si="19"/>
        <v>0</v>
      </c>
      <c r="K15" s="72">
        <f t="shared" si="20"/>
        <v>0</v>
      </c>
      <c r="L15" s="72">
        <f t="shared" si="21"/>
        <v>0</v>
      </c>
      <c r="M15" s="72">
        <f t="shared" si="22"/>
        <v>0</v>
      </c>
      <c r="N15" s="72">
        <f t="shared" si="23"/>
        <v>0</v>
      </c>
      <c r="O15" s="72">
        <f t="shared" si="24"/>
        <v>0</v>
      </c>
      <c r="P15" s="72">
        <f t="shared" si="25"/>
        <v>0</v>
      </c>
      <c r="Q15" s="72">
        <f t="shared" si="26"/>
        <v>0</v>
      </c>
      <c r="R15" s="72">
        <f t="shared" si="27"/>
        <v>0</v>
      </c>
      <c r="S15" s="72">
        <f t="shared" si="28"/>
        <v>0</v>
      </c>
      <c r="T15" s="72">
        <f t="shared" si="29"/>
        <v>0</v>
      </c>
      <c r="U15" s="72">
        <f t="shared" si="30"/>
        <v>0</v>
      </c>
      <c r="V15" s="72">
        <f t="shared" si="5"/>
        <v>0</v>
      </c>
      <c r="W15" s="72">
        <f t="shared" si="1"/>
        <v>0</v>
      </c>
      <c r="X15" s="72">
        <f t="shared" si="1"/>
        <v>0</v>
      </c>
      <c r="Z15" s="72">
        <f t="shared" si="6"/>
        <v>0</v>
      </c>
      <c r="AA15" s="72">
        <f t="shared" si="7"/>
        <v>0</v>
      </c>
      <c r="AB15" s="72">
        <f t="shared" si="8"/>
        <v>0</v>
      </c>
      <c r="AC15" s="72">
        <f t="shared" si="9"/>
        <v>0</v>
      </c>
      <c r="AD15" s="72">
        <f t="shared" si="10"/>
        <v>0</v>
      </c>
      <c r="AE15" s="72">
        <f t="shared" si="11"/>
        <v>0</v>
      </c>
      <c r="AF15" s="72">
        <f t="shared" si="12"/>
        <v>0</v>
      </c>
      <c r="AG15" s="72">
        <f t="shared" si="13"/>
        <v>0</v>
      </c>
      <c r="AH15" s="72">
        <f t="shared" si="14"/>
        <v>0</v>
      </c>
      <c r="AI15" s="72">
        <f t="shared" si="15"/>
        <v>0</v>
      </c>
      <c r="AJ15" s="72">
        <f t="shared" si="16"/>
        <v>0</v>
      </c>
      <c r="AK15" s="72">
        <f t="shared" si="17"/>
        <v>0</v>
      </c>
      <c r="AL15" s="72">
        <f t="shared" si="18"/>
        <v>0</v>
      </c>
      <c r="AM15" s="72">
        <f t="shared" si="2"/>
        <v>0</v>
      </c>
      <c r="AN15" s="72">
        <f t="shared" si="2"/>
        <v>0</v>
      </c>
      <c r="AQ15" s="71"/>
      <c r="AR15" s="97">
        <f t="shared" si="0"/>
        <v>0</v>
      </c>
      <c r="AS15" s="58">
        <f>AM63</f>
        <v>0</v>
      </c>
      <c r="AT15" s="58">
        <f>W63</f>
        <v>0</v>
      </c>
    </row>
    <row r="16" spans="2:48" ht="16.5" customHeight="1">
      <c r="B16" s="60"/>
      <c r="C16" s="62"/>
      <c r="D16" s="79"/>
      <c r="E16" s="56"/>
      <c r="F16" s="76"/>
      <c r="G16" s="77">
        <f t="shared" si="31"/>
        <v>0</v>
      </c>
      <c r="H16" s="78">
        <f t="shared" si="32"/>
        <v>0</v>
      </c>
      <c r="I16" s="91"/>
      <c r="J16" s="72">
        <f t="shared" si="19"/>
        <v>0</v>
      </c>
      <c r="K16" s="72">
        <f t="shared" si="20"/>
        <v>0</v>
      </c>
      <c r="L16" s="72">
        <f t="shared" si="21"/>
        <v>0</v>
      </c>
      <c r="M16" s="72">
        <f t="shared" si="22"/>
        <v>0</v>
      </c>
      <c r="N16" s="72">
        <f t="shared" si="23"/>
        <v>0</v>
      </c>
      <c r="O16" s="72">
        <f t="shared" si="24"/>
        <v>0</v>
      </c>
      <c r="P16" s="72">
        <f t="shared" si="25"/>
        <v>0</v>
      </c>
      <c r="Q16" s="72">
        <f t="shared" si="26"/>
        <v>0</v>
      </c>
      <c r="R16" s="72">
        <f t="shared" si="27"/>
        <v>0</v>
      </c>
      <c r="S16" s="72">
        <f t="shared" si="28"/>
        <v>0</v>
      </c>
      <c r="T16" s="72">
        <f t="shared" si="29"/>
        <v>0</v>
      </c>
      <c r="U16" s="72">
        <f t="shared" si="30"/>
        <v>0</v>
      </c>
      <c r="V16" s="72">
        <f t="shared" si="5"/>
        <v>0</v>
      </c>
      <c r="W16" s="72">
        <f t="shared" si="1"/>
        <v>0</v>
      </c>
      <c r="X16" s="72">
        <f t="shared" si="1"/>
        <v>0</v>
      </c>
      <c r="Z16" s="72">
        <f t="shared" si="6"/>
        <v>0</v>
      </c>
      <c r="AA16" s="72">
        <f t="shared" si="7"/>
        <v>0</v>
      </c>
      <c r="AB16" s="72">
        <f t="shared" si="8"/>
        <v>0</v>
      </c>
      <c r="AC16" s="72">
        <f t="shared" si="9"/>
        <v>0</v>
      </c>
      <c r="AD16" s="72">
        <f t="shared" si="10"/>
        <v>0</v>
      </c>
      <c r="AE16" s="72">
        <f t="shared" si="11"/>
        <v>0</v>
      </c>
      <c r="AF16" s="72">
        <f t="shared" si="12"/>
        <v>0</v>
      </c>
      <c r="AG16" s="72">
        <f t="shared" si="13"/>
        <v>0</v>
      </c>
      <c r="AH16" s="72">
        <f t="shared" si="14"/>
        <v>0</v>
      </c>
      <c r="AI16" s="72">
        <f t="shared" si="15"/>
        <v>0</v>
      </c>
      <c r="AJ16" s="72">
        <f t="shared" si="16"/>
        <v>0</v>
      </c>
      <c r="AK16" s="72">
        <f t="shared" si="17"/>
        <v>0</v>
      </c>
      <c r="AL16" s="72">
        <f t="shared" si="18"/>
        <v>0</v>
      </c>
      <c r="AM16" s="72">
        <f t="shared" si="2"/>
        <v>0</v>
      </c>
      <c r="AN16" s="72">
        <f t="shared" si="2"/>
        <v>0</v>
      </c>
      <c r="AQ16" s="71"/>
      <c r="AR16" s="97">
        <f t="shared" si="0"/>
        <v>0</v>
      </c>
      <c r="AS16" s="95">
        <f>AN63</f>
        <v>0</v>
      </c>
      <c r="AT16" s="95">
        <f>X63</f>
        <v>0</v>
      </c>
      <c r="AU16" s="59"/>
    </row>
    <row r="17" spans="2:52">
      <c r="B17" s="60"/>
      <c r="C17" s="62"/>
      <c r="D17" s="79"/>
      <c r="E17" s="56"/>
      <c r="F17" s="76"/>
      <c r="G17" s="77">
        <f t="shared" ref="G17:G62" si="33">IF(F17="MARCIA",E17,IF(F17="AMBOS",E17/2,0))</f>
        <v>0</v>
      </c>
      <c r="H17" s="78">
        <f t="shared" ref="H17:H62" si="34">IF(F17="LUCIANO",E17,IF(F17="AMBOS",E17/2,0))</f>
        <v>0</v>
      </c>
      <c r="I17" s="91"/>
      <c r="J17" s="72">
        <f t="shared" si="19"/>
        <v>0</v>
      </c>
      <c r="K17" s="72">
        <f t="shared" si="20"/>
        <v>0</v>
      </c>
      <c r="L17" s="72">
        <f t="shared" si="21"/>
        <v>0</v>
      </c>
      <c r="M17" s="72">
        <f t="shared" si="22"/>
        <v>0</v>
      </c>
      <c r="N17" s="72">
        <f t="shared" si="23"/>
        <v>0</v>
      </c>
      <c r="O17" s="72">
        <f t="shared" si="24"/>
        <v>0</v>
      </c>
      <c r="P17" s="72">
        <f t="shared" si="25"/>
        <v>0</v>
      </c>
      <c r="Q17" s="72">
        <f t="shared" si="26"/>
        <v>0</v>
      </c>
      <c r="R17" s="72">
        <f t="shared" si="27"/>
        <v>0</v>
      </c>
      <c r="S17" s="72">
        <f t="shared" si="28"/>
        <v>0</v>
      </c>
      <c r="T17" s="72">
        <f t="shared" si="29"/>
        <v>0</v>
      </c>
      <c r="U17" s="72">
        <f t="shared" si="30"/>
        <v>0</v>
      </c>
      <c r="V17" s="72">
        <f t="shared" si="5"/>
        <v>0</v>
      </c>
      <c r="W17" s="72">
        <f t="shared" si="1"/>
        <v>0</v>
      </c>
      <c r="X17" s="72">
        <f t="shared" si="1"/>
        <v>0</v>
      </c>
      <c r="Z17" s="72">
        <f t="shared" si="6"/>
        <v>0</v>
      </c>
      <c r="AA17" s="72">
        <f t="shared" si="7"/>
        <v>0</v>
      </c>
      <c r="AB17" s="72">
        <f t="shared" si="8"/>
        <v>0</v>
      </c>
      <c r="AC17" s="72">
        <f t="shared" si="9"/>
        <v>0</v>
      </c>
      <c r="AD17" s="72">
        <f t="shared" si="10"/>
        <v>0</v>
      </c>
      <c r="AE17" s="72">
        <f t="shared" si="11"/>
        <v>0</v>
      </c>
      <c r="AF17" s="72">
        <f t="shared" si="12"/>
        <v>0</v>
      </c>
      <c r="AG17" s="72">
        <f t="shared" si="13"/>
        <v>0</v>
      </c>
      <c r="AH17" s="72">
        <f t="shared" si="14"/>
        <v>0</v>
      </c>
      <c r="AI17" s="72">
        <f t="shared" si="15"/>
        <v>0</v>
      </c>
      <c r="AJ17" s="72">
        <f t="shared" si="16"/>
        <v>0</v>
      </c>
      <c r="AK17" s="72">
        <f t="shared" si="17"/>
        <v>0</v>
      </c>
      <c r="AL17" s="72">
        <f t="shared" si="18"/>
        <v>0</v>
      </c>
      <c r="AM17" s="72">
        <f t="shared" si="2"/>
        <v>0</v>
      </c>
      <c r="AN17" s="72">
        <f t="shared" si="2"/>
        <v>0</v>
      </c>
      <c r="AQ17" s="87" t="s">
        <v>67</v>
      </c>
      <c r="AR17" s="96">
        <f>SUM(AR2:AR16)</f>
        <v>0</v>
      </c>
      <c r="AS17" s="88">
        <f>SUM(AS2:AS16)</f>
        <v>0</v>
      </c>
      <c r="AT17" s="88">
        <f>SUM(AT2:AT16)</f>
        <v>0</v>
      </c>
    </row>
    <row r="18" spans="2:52">
      <c r="B18" s="82"/>
      <c r="C18" s="83"/>
      <c r="D18" s="79"/>
      <c r="E18" s="85"/>
      <c r="F18" s="76"/>
      <c r="G18" s="77">
        <f t="shared" si="33"/>
        <v>0</v>
      </c>
      <c r="H18" s="78">
        <f t="shared" si="34"/>
        <v>0</v>
      </c>
      <c r="I18" s="91"/>
      <c r="J18" s="72">
        <f t="shared" si="19"/>
        <v>0</v>
      </c>
      <c r="K18" s="72">
        <f t="shared" si="20"/>
        <v>0</v>
      </c>
      <c r="L18" s="72">
        <f t="shared" si="21"/>
        <v>0</v>
      </c>
      <c r="M18" s="72">
        <f t="shared" si="22"/>
        <v>0</v>
      </c>
      <c r="N18" s="72">
        <f t="shared" si="23"/>
        <v>0</v>
      </c>
      <c r="O18" s="72">
        <f t="shared" si="24"/>
        <v>0</v>
      </c>
      <c r="P18" s="72">
        <f t="shared" si="25"/>
        <v>0</v>
      </c>
      <c r="Q18" s="72">
        <f t="shared" si="26"/>
        <v>0</v>
      </c>
      <c r="R18" s="72">
        <f t="shared" si="27"/>
        <v>0</v>
      </c>
      <c r="S18" s="72">
        <f t="shared" si="28"/>
        <v>0</v>
      </c>
      <c r="T18" s="72">
        <f t="shared" si="29"/>
        <v>0</v>
      </c>
      <c r="U18" s="72">
        <f t="shared" si="30"/>
        <v>0</v>
      </c>
      <c r="V18" s="72">
        <f t="shared" si="5"/>
        <v>0</v>
      </c>
      <c r="W18" s="72">
        <f t="shared" si="1"/>
        <v>0</v>
      </c>
      <c r="X18" s="72">
        <f t="shared" si="1"/>
        <v>0</v>
      </c>
      <c r="Z18" s="72">
        <f t="shared" si="6"/>
        <v>0</v>
      </c>
      <c r="AA18" s="72">
        <f t="shared" si="7"/>
        <v>0</v>
      </c>
      <c r="AB18" s="72">
        <f t="shared" si="8"/>
        <v>0</v>
      </c>
      <c r="AC18" s="72">
        <f t="shared" si="9"/>
        <v>0</v>
      </c>
      <c r="AD18" s="72">
        <f t="shared" si="10"/>
        <v>0</v>
      </c>
      <c r="AE18" s="72">
        <f t="shared" si="11"/>
        <v>0</v>
      </c>
      <c r="AF18" s="72">
        <f t="shared" si="12"/>
        <v>0</v>
      </c>
      <c r="AG18" s="72">
        <f t="shared" si="13"/>
        <v>0</v>
      </c>
      <c r="AH18" s="72">
        <f t="shared" si="14"/>
        <v>0</v>
      </c>
      <c r="AI18" s="72">
        <f t="shared" si="15"/>
        <v>0</v>
      </c>
      <c r="AJ18" s="72">
        <f t="shared" si="16"/>
        <v>0</v>
      </c>
      <c r="AK18" s="72">
        <f t="shared" si="17"/>
        <v>0</v>
      </c>
      <c r="AL18" s="72">
        <f t="shared" si="18"/>
        <v>0</v>
      </c>
      <c r="AM18" s="72">
        <f t="shared" si="2"/>
        <v>0</v>
      </c>
      <c r="AN18" s="72">
        <f t="shared" si="2"/>
        <v>0</v>
      </c>
      <c r="AQ18" s="80" t="s">
        <v>65</v>
      </c>
      <c r="AR18" s="850" t="s">
        <v>45</v>
      </c>
      <c r="AS18" s="851"/>
      <c r="AT18" s="852"/>
      <c r="AU18" s="99"/>
      <c r="AV18" s="98"/>
    </row>
    <row r="19" spans="2:52">
      <c r="B19" s="60"/>
      <c r="C19" s="62"/>
      <c r="D19" s="79"/>
      <c r="E19" s="56"/>
      <c r="F19" s="76"/>
      <c r="G19" s="77">
        <f t="shared" si="33"/>
        <v>0</v>
      </c>
      <c r="H19" s="78">
        <f t="shared" si="34"/>
        <v>0</v>
      </c>
      <c r="I19" s="91"/>
      <c r="J19" s="72">
        <f t="shared" si="19"/>
        <v>0</v>
      </c>
      <c r="K19" s="72">
        <f t="shared" si="20"/>
        <v>0</v>
      </c>
      <c r="L19" s="72">
        <f t="shared" si="21"/>
        <v>0</v>
      </c>
      <c r="M19" s="72">
        <f t="shared" si="22"/>
        <v>0</v>
      </c>
      <c r="N19" s="72">
        <f t="shared" si="23"/>
        <v>0</v>
      </c>
      <c r="O19" s="72">
        <f t="shared" si="24"/>
        <v>0</v>
      </c>
      <c r="P19" s="72">
        <f t="shared" si="25"/>
        <v>0</v>
      </c>
      <c r="Q19" s="72">
        <f t="shared" si="26"/>
        <v>0</v>
      </c>
      <c r="R19" s="72">
        <f t="shared" si="27"/>
        <v>0</v>
      </c>
      <c r="S19" s="72">
        <f t="shared" si="28"/>
        <v>0</v>
      </c>
      <c r="T19" s="72">
        <f t="shared" si="29"/>
        <v>0</v>
      </c>
      <c r="U19" s="72">
        <f t="shared" si="30"/>
        <v>0</v>
      </c>
      <c r="V19" s="72">
        <f t="shared" si="5"/>
        <v>0</v>
      </c>
      <c r="W19" s="72">
        <f t="shared" si="5"/>
        <v>0</v>
      </c>
      <c r="X19" s="72">
        <f t="shared" si="5"/>
        <v>0</v>
      </c>
      <c r="Z19" s="72">
        <f t="shared" si="6"/>
        <v>0</v>
      </c>
      <c r="AA19" s="72">
        <f t="shared" si="7"/>
        <v>0</v>
      </c>
      <c r="AB19" s="72">
        <f t="shared" si="8"/>
        <v>0</v>
      </c>
      <c r="AC19" s="72">
        <f t="shared" si="9"/>
        <v>0</v>
      </c>
      <c r="AD19" s="72">
        <f t="shared" si="10"/>
        <v>0</v>
      </c>
      <c r="AE19" s="72">
        <f t="shared" si="11"/>
        <v>0</v>
      </c>
      <c r="AF19" s="72">
        <f t="shared" si="12"/>
        <v>0</v>
      </c>
      <c r="AG19" s="72">
        <f t="shared" si="13"/>
        <v>0</v>
      </c>
      <c r="AH19" s="72">
        <f t="shared" si="14"/>
        <v>0</v>
      </c>
      <c r="AI19" s="72">
        <f t="shared" si="15"/>
        <v>0</v>
      </c>
      <c r="AJ19" s="72">
        <f t="shared" si="16"/>
        <v>0</v>
      </c>
      <c r="AK19" s="72">
        <f t="shared" si="17"/>
        <v>0</v>
      </c>
      <c r="AL19" s="72">
        <f t="shared" si="18"/>
        <v>0</v>
      </c>
      <c r="AM19" s="72">
        <f t="shared" si="18"/>
        <v>0</v>
      </c>
      <c r="AN19" s="72">
        <f t="shared" si="18"/>
        <v>0</v>
      </c>
      <c r="AQ19" s="80" t="s">
        <v>66</v>
      </c>
      <c r="AU19" s="98"/>
    </row>
    <row r="20" spans="2:52">
      <c r="B20" s="60"/>
      <c r="C20" s="62"/>
      <c r="D20" s="79"/>
      <c r="E20" s="56"/>
      <c r="F20" s="76"/>
      <c r="G20" s="77">
        <f t="shared" si="33"/>
        <v>0</v>
      </c>
      <c r="H20" s="78">
        <f t="shared" si="34"/>
        <v>0</v>
      </c>
      <c r="I20" s="91"/>
      <c r="J20" s="72">
        <f t="shared" si="19"/>
        <v>0</v>
      </c>
      <c r="K20" s="72">
        <f t="shared" si="20"/>
        <v>0</v>
      </c>
      <c r="L20" s="72">
        <f t="shared" si="21"/>
        <v>0</v>
      </c>
      <c r="M20" s="72">
        <f t="shared" si="22"/>
        <v>0</v>
      </c>
      <c r="N20" s="72">
        <f t="shared" si="23"/>
        <v>0</v>
      </c>
      <c r="O20" s="72">
        <f t="shared" si="24"/>
        <v>0</v>
      </c>
      <c r="P20" s="72">
        <f t="shared" si="25"/>
        <v>0</v>
      </c>
      <c r="Q20" s="72">
        <f t="shared" si="26"/>
        <v>0</v>
      </c>
      <c r="R20" s="72">
        <f t="shared" si="27"/>
        <v>0</v>
      </c>
      <c r="S20" s="72">
        <f t="shared" si="28"/>
        <v>0</v>
      </c>
      <c r="T20" s="72">
        <f t="shared" si="29"/>
        <v>0</v>
      </c>
      <c r="U20" s="72">
        <f t="shared" si="30"/>
        <v>0</v>
      </c>
      <c r="V20" s="72">
        <f t="shared" si="5"/>
        <v>0</v>
      </c>
      <c r="W20" s="72">
        <f t="shared" si="5"/>
        <v>0</v>
      </c>
      <c r="X20" s="72">
        <f t="shared" si="5"/>
        <v>0</v>
      </c>
      <c r="Z20" s="72">
        <f t="shared" si="6"/>
        <v>0</v>
      </c>
      <c r="AA20" s="72">
        <f t="shared" si="7"/>
        <v>0</v>
      </c>
      <c r="AB20" s="72">
        <f t="shared" si="8"/>
        <v>0</v>
      </c>
      <c r="AC20" s="72">
        <f t="shared" si="9"/>
        <v>0</v>
      </c>
      <c r="AD20" s="72">
        <f t="shared" si="10"/>
        <v>0</v>
      </c>
      <c r="AE20" s="72">
        <f t="shared" si="11"/>
        <v>0</v>
      </c>
      <c r="AF20" s="72">
        <f t="shared" si="12"/>
        <v>0</v>
      </c>
      <c r="AG20" s="72">
        <f t="shared" si="13"/>
        <v>0</v>
      </c>
      <c r="AH20" s="72">
        <f t="shared" si="14"/>
        <v>0</v>
      </c>
      <c r="AI20" s="72">
        <f t="shared" si="15"/>
        <v>0</v>
      </c>
      <c r="AJ20" s="72">
        <f t="shared" si="16"/>
        <v>0</v>
      </c>
      <c r="AK20" s="72">
        <f t="shared" si="17"/>
        <v>0</v>
      </c>
      <c r="AL20" s="72">
        <f t="shared" si="18"/>
        <v>0</v>
      </c>
      <c r="AM20" s="72">
        <f t="shared" si="18"/>
        <v>0</v>
      </c>
      <c r="AN20" s="72">
        <f t="shared" si="18"/>
        <v>0</v>
      </c>
    </row>
    <row r="21" spans="2:52">
      <c r="B21" s="60"/>
      <c r="C21" s="62"/>
      <c r="D21" s="79"/>
      <c r="E21" s="56"/>
      <c r="F21" s="76"/>
      <c r="G21" s="77">
        <f t="shared" si="33"/>
        <v>0</v>
      </c>
      <c r="H21" s="78">
        <f t="shared" si="34"/>
        <v>0</v>
      </c>
      <c r="I21" s="91"/>
      <c r="J21" s="72">
        <f t="shared" si="19"/>
        <v>0</v>
      </c>
      <c r="K21" s="72">
        <f t="shared" si="20"/>
        <v>0</v>
      </c>
      <c r="L21" s="72">
        <f t="shared" si="21"/>
        <v>0</v>
      </c>
      <c r="M21" s="72">
        <f t="shared" si="22"/>
        <v>0</v>
      </c>
      <c r="N21" s="72">
        <f t="shared" si="23"/>
        <v>0</v>
      </c>
      <c r="O21" s="72">
        <f t="shared" si="24"/>
        <v>0</v>
      </c>
      <c r="P21" s="72">
        <f t="shared" si="25"/>
        <v>0</v>
      </c>
      <c r="Q21" s="72">
        <f t="shared" si="26"/>
        <v>0</v>
      </c>
      <c r="R21" s="72">
        <f t="shared" si="27"/>
        <v>0</v>
      </c>
      <c r="S21" s="72">
        <f t="shared" si="28"/>
        <v>0</v>
      </c>
      <c r="T21" s="72">
        <f t="shared" si="29"/>
        <v>0</v>
      </c>
      <c r="U21" s="72">
        <f t="shared" si="30"/>
        <v>0</v>
      </c>
      <c r="V21" s="72">
        <f t="shared" si="5"/>
        <v>0</v>
      </c>
      <c r="W21" s="72">
        <f t="shared" si="5"/>
        <v>0</v>
      </c>
      <c r="X21" s="72">
        <f t="shared" si="5"/>
        <v>0</v>
      </c>
      <c r="Z21" s="72">
        <f t="shared" si="6"/>
        <v>0</v>
      </c>
      <c r="AA21" s="72">
        <f t="shared" si="7"/>
        <v>0</v>
      </c>
      <c r="AB21" s="72">
        <f t="shared" si="8"/>
        <v>0</v>
      </c>
      <c r="AC21" s="72">
        <f t="shared" si="9"/>
        <v>0</v>
      </c>
      <c r="AD21" s="72">
        <f t="shared" si="10"/>
        <v>0</v>
      </c>
      <c r="AE21" s="72">
        <f t="shared" si="11"/>
        <v>0</v>
      </c>
      <c r="AF21" s="72">
        <f t="shared" si="12"/>
        <v>0</v>
      </c>
      <c r="AG21" s="72">
        <f t="shared" si="13"/>
        <v>0</v>
      </c>
      <c r="AH21" s="72">
        <f t="shared" si="14"/>
        <v>0</v>
      </c>
      <c r="AI21" s="72">
        <f t="shared" si="15"/>
        <v>0</v>
      </c>
      <c r="AJ21" s="72">
        <f t="shared" si="16"/>
        <v>0</v>
      </c>
      <c r="AK21" s="72">
        <f t="shared" si="17"/>
        <v>0</v>
      </c>
      <c r="AL21" s="72">
        <f t="shared" si="18"/>
        <v>0</v>
      </c>
      <c r="AM21" s="72">
        <f t="shared" si="18"/>
        <v>0</v>
      </c>
      <c r="AN21" s="72">
        <f t="shared" si="18"/>
        <v>0</v>
      </c>
    </row>
    <row r="22" spans="2:52">
      <c r="B22" s="60"/>
      <c r="C22" s="62"/>
      <c r="D22" s="79"/>
      <c r="E22" s="56"/>
      <c r="F22" s="76"/>
      <c r="G22" s="77">
        <f t="shared" si="33"/>
        <v>0</v>
      </c>
      <c r="H22" s="78">
        <f t="shared" si="34"/>
        <v>0</v>
      </c>
      <c r="I22" s="92"/>
      <c r="J22" s="72">
        <f t="shared" si="19"/>
        <v>0</v>
      </c>
      <c r="K22" s="72">
        <f t="shared" si="20"/>
        <v>0</v>
      </c>
      <c r="L22" s="72">
        <f t="shared" si="21"/>
        <v>0</v>
      </c>
      <c r="M22" s="72">
        <f t="shared" si="22"/>
        <v>0</v>
      </c>
      <c r="N22" s="72">
        <f t="shared" si="23"/>
        <v>0</v>
      </c>
      <c r="O22" s="72">
        <f t="shared" si="24"/>
        <v>0</v>
      </c>
      <c r="P22" s="72">
        <f t="shared" si="25"/>
        <v>0</v>
      </c>
      <c r="Q22" s="72">
        <f t="shared" si="26"/>
        <v>0</v>
      </c>
      <c r="R22" s="72">
        <f t="shared" si="27"/>
        <v>0</v>
      </c>
      <c r="S22" s="72">
        <f t="shared" si="28"/>
        <v>0</v>
      </c>
      <c r="T22" s="72">
        <f t="shared" si="29"/>
        <v>0</v>
      </c>
      <c r="U22" s="72">
        <f t="shared" si="30"/>
        <v>0</v>
      </c>
      <c r="V22" s="72">
        <f t="shared" si="5"/>
        <v>0</v>
      </c>
      <c r="W22" s="72">
        <f t="shared" si="5"/>
        <v>0</v>
      </c>
      <c r="X22" s="72">
        <f t="shared" si="5"/>
        <v>0</v>
      </c>
      <c r="Y22" s="61"/>
      <c r="Z22" s="72">
        <f t="shared" si="6"/>
        <v>0</v>
      </c>
      <c r="AA22" s="72">
        <f t="shared" si="7"/>
        <v>0</v>
      </c>
      <c r="AB22" s="72">
        <f t="shared" si="8"/>
        <v>0</v>
      </c>
      <c r="AC22" s="72">
        <f t="shared" si="9"/>
        <v>0</v>
      </c>
      <c r="AD22" s="72">
        <f t="shared" si="10"/>
        <v>0</v>
      </c>
      <c r="AE22" s="72">
        <f t="shared" si="11"/>
        <v>0</v>
      </c>
      <c r="AF22" s="72">
        <f t="shared" si="12"/>
        <v>0</v>
      </c>
      <c r="AG22" s="72">
        <f t="shared" si="13"/>
        <v>0</v>
      </c>
      <c r="AH22" s="72">
        <f t="shared" si="14"/>
        <v>0</v>
      </c>
      <c r="AI22" s="72">
        <f t="shared" si="15"/>
        <v>0</v>
      </c>
      <c r="AJ22" s="72">
        <f t="shared" si="16"/>
        <v>0</v>
      </c>
      <c r="AK22" s="72">
        <f t="shared" si="17"/>
        <v>0</v>
      </c>
      <c r="AL22" s="72">
        <f t="shared" si="18"/>
        <v>0</v>
      </c>
      <c r="AM22" s="72">
        <f t="shared" si="18"/>
        <v>0</v>
      </c>
      <c r="AN22" s="72">
        <f t="shared" si="18"/>
        <v>0</v>
      </c>
      <c r="AO22" s="61"/>
      <c r="AP22" s="61"/>
    </row>
    <row r="23" spans="2:52" ht="17.25" thickBot="1">
      <c r="B23" s="60"/>
      <c r="C23" s="62"/>
      <c r="D23" s="79"/>
      <c r="E23" s="56"/>
      <c r="F23" s="76"/>
      <c r="G23" s="77">
        <f t="shared" si="33"/>
        <v>0</v>
      </c>
      <c r="H23" s="78">
        <f t="shared" si="34"/>
        <v>0</v>
      </c>
      <c r="I23" s="91"/>
      <c r="J23" s="72">
        <f t="shared" si="19"/>
        <v>0</v>
      </c>
      <c r="K23" s="72">
        <f t="shared" si="20"/>
        <v>0</v>
      </c>
      <c r="L23" s="72">
        <f t="shared" si="21"/>
        <v>0</v>
      </c>
      <c r="M23" s="72">
        <f t="shared" si="22"/>
        <v>0</v>
      </c>
      <c r="N23" s="72">
        <f t="shared" si="23"/>
        <v>0</v>
      </c>
      <c r="O23" s="72">
        <f t="shared" si="24"/>
        <v>0</v>
      </c>
      <c r="P23" s="72">
        <f t="shared" si="25"/>
        <v>0</v>
      </c>
      <c r="Q23" s="72">
        <f t="shared" si="26"/>
        <v>0</v>
      </c>
      <c r="R23" s="72">
        <f t="shared" si="27"/>
        <v>0</v>
      </c>
      <c r="S23" s="72">
        <f t="shared" si="28"/>
        <v>0</v>
      </c>
      <c r="T23" s="72">
        <f t="shared" si="29"/>
        <v>0</v>
      </c>
      <c r="U23" s="72">
        <f t="shared" si="30"/>
        <v>0</v>
      </c>
      <c r="V23" s="72">
        <f t="shared" si="5"/>
        <v>0</v>
      </c>
      <c r="W23" s="72">
        <f t="shared" si="5"/>
        <v>0</v>
      </c>
      <c r="X23" s="72">
        <f t="shared" si="5"/>
        <v>0</v>
      </c>
      <c r="Z23" s="72">
        <f t="shared" si="6"/>
        <v>0</v>
      </c>
      <c r="AA23" s="72">
        <f t="shared" si="7"/>
        <v>0</v>
      </c>
      <c r="AB23" s="72">
        <f t="shared" si="8"/>
        <v>0</v>
      </c>
      <c r="AC23" s="72">
        <f t="shared" si="9"/>
        <v>0</v>
      </c>
      <c r="AD23" s="72">
        <f t="shared" si="10"/>
        <v>0</v>
      </c>
      <c r="AE23" s="72">
        <f t="shared" si="11"/>
        <v>0</v>
      </c>
      <c r="AF23" s="72">
        <f t="shared" si="12"/>
        <v>0</v>
      </c>
      <c r="AG23" s="72">
        <f t="shared" si="13"/>
        <v>0</v>
      </c>
      <c r="AH23" s="72">
        <f t="shared" si="14"/>
        <v>0</v>
      </c>
      <c r="AI23" s="72">
        <f t="shared" si="15"/>
        <v>0</v>
      </c>
      <c r="AJ23" s="72">
        <f t="shared" si="16"/>
        <v>0</v>
      </c>
      <c r="AK23" s="72">
        <f t="shared" si="17"/>
        <v>0</v>
      </c>
      <c r="AL23" s="72">
        <f t="shared" si="18"/>
        <v>0</v>
      </c>
      <c r="AM23" s="72">
        <f t="shared" si="18"/>
        <v>0</v>
      </c>
      <c r="AN23" s="72">
        <f t="shared" si="18"/>
        <v>0</v>
      </c>
      <c r="AV23" s="864" t="s">
        <v>134</v>
      </c>
      <c r="AW23" s="864"/>
      <c r="AY23" s="864" t="s">
        <v>133</v>
      </c>
      <c r="AZ23" s="864"/>
    </row>
    <row r="24" spans="2:52">
      <c r="B24" s="60"/>
      <c r="C24" s="62"/>
      <c r="D24" s="79"/>
      <c r="E24" s="56"/>
      <c r="F24" s="76"/>
      <c r="G24" s="77">
        <f t="shared" si="33"/>
        <v>0</v>
      </c>
      <c r="H24" s="78">
        <f t="shared" si="34"/>
        <v>0</v>
      </c>
      <c r="I24" s="91"/>
      <c r="J24" s="72">
        <f t="shared" si="19"/>
        <v>0</v>
      </c>
      <c r="K24" s="72">
        <f t="shared" si="20"/>
        <v>0</v>
      </c>
      <c r="L24" s="72">
        <f t="shared" si="21"/>
        <v>0</v>
      </c>
      <c r="M24" s="72">
        <f t="shared" si="22"/>
        <v>0</v>
      </c>
      <c r="N24" s="72">
        <f t="shared" si="23"/>
        <v>0</v>
      </c>
      <c r="O24" s="72">
        <f t="shared" si="24"/>
        <v>0</v>
      </c>
      <c r="P24" s="72">
        <f t="shared" si="25"/>
        <v>0</v>
      </c>
      <c r="Q24" s="72">
        <f t="shared" si="26"/>
        <v>0</v>
      </c>
      <c r="R24" s="72">
        <f t="shared" si="27"/>
        <v>0</v>
      </c>
      <c r="S24" s="72">
        <f t="shared" si="28"/>
        <v>0</v>
      </c>
      <c r="T24" s="72">
        <f t="shared" si="29"/>
        <v>0</v>
      </c>
      <c r="U24" s="72">
        <f t="shared" si="30"/>
        <v>0</v>
      </c>
      <c r="V24" s="72">
        <f t="shared" si="5"/>
        <v>0</v>
      </c>
      <c r="W24" s="72">
        <f t="shared" si="5"/>
        <v>0</v>
      </c>
      <c r="X24" s="72">
        <f t="shared" si="5"/>
        <v>0</v>
      </c>
      <c r="Z24" s="72">
        <f t="shared" si="6"/>
        <v>0</v>
      </c>
      <c r="AA24" s="72">
        <f t="shared" si="7"/>
        <v>0</v>
      </c>
      <c r="AB24" s="72">
        <f t="shared" si="8"/>
        <v>0</v>
      </c>
      <c r="AC24" s="72">
        <f t="shared" si="9"/>
        <v>0</v>
      </c>
      <c r="AD24" s="72">
        <f t="shared" si="10"/>
        <v>0</v>
      </c>
      <c r="AE24" s="72">
        <f t="shared" si="11"/>
        <v>0</v>
      </c>
      <c r="AF24" s="72">
        <f t="shared" si="12"/>
        <v>0</v>
      </c>
      <c r="AG24" s="72">
        <f t="shared" si="13"/>
        <v>0</v>
      </c>
      <c r="AH24" s="72">
        <f t="shared" si="14"/>
        <v>0</v>
      </c>
      <c r="AI24" s="72">
        <f t="shared" si="15"/>
        <v>0</v>
      </c>
      <c r="AJ24" s="72">
        <f t="shared" si="16"/>
        <v>0</v>
      </c>
      <c r="AK24" s="72">
        <f t="shared" si="17"/>
        <v>0</v>
      </c>
      <c r="AL24" s="72">
        <f t="shared" si="18"/>
        <v>0</v>
      </c>
      <c r="AM24" s="72">
        <f t="shared" si="18"/>
        <v>0</v>
      </c>
      <c r="AN24" s="72">
        <f t="shared" si="18"/>
        <v>0</v>
      </c>
      <c r="AV24" s="112" t="s">
        <v>75</v>
      </c>
      <c r="AW24" s="1">
        <v>0</v>
      </c>
      <c r="AY24" s="164" t="s">
        <v>130</v>
      </c>
      <c r="AZ24" s="55">
        <v>0</v>
      </c>
    </row>
    <row r="25" spans="2:52">
      <c r="B25" s="60"/>
      <c r="C25" s="62"/>
      <c r="D25" s="79"/>
      <c r="E25" s="56"/>
      <c r="F25" s="76"/>
      <c r="G25" s="77">
        <f t="shared" si="33"/>
        <v>0</v>
      </c>
      <c r="H25" s="78">
        <f t="shared" si="34"/>
        <v>0</v>
      </c>
      <c r="I25" s="91"/>
      <c r="J25" s="72">
        <f t="shared" si="19"/>
        <v>0</v>
      </c>
      <c r="K25" s="72">
        <f t="shared" si="20"/>
        <v>0</v>
      </c>
      <c r="L25" s="72">
        <f t="shared" si="21"/>
        <v>0</v>
      </c>
      <c r="M25" s="72">
        <f t="shared" si="22"/>
        <v>0</v>
      </c>
      <c r="N25" s="72">
        <f t="shared" si="23"/>
        <v>0</v>
      </c>
      <c r="O25" s="72">
        <f t="shared" si="24"/>
        <v>0</v>
      </c>
      <c r="P25" s="72">
        <f t="shared" si="25"/>
        <v>0</v>
      </c>
      <c r="Q25" s="72">
        <f t="shared" si="26"/>
        <v>0</v>
      </c>
      <c r="R25" s="72">
        <f t="shared" si="27"/>
        <v>0</v>
      </c>
      <c r="S25" s="72">
        <f t="shared" si="28"/>
        <v>0</v>
      </c>
      <c r="T25" s="72">
        <f t="shared" si="29"/>
        <v>0</v>
      </c>
      <c r="U25" s="72">
        <f t="shared" si="30"/>
        <v>0</v>
      </c>
      <c r="V25" s="72">
        <f t="shared" si="5"/>
        <v>0</v>
      </c>
      <c r="W25" s="72">
        <f t="shared" si="5"/>
        <v>0</v>
      </c>
      <c r="X25" s="72">
        <f t="shared" si="5"/>
        <v>0</v>
      </c>
      <c r="Z25" s="72">
        <f t="shared" si="6"/>
        <v>0</v>
      </c>
      <c r="AA25" s="72">
        <f t="shared" si="7"/>
        <v>0</v>
      </c>
      <c r="AB25" s="72">
        <f t="shared" si="8"/>
        <v>0</v>
      </c>
      <c r="AC25" s="72">
        <f t="shared" si="9"/>
        <v>0</v>
      </c>
      <c r="AD25" s="72">
        <f t="shared" si="10"/>
        <v>0</v>
      </c>
      <c r="AE25" s="72">
        <f t="shared" si="11"/>
        <v>0</v>
      </c>
      <c r="AF25" s="72">
        <f t="shared" si="12"/>
        <v>0</v>
      </c>
      <c r="AG25" s="72">
        <f t="shared" si="13"/>
        <v>0</v>
      </c>
      <c r="AH25" s="72">
        <f t="shared" si="14"/>
        <v>0</v>
      </c>
      <c r="AI25" s="72">
        <f t="shared" si="15"/>
        <v>0</v>
      </c>
      <c r="AJ25" s="72">
        <f t="shared" si="16"/>
        <v>0</v>
      </c>
      <c r="AK25" s="72">
        <f t="shared" si="17"/>
        <v>0</v>
      </c>
      <c r="AL25" s="72">
        <f t="shared" si="18"/>
        <v>0</v>
      </c>
      <c r="AM25" s="72">
        <f t="shared" si="18"/>
        <v>0</v>
      </c>
      <c r="AN25" s="72">
        <f t="shared" si="18"/>
        <v>0</v>
      </c>
      <c r="AR25" s="59">
        <f>E13/3</f>
        <v>0</v>
      </c>
      <c r="AV25" s="112" t="s">
        <v>76</v>
      </c>
      <c r="AW25" s="1">
        <v>0</v>
      </c>
      <c r="AY25" s="164" t="s">
        <v>131</v>
      </c>
      <c r="AZ25" s="98">
        <v>0</v>
      </c>
    </row>
    <row r="26" spans="2:52">
      <c r="B26" s="60"/>
      <c r="C26" s="62"/>
      <c r="D26" s="79"/>
      <c r="E26" s="56"/>
      <c r="F26" s="76"/>
      <c r="G26" s="77">
        <f t="shared" si="33"/>
        <v>0</v>
      </c>
      <c r="H26" s="78">
        <f t="shared" si="34"/>
        <v>0</v>
      </c>
      <c r="I26" s="91"/>
      <c r="J26" s="72">
        <f t="shared" si="19"/>
        <v>0</v>
      </c>
      <c r="K26" s="72">
        <f t="shared" si="20"/>
        <v>0</v>
      </c>
      <c r="L26" s="72">
        <f t="shared" si="21"/>
        <v>0</v>
      </c>
      <c r="M26" s="72">
        <f t="shared" si="22"/>
        <v>0</v>
      </c>
      <c r="N26" s="72">
        <f t="shared" si="23"/>
        <v>0</v>
      </c>
      <c r="O26" s="72">
        <f t="shared" si="24"/>
        <v>0</v>
      </c>
      <c r="P26" s="72">
        <f t="shared" si="25"/>
        <v>0</v>
      </c>
      <c r="Q26" s="72">
        <f t="shared" si="26"/>
        <v>0</v>
      </c>
      <c r="R26" s="72">
        <f t="shared" si="27"/>
        <v>0</v>
      </c>
      <c r="S26" s="72">
        <f t="shared" si="28"/>
        <v>0</v>
      </c>
      <c r="T26" s="72">
        <f t="shared" si="29"/>
        <v>0</v>
      </c>
      <c r="U26" s="72">
        <f t="shared" si="30"/>
        <v>0</v>
      </c>
      <c r="V26" s="72">
        <f t="shared" si="5"/>
        <v>0</v>
      </c>
      <c r="W26" s="72">
        <f t="shared" si="5"/>
        <v>0</v>
      </c>
      <c r="X26" s="72">
        <f t="shared" si="5"/>
        <v>0</v>
      </c>
      <c r="Z26" s="72">
        <f t="shared" si="6"/>
        <v>0</v>
      </c>
      <c r="AA26" s="72">
        <f t="shared" si="7"/>
        <v>0</v>
      </c>
      <c r="AB26" s="72">
        <f t="shared" si="8"/>
        <v>0</v>
      </c>
      <c r="AC26" s="72">
        <f t="shared" si="9"/>
        <v>0</v>
      </c>
      <c r="AD26" s="72">
        <f t="shared" si="10"/>
        <v>0</v>
      </c>
      <c r="AE26" s="72">
        <f t="shared" si="11"/>
        <v>0</v>
      </c>
      <c r="AF26" s="72">
        <f t="shared" si="12"/>
        <v>0</v>
      </c>
      <c r="AG26" s="72">
        <f t="shared" si="13"/>
        <v>0</v>
      </c>
      <c r="AH26" s="72">
        <f t="shared" si="14"/>
        <v>0</v>
      </c>
      <c r="AI26" s="72">
        <f t="shared" si="15"/>
        <v>0</v>
      </c>
      <c r="AJ26" s="72">
        <f t="shared" si="16"/>
        <v>0</v>
      </c>
      <c r="AK26" s="72">
        <f t="shared" si="17"/>
        <v>0</v>
      </c>
      <c r="AL26" s="72">
        <f t="shared" si="18"/>
        <v>0</v>
      </c>
      <c r="AM26" s="72">
        <f t="shared" si="18"/>
        <v>0</v>
      </c>
      <c r="AN26" s="72">
        <f t="shared" si="18"/>
        <v>0</v>
      </c>
      <c r="AR26" s="59">
        <f>E14/3</f>
        <v>0</v>
      </c>
      <c r="AV26" s="112" t="s">
        <v>77</v>
      </c>
      <c r="AW26" s="1">
        <v>0</v>
      </c>
      <c r="AY26" s="164" t="s">
        <v>132</v>
      </c>
      <c r="AZ26" s="165">
        <v>0</v>
      </c>
    </row>
    <row r="27" spans="2:52">
      <c r="B27" s="60"/>
      <c r="C27" s="62"/>
      <c r="D27" s="79"/>
      <c r="E27" s="56"/>
      <c r="F27" s="76"/>
      <c r="G27" s="77">
        <f t="shared" si="33"/>
        <v>0</v>
      </c>
      <c r="H27" s="78">
        <f t="shared" si="34"/>
        <v>0</v>
      </c>
      <c r="I27" s="91"/>
      <c r="J27" s="72">
        <f t="shared" si="19"/>
        <v>0</v>
      </c>
      <c r="K27" s="72">
        <f t="shared" si="20"/>
        <v>0</v>
      </c>
      <c r="L27" s="72">
        <f t="shared" si="21"/>
        <v>0</v>
      </c>
      <c r="M27" s="72">
        <f t="shared" si="22"/>
        <v>0</v>
      </c>
      <c r="N27" s="72">
        <f t="shared" si="23"/>
        <v>0</v>
      </c>
      <c r="O27" s="72">
        <f t="shared" si="24"/>
        <v>0</v>
      </c>
      <c r="P27" s="72">
        <f t="shared" si="25"/>
        <v>0</v>
      </c>
      <c r="Q27" s="72">
        <f t="shared" si="26"/>
        <v>0</v>
      </c>
      <c r="R27" s="72">
        <f t="shared" si="27"/>
        <v>0</v>
      </c>
      <c r="S27" s="72">
        <f t="shared" si="28"/>
        <v>0</v>
      </c>
      <c r="T27" s="72">
        <f t="shared" si="29"/>
        <v>0</v>
      </c>
      <c r="U27" s="72">
        <f t="shared" si="30"/>
        <v>0</v>
      </c>
      <c r="V27" s="72">
        <f t="shared" si="5"/>
        <v>0</v>
      </c>
      <c r="W27" s="72">
        <f t="shared" si="5"/>
        <v>0</v>
      </c>
      <c r="X27" s="72">
        <f t="shared" si="5"/>
        <v>0</v>
      </c>
      <c r="Z27" s="72">
        <f t="shared" si="6"/>
        <v>0</v>
      </c>
      <c r="AA27" s="72">
        <f t="shared" si="7"/>
        <v>0</v>
      </c>
      <c r="AB27" s="72">
        <f t="shared" si="8"/>
        <v>0</v>
      </c>
      <c r="AC27" s="72">
        <f t="shared" si="9"/>
        <v>0</v>
      </c>
      <c r="AD27" s="72">
        <f t="shared" si="10"/>
        <v>0</v>
      </c>
      <c r="AE27" s="72">
        <f t="shared" si="11"/>
        <v>0</v>
      </c>
      <c r="AF27" s="72">
        <f t="shared" si="12"/>
        <v>0</v>
      </c>
      <c r="AG27" s="72">
        <f t="shared" si="13"/>
        <v>0</v>
      </c>
      <c r="AH27" s="72">
        <f t="shared" si="14"/>
        <v>0</v>
      </c>
      <c r="AI27" s="72">
        <f t="shared" si="15"/>
        <v>0</v>
      </c>
      <c r="AJ27" s="72">
        <f t="shared" si="16"/>
        <v>0</v>
      </c>
      <c r="AK27" s="72">
        <f t="shared" si="17"/>
        <v>0</v>
      </c>
      <c r="AL27" s="72">
        <f t="shared" si="18"/>
        <v>0</v>
      </c>
      <c r="AM27" s="72">
        <f t="shared" si="18"/>
        <v>0</v>
      </c>
      <c r="AN27" s="72">
        <f t="shared" si="18"/>
        <v>0</v>
      </c>
      <c r="AR27" s="59">
        <f>E15/3</f>
        <v>0</v>
      </c>
      <c r="AV27" s="112" t="s">
        <v>78</v>
      </c>
      <c r="AW27" s="54">
        <v>0</v>
      </c>
      <c r="AY27" s="164" t="s">
        <v>45</v>
      </c>
      <c r="AZ27" s="166">
        <f>AZ24+AZ25-AZ26</f>
        <v>0</v>
      </c>
    </row>
    <row r="28" spans="2:52">
      <c r="B28" s="60"/>
      <c r="C28" s="62"/>
      <c r="D28" s="79"/>
      <c r="E28" s="56"/>
      <c r="F28" s="76"/>
      <c r="G28" s="77">
        <f t="shared" si="33"/>
        <v>0</v>
      </c>
      <c r="H28" s="78">
        <f t="shared" si="34"/>
        <v>0</v>
      </c>
      <c r="I28" s="91"/>
      <c r="J28" s="72">
        <f t="shared" si="19"/>
        <v>0</v>
      </c>
      <c r="K28" s="72">
        <f t="shared" si="20"/>
        <v>0</v>
      </c>
      <c r="L28" s="72">
        <f t="shared" si="21"/>
        <v>0</v>
      </c>
      <c r="M28" s="72">
        <f t="shared" si="22"/>
        <v>0</v>
      </c>
      <c r="N28" s="72">
        <f t="shared" si="23"/>
        <v>0</v>
      </c>
      <c r="O28" s="72">
        <f t="shared" si="24"/>
        <v>0</v>
      </c>
      <c r="P28" s="72">
        <f t="shared" si="25"/>
        <v>0</v>
      </c>
      <c r="Q28" s="72">
        <f t="shared" si="26"/>
        <v>0</v>
      </c>
      <c r="R28" s="72">
        <f t="shared" si="27"/>
        <v>0</v>
      </c>
      <c r="S28" s="72">
        <f t="shared" si="28"/>
        <v>0</v>
      </c>
      <c r="T28" s="72">
        <f t="shared" si="29"/>
        <v>0</v>
      </c>
      <c r="U28" s="72">
        <f t="shared" si="30"/>
        <v>0</v>
      </c>
      <c r="V28" s="72">
        <f t="shared" si="5"/>
        <v>0</v>
      </c>
      <c r="W28" s="72">
        <f t="shared" si="5"/>
        <v>0</v>
      </c>
      <c r="X28" s="72">
        <f t="shared" si="5"/>
        <v>0</v>
      </c>
      <c r="Z28" s="72">
        <f t="shared" si="6"/>
        <v>0</v>
      </c>
      <c r="AA28" s="72">
        <f t="shared" si="7"/>
        <v>0</v>
      </c>
      <c r="AB28" s="72">
        <f t="shared" si="8"/>
        <v>0</v>
      </c>
      <c r="AC28" s="72">
        <f t="shared" si="9"/>
        <v>0</v>
      </c>
      <c r="AD28" s="72">
        <f t="shared" si="10"/>
        <v>0</v>
      </c>
      <c r="AE28" s="72">
        <f t="shared" si="11"/>
        <v>0</v>
      </c>
      <c r="AF28" s="72">
        <f t="shared" si="12"/>
        <v>0</v>
      </c>
      <c r="AG28" s="72">
        <f t="shared" si="13"/>
        <v>0</v>
      </c>
      <c r="AH28" s="72">
        <f t="shared" si="14"/>
        <v>0</v>
      </c>
      <c r="AI28" s="72">
        <f t="shared" si="15"/>
        <v>0</v>
      </c>
      <c r="AJ28" s="72">
        <f t="shared" si="16"/>
        <v>0</v>
      </c>
      <c r="AK28" s="72">
        <f t="shared" si="17"/>
        <v>0</v>
      </c>
      <c r="AL28" s="72">
        <f t="shared" si="18"/>
        <v>0</v>
      </c>
      <c r="AM28" s="72">
        <f t="shared" si="18"/>
        <v>0</v>
      </c>
      <c r="AN28" s="72">
        <f t="shared" si="18"/>
        <v>0</v>
      </c>
      <c r="AV28" s="112" t="s">
        <v>45</v>
      </c>
      <c r="AW28" s="1">
        <f>+SUM(AW24:AW27)</f>
        <v>0</v>
      </c>
    </row>
    <row r="29" spans="2:52">
      <c r="B29" s="60"/>
      <c r="C29" s="62"/>
      <c r="D29" s="79"/>
      <c r="E29" s="56"/>
      <c r="F29" s="76"/>
      <c r="G29" s="77">
        <f t="shared" si="33"/>
        <v>0</v>
      </c>
      <c r="H29" s="78">
        <f t="shared" si="34"/>
        <v>0</v>
      </c>
      <c r="I29" s="91"/>
      <c r="J29" s="72">
        <f t="shared" si="19"/>
        <v>0</v>
      </c>
      <c r="K29" s="72">
        <f t="shared" si="20"/>
        <v>0</v>
      </c>
      <c r="L29" s="72">
        <f t="shared" si="21"/>
        <v>0</v>
      </c>
      <c r="M29" s="72">
        <f t="shared" si="22"/>
        <v>0</v>
      </c>
      <c r="N29" s="72">
        <f t="shared" si="23"/>
        <v>0</v>
      </c>
      <c r="O29" s="72">
        <f t="shared" si="24"/>
        <v>0</v>
      </c>
      <c r="P29" s="72">
        <f t="shared" si="25"/>
        <v>0</v>
      </c>
      <c r="Q29" s="72">
        <f t="shared" si="26"/>
        <v>0</v>
      </c>
      <c r="R29" s="72">
        <f t="shared" si="27"/>
        <v>0</v>
      </c>
      <c r="S29" s="72">
        <f t="shared" si="28"/>
        <v>0</v>
      </c>
      <c r="T29" s="72">
        <f t="shared" si="29"/>
        <v>0</v>
      </c>
      <c r="U29" s="72">
        <f t="shared" si="30"/>
        <v>0</v>
      </c>
      <c r="V29" s="72">
        <f t="shared" si="5"/>
        <v>0</v>
      </c>
      <c r="W29" s="72">
        <f t="shared" si="5"/>
        <v>0</v>
      </c>
      <c r="X29" s="72">
        <f t="shared" si="5"/>
        <v>0</v>
      </c>
      <c r="Z29" s="72">
        <f t="shared" si="6"/>
        <v>0</v>
      </c>
      <c r="AA29" s="72">
        <f t="shared" si="7"/>
        <v>0</v>
      </c>
      <c r="AB29" s="72">
        <f t="shared" si="8"/>
        <v>0</v>
      </c>
      <c r="AC29" s="72">
        <f t="shared" si="9"/>
        <v>0</v>
      </c>
      <c r="AD29" s="72">
        <f t="shared" si="10"/>
        <v>0</v>
      </c>
      <c r="AE29" s="72">
        <f t="shared" si="11"/>
        <v>0</v>
      </c>
      <c r="AF29" s="72">
        <f t="shared" si="12"/>
        <v>0</v>
      </c>
      <c r="AG29" s="72">
        <f t="shared" si="13"/>
        <v>0</v>
      </c>
      <c r="AH29" s="72">
        <f t="shared" si="14"/>
        <v>0</v>
      </c>
      <c r="AI29" s="72">
        <f t="shared" si="15"/>
        <v>0</v>
      </c>
      <c r="AJ29" s="72">
        <f t="shared" si="16"/>
        <v>0</v>
      </c>
      <c r="AK29" s="72">
        <f t="shared" si="17"/>
        <v>0</v>
      </c>
      <c r="AL29" s="72">
        <f t="shared" si="18"/>
        <v>0</v>
      </c>
      <c r="AM29" s="72">
        <f t="shared" si="18"/>
        <v>0</v>
      </c>
      <c r="AN29" s="72">
        <f t="shared" si="18"/>
        <v>0</v>
      </c>
      <c r="AV29" s="112"/>
      <c r="AW29" s="1"/>
    </row>
    <row r="30" spans="2:52" ht="17.25" thickBot="1">
      <c r="B30" s="60"/>
      <c r="C30" s="62"/>
      <c r="D30" s="79"/>
      <c r="E30" s="56"/>
      <c r="F30" s="76"/>
      <c r="G30" s="77">
        <f t="shared" si="33"/>
        <v>0</v>
      </c>
      <c r="H30" s="78">
        <f t="shared" si="34"/>
        <v>0</v>
      </c>
      <c r="I30" s="91"/>
      <c r="J30" s="72">
        <f t="shared" si="19"/>
        <v>0</v>
      </c>
      <c r="K30" s="72">
        <f t="shared" si="20"/>
        <v>0</v>
      </c>
      <c r="L30" s="72">
        <f t="shared" si="21"/>
        <v>0</v>
      </c>
      <c r="M30" s="72">
        <f t="shared" si="22"/>
        <v>0</v>
      </c>
      <c r="N30" s="72">
        <f t="shared" si="23"/>
        <v>0</v>
      </c>
      <c r="O30" s="72">
        <f t="shared" si="24"/>
        <v>0</v>
      </c>
      <c r="P30" s="72">
        <f t="shared" si="25"/>
        <v>0</v>
      </c>
      <c r="Q30" s="72">
        <f t="shared" si="26"/>
        <v>0</v>
      </c>
      <c r="R30" s="72">
        <f t="shared" si="27"/>
        <v>0</v>
      </c>
      <c r="S30" s="72">
        <f t="shared" si="28"/>
        <v>0</v>
      </c>
      <c r="T30" s="72">
        <f t="shared" si="29"/>
        <v>0</v>
      </c>
      <c r="U30" s="72">
        <f t="shared" si="30"/>
        <v>0</v>
      </c>
      <c r="V30" s="72">
        <f t="shared" si="5"/>
        <v>0</v>
      </c>
      <c r="W30" s="72">
        <f t="shared" si="5"/>
        <v>0</v>
      </c>
      <c r="X30" s="72">
        <f t="shared" si="5"/>
        <v>0</v>
      </c>
      <c r="Z30" s="72">
        <f t="shared" si="6"/>
        <v>0</v>
      </c>
      <c r="AA30" s="72">
        <f t="shared" si="7"/>
        <v>0</v>
      </c>
      <c r="AB30" s="72">
        <f t="shared" si="8"/>
        <v>0</v>
      </c>
      <c r="AC30" s="72">
        <f t="shared" si="9"/>
        <v>0</v>
      </c>
      <c r="AD30" s="72">
        <f t="shared" si="10"/>
        <v>0</v>
      </c>
      <c r="AE30" s="72">
        <f t="shared" si="11"/>
        <v>0</v>
      </c>
      <c r="AF30" s="72">
        <f t="shared" si="12"/>
        <v>0</v>
      </c>
      <c r="AG30" s="72">
        <f t="shared" si="13"/>
        <v>0</v>
      </c>
      <c r="AH30" s="72">
        <f t="shared" si="14"/>
        <v>0</v>
      </c>
      <c r="AI30" s="72">
        <f t="shared" si="15"/>
        <v>0</v>
      </c>
      <c r="AJ30" s="72">
        <f t="shared" si="16"/>
        <v>0</v>
      </c>
      <c r="AK30" s="72">
        <f t="shared" si="17"/>
        <v>0</v>
      </c>
      <c r="AL30" s="72">
        <f t="shared" si="18"/>
        <v>0</v>
      </c>
      <c r="AM30" s="72">
        <f t="shared" si="18"/>
        <v>0</v>
      </c>
      <c r="AN30" s="72">
        <f t="shared" si="18"/>
        <v>0</v>
      </c>
      <c r="AV30" s="1"/>
      <c r="AW30" s="1"/>
    </row>
    <row r="31" spans="2:52" ht="17.25" thickBot="1">
      <c r="B31" s="60"/>
      <c r="C31" s="62"/>
      <c r="D31" s="79"/>
      <c r="E31" s="56"/>
      <c r="F31" s="76"/>
      <c r="G31" s="77">
        <f t="shared" si="33"/>
        <v>0</v>
      </c>
      <c r="H31" s="78">
        <f t="shared" si="34"/>
        <v>0</v>
      </c>
      <c r="I31" s="91"/>
      <c r="J31" s="72">
        <f t="shared" si="19"/>
        <v>0</v>
      </c>
      <c r="K31" s="72">
        <f t="shared" si="20"/>
        <v>0</v>
      </c>
      <c r="L31" s="72">
        <f t="shared" si="21"/>
        <v>0</v>
      </c>
      <c r="M31" s="72">
        <f t="shared" si="22"/>
        <v>0</v>
      </c>
      <c r="N31" s="72">
        <f t="shared" si="23"/>
        <v>0</v>
      </c>
      <c r="O31" s="72">
        <f t="shared" si="24"/>
        <v>0</v>
      </c>
      <c r="P31" s="72">
        <f t="shared" si="25"/>
        <v>0</v>
      </c>
      <c r="Q31" s="72">
        <f t="shared" si="26"/>
        <v>0</v>
      </c>
      <c r="R31" s="72">
        <f t="shared" si="27"/>
        <v>0</v>
      </c>
      <c r="S31" s="72">
        <f t="shared" si="28"/>
        <v>0</v>
      </c>
      <c r="T31" s="72">
        <f t="shared" si="29"/>
        <v>0</v>
      </c>
      <c r="U31" s="72">
        <f t="shared" si="30"/>
        <v>0</v>
      </c>
      <c r="V31" s="72">
        <f t="shared" si="5"/>
        <v>0</v>
      </c>
      <c r="W31" s="72">
        <f t="shared" si="5"/>
        <v>0</v>
      </c>
      <c r="X31" s="72">
        <f t="shared" si="5"/>
        <v>0</v>
      </c>
      <c r="Z31" s="72">
        <f t="shared" si="6"/>
        <v>0</v>
      </c>
      <c r="AA31" s="72">
        <f t="shared" si="7"/>
        <v>0</v>
      </c>
      <c r="AB31" s="72">
        <f t="shared" si="8"/>
        <v>0</v>
      </c>
      <c r="AC31" s="72">
        <f t="shared" si="9"/>
        <v>0</v>
      </c>
      <c r="AD31" s="72">
        <f t="shared" si="10"/>
        <v>0</v>
      </c>
      <c r="AE31" s="72">
        <f t="shared" si="11"/>
        <v>0</v>
      </c>
      <c r="AF31" s="72">
        <f t="shared" si="12"/>
        <v>0</v>
      </c>
      <c r="AG31" s="72">
        <f t="shared" si="13"/>
        <v>0</v>
      </c>
      <c r="AH31" s="72">
        <f t="shared" si="14"/>
        <v>0</v>
      </c>
      <c r="AI31" s="72">
        <f t="shared" si="15"/>
        <v>0</v>
      </c>
      <c r="AJ31" s="72">
        <f t="shared" si="16"/>
        <v>0</v>
      </c>
      <c r="AK31" s="72">
        <f t="shared" si="17"/>
        <v>0</v>
      </c>
      <c r="AL31" s="72">
        <f t="shared" si="18"/>
        <v>0</v>
      </c>
      <c r="AM31" s="72">
        <f t="shared" si="18"/>
        <v>0</v>
      </c>
      <c r="AN31" s="72">
        <f t="shared" si="18"/>
        <v>0</v>
      </c>
      <c r="AV31" s="112" t="s">
        <v>80</v>
      </c>
      <c r="AW31" s="113">
        <f>AW28/2</f>
        <v>0</v>
      </c>
    </row>
    <row r="32" spans="2:52">
      <c r="B32" s="60"/>
      <c r="C32" s="62"/>
      <c r="D32" s="79"/>
      <c r="E32" s="56"/>
      <c r="F32" s="76"/>
      <c r="G32" s="77">
        <f t="shared" si="33"/>
        <v>0</v>
      </c>
      <c r="H32" s="78">
        <f t="shared" si="34"/>
        <v>0</v>
      </c>
      <c r="I32" s="91"/>
      <c r="J32" s="72">
        <f t="shared" si="19"/>
        <v>0</v>
      </c>
      <c r="K32" s="72">
        <f t="shared" si="20"/>
        <v>0</v>
      </c>
      <c r="L32" s="72">
        <f t="shared" si="21"/>
        <v>0</v>
      </c>
      <c r="M32" s="72">
        <f t="shared" si="22"/>
        <v>0</v>
      </c>
      <c r="N32" s="72">
        <f t="shared" si="23"/>
        <v>0</v>
      </c>
      <c r="O32" s="72">
        <f t="shared" si="24"/>
        <v>0</v>
      </c>
      <c r="P32" s="72">
        <f t="shared" si="25"/>
        <v>0</v>
      </c>
      <c r="Q32" s="72">
        <f t="shared" si="26"/>
        <v>0</v>
      </c>
      <c r="R32" s="72">
        <f t="shared" si="27"/>
        <v>0</v>
      </c>
      <c r="S32" s="72">
        <f t="shared" si="28"/>
        <v>0</v>
      </c>
      <c r="T32" s="72">
        <f t="shared" si="29"/>
        <v>0</v>
      </c>
      <c r="U32" s="72">
        <f t="shared" si="30"/>
        <v>0</v>
      </c>
      <c r="V32" s="72">
        <f t="shared" si="5"/>
        <v>0</v>
      </c>
      <c r="W32" s="72">
        <f t="shared" si="5"/>
        <v>0</v>
      </c>
      <c r="X32" s="72">
        <f t="shared" si="5"/>
        <v>0</v>
      </c>
      <c r="Z32" s="72">
        <f t="shared" si="6"/>
        <v>0</v>
      </c>
      <c r="AA32" s="72">
        <f t="shared" si="7"/>
        <v>0</v>
      </c>
      <c r="AB32" s="72">
        <f t="shared" si="8"/>
        <v>0</v>
      </c>
      <c r="AC32" s="72">
        <f t="shared" si="9"/>
        <v>0</v>
      </c>
      <c r="AD32" s="72">
        <f t="shared" si="10"/>
        <v>0</v>
      </c>
      <c r="AE32" s="72">
        <f t="shared" si="11"/>
        <v>0</v>
      </c>
      <c r="AF32" s="72">
        <f t="shared" si="12"/>
        <v>0</v>
      </c>
      <c r="AG32" s="72">
        <f t="shared" si="13"/>
        <v>0</v>
      </c>
      <c r="AH32" s="72">
        <f t="shared" si="14"/>
        <v>0</v>
      </c>
      <c r="AI32" s="72">
        <f t="shared" si="15"/>
        <v>0</v>
      </c>
      <c r="AJ32" s="72">
        <f t="shared" si="16"/>
        <v>0</v>
      </c>
      <c r="AK32" s="72">
        <f t="shared" si="17"/>
        <v>0</v>
      </c>
      <c r="AL32" s="72">
        <f t="shared" si="18"/>
        <v>0</v>
      </c>
      <c r="AM32" s="72">
        <f t="shared" si="18"/>
        <v>0</v>
      </c>
      <c r="AN32" s="72">
        <f t="shared" si="18"/>
        <v>0</v>
      </c>
    </row>
    <row r="33" spans="2:40">
      <c r="B33" s="60"/>
      <c r="C33" s="62"/>
      <c r="D33" s="79"/>
      <c r="E33" s="56"/>
      <c r="F33" s="76"/>
      <c r="G33" s="77">
        <f t="shared" si="33"/>
        <v>0</v>
      </c>
      <c r="H33" s="78">
        <f t="shared" si="34"/>
        <v>0</v>
      </c>
      <c r="I33" s="91"/>
      <c r="J33" s="72">
        <f t="shared" si="19"/>
        <v>0</v>
      </c>
      <c r="K33" s="72">
        <f t="shared" si="20"/>
        <v>0</v>
      </c>
      <c r="L33" s="72">
        <f t="shared" si="21"/>
        <v>0</v>
      </c>
      <c r="M33" s="72">
        <f t="shared" si="22"/>
        <v>0</v>
      </c>
      <c r="N33" s="72">
        <f t="shared" si="23"/>
        <v>0</v>
      </c>
      <c r="O33" s="72">
        <f t="shared" si="24"/>
        <v>0</v>
      </c>
      <c r="P33" s="72">
        <f t="shared" si="25"/>
        <v>0</v>
      </c>
      <c r="Q33" s="72">
        <f t="shared" si="26"/>
        <v>0</v>
      </c>
      <c r="R33" s="72">
        <f t="shared" si="27"/>
        <v>0</v>
      </c>
      <c r="S33" s="72">
        <f t="shared" si="28"/>
        <v>0</v>
      </c>
      <c r="T33" s="72">
        <f t="shared" si="29"/>
        <v>0</v>
      </c>
      <c r="U33" s="72">
        <f t="shared" si="30"/>
        <v>0</v>
      </c>
      <c r="V33" s="72">
        <f t="shared" si="5"/>
        <v>0</v>
      </c>
      <c r="W33" s="72">
        <f t="shared" si="5"/>
        <v>0</v>
      </c>
      <c r="X33" s="72">
        <f t="shared" si="5"/>
        <v>0</v>
      </c>
      <c r="Z33" s="72">
        <f t="shared" si="6"/>
        <v>0</v>
      </c>
      <c r="AA33" s="72">
        <f t="shared" si="7"/>
        <v>0</v>
      </c>
      <c r="AB33" s="72">
        <f t="shared" si="8"/>
        <v>0</v>
      </c>
      <c r="AC33" s="72">
        <f t="shared" si="9"/>
        <v>0</v>
      </c>
      <c r="AD33" s="72">
        <f t="shared" si="10"/>
        <v>0</v>
      </c>
      <c r="AE33" s="72">
        <f t="shared" si="11"/>
        <v>0</v>
      </c>
      <c r="AF33" s="72">
        <f t="shared" si="12"/>
        <v>0</v>
      </c>
      <c r="AG33" s="72">
        <f t="shared" si="13"/>
        <v>0</v>
      </c>
      <c r="AH33" s="72">
        <f t="shared" si="14"/>
        <v>0</v>
      </c>
      <c r="AI33" s="72">
        <f t="shared" si="15"/>
        <v>0</v>
      </c>
      <c r="AJ33" s="72">
        <f t="shared" si="16"/>
        <v>0</v>
      </c>
      <c r="AK33" s="72">
        <f t="shared" si="17"/>
        <v>0</v>
      </c>
      <c r="AL33" s="72">
        <f t="shared" si="18"/>
        <v>0</v>
      </c>
      <c r="AM33" s="72">
        <f t="shared" si="18"/>
        <v>0</v>
      </c>
      <c r="AN33" s="72">
        <f t="shared" si="18"/>
        <v>0</v>
      </c>
    </row>
    <row r="34" spans="2:40">
      <c r="B34" s="60"/>
      <c r="C34" s="62"/>
      <c r="D34" s="79"/>
      <c r="E34" s="56"/>
      <c r="F34" s="76"/>
      <c r="G34" s="77">
        <f t="shared" si="33"/>
        <v>0</v>
      </c>
      <c r="H34" s="78">
        <f t="shared" si="34"/>
        <v>0</v>
      </c>
      <c r="I34" s="91"/>
      <c r="J34" s="72">
        <f t="shared" si="19"/>
        <v>0</v>
      </c>
      <c r="K34" s="72">
        <f t="shared" si="20"/>
        <v>0</v>
      </c>
      <c r="L34" s="72">
        <f t="shared" si="21"/>
        <v>0</v>
      </c>
      <c r="M34" s="72">
        <f t="shared" si="22"/>
        <v>0</v>
      </c>
      <c r="N34" s="72">
        <f t="shared" si="23"/>
        <v>0</v>
      </c>
      <c r="O34" s="72">
        <f t="shared" si="24"/>
        <v>0</v>
      </c>
      <c r="P34" s="72">
        <f t="shared" si="25"/>
        <v>0</v>
      </c>
      <c r="Q34" s="72">
        <f t="shared" si="26"/>
        <v>0</v>
      </c>
      <c r="R34" s="72">
        <f t="shared" si="27"/>
        <v>0</v>
      </c>
      <c r="S34" s="72">
        <f t="shared" si="28"/>
        <v>0</v>
      </c>
      <c r="T34" s="72">
        <f t="shared" si="29"/>
        <v>0</v>
      </c>
      <c r="U34" s="72">
        <f t="shared" si="30"/>
        <v>0</v>
      </c>
      <c r="V34" s="72">
        <f t="shared" si="5"/>
        <v>0</v>
      </c>
      <c r="W34" s="72">
        <f t="shared" si="5"/>
        <v>0</v>
      </c>
      <c r="X34" s="72">
        <f t="shared" si="5"/>
        <v>0</v>
      </c>
      <c r="Z34" s="72">
        <f t="shared" si="6"/>
        <v>0</v>
      </c>
      <c r="AA34" s="72">
        <f t="shared" si="7"/>
        <v>0</v>
      </c>
      <c r="AB34" s="72">
        <f t="shared" si="8"/>
        <v>0</v>
      </c>
      <c r="AC34" s="72">
        <f t="shared" si="9"/>
        <v>0</v>
      </c>
      <c r="AD34" s="72">
        <f t="shared" si="10"/>
        <v>0</v>
      </c>
      <c r="AE34" s="72">
        <f t="shared" si="11"/>
        <v>0</v>
      </c>
      <c r="AF34" s="72">
        <f t="shared" si="12"/>
        <v>0</v>
      </c>
      <c r="AG34" s="72">
        <f t="shared" si="13"/>
        <v>0</v>
      </c>
      <c r="AH34" s="72">
        <f t="shared" si="14"/>
        <v>0</v>
      </c>
      <c r="AI34" s="72">
        <f t="shared" si="15"/>
        <v>0</v>
      </c>
      <c r="AJ34" s="72">
        <f t="shared" si="16"/>
        <v>0</v>
      </c>
      <c r="AK34" s="72">
        <f t="shared" si="17"/>
        <v>0</v>
      </c>
      <c r="AL34" s="72">
        <f t="shared" si="18"/>
        <v>0</v>
      </c>
      <c r="AM34" s="72">
        <f t="shared" si="18"/>
        <v>0</v>
      </c>
      <c r="AN34" s="72">
        <f t="shared" si="18"/>
        <v>0</v>
      </c>
    </row>
    <row r="35" spans="2:40">
      <c r="B35" s="60"/>
      <c r="C35" s="62"/>
      <c r="D35" s="79"/>
      <c r="E35" s="56"/>
      <c r="F35" s="76"/>
      <c r="G35" s="77">
        <f t="shared" si="33"/>
        <v>0</v>
      </c>
      <c r="H35" s="78">
        <f t="shared" si="34"/>
        <v>0</v>
      </c>
      <c r="I35" s="91"/>
      <c r="J35" s="72">
        <f t="shared" si="19"/>
        <v>0</v>
      </c>
      <c r="K35" s="72">
        <f t="shared" si="20"/>
        <v>0</v>
      </c>
      <c r="L35" s="72">
        <f t="shared" si="21"/>
        <v>0</v>
      </c>
      <c r="M35" s="72">
        <f t="shared" si="22"/>
        <v>0</v>
      </c>
      <c r="N35" s="72">
        <f t="shared" si="23"/>
        <v>0</v>
      </c>
      <c r="O35" s="72">
        <f t="shared" si="24"/>
        <v>0</v>
      </c>
      <c r="P35" s="72">
        <f t="shared" si="25"/>
        <v>0</v>
      </c>
      <c r="Q35" s="72">
        <f t="shared" si="26"/>
        <v>0</v>
      </c>
      <c r="R35" s="72">
        <f t="shared" si="27"/>
        <v>0</v>
      </c>
      <c r="S35" s="72">
        <f t="shared" si="28"/>
        <v>0</v>
      </c>
      <c r="T35" s="72">
        <f t="shared" si="29"/>
        <v>0</v>
      </c>
      <c r="U35" s="72">
        <f t="shared" si="30"/>
        <v>0</v>
      </c>
      <c r="V35" s="72">
        <f t="shared" si="5"/>
        <v>0</v>
      </c>
      <c r="W35" s="72">
        <f t="shared" si="5"/>
        <v>0</v>
      </c>
      <c r="X35" s="72">
        <f t="shared" si="5"/>
        <v>0</v>
      </c>
      <c r="Z35" s="72">
        <f t="shared" si="6"/>
        <v>0</v>
      </c>
      <c r="AA35" s="72">
        <f t="shared" si="7"/>
        <v>0</v>
      </c>
      <c r="AB35" s="72">
        <f t="shared" si="8"/>
        <v>0</v>
      </c>
      <c r="AC35" s="72">
        <f t="shared" si="9"/>
        <v>0</v>
      </c>
      <c r="AD35" s="72">
        <f t="shared" si="10"/>
        <v>0</v>
      </c>
      <c r="AE35" s="72">
        <f t="shared" si="11"/>
        <v>0</v>
      </c>
      <c r="AF35" s="72">
        <f t="shared" si="12"/>
        <v>0</v>
      </c>
      <c r="AG35" s="72">
        <f t="shared" si="13"/>
        <v>0</v>
      </c>
      <c r="AH35" s="72">
        <f t="shared" si="14"/>
        <v>0</v>
      </c>
      <c r="AI35" s="72">
        <f t="shared" si="15"/>
        <v>0</v>
      </c>
      <c r="AJ35" s="72">
        <f t="shared" si="16"/>
        <v>0</v>
      </c>
      <c r="AK35" s="72">
        <f t="shared" si="17"/>
        <v>0</v>
      </c>
      <c r="AL35" s="72">
        <f t="shared" si="18"/>
        <v>0</v>
      </c>
      <c r="AM35" s="72">
        <f t="shared" si="18"/>
        <v>0</v>
      </c>
      <c r="AN35" s="72">
        <f t="shared" si="18"/>
        <v>0</v>
      </c>
    </row>
    <row r="36" spans="2:40">
      <c r="B36" s="60"/>
      <c r="C36" s="62"/>
      <c r="D36" s="79"/>
      <c r="E36" s="56"/>
      <c r="F36" s="76"/>
      <c r="G36" s="77">
        <f t="shared" si="33"/>
        <v>0</v>
      </c>
      <c r="H36" s="78">
        <f t="shared" si="34"/>
        <v>0</v>
      </c>
      <c r="I36" s="91"/>
      <c r="J36" s="72">
        <f t="shared" si="19"/>
        <v>0</v>
      </c>
      <c r="K36" s="72">
        <f t="shared" si="20"/>
        <v>0</v>
      </c>
      <c r="L36" s="72">
        <f t="shared" si="21"/>
        <v>0</v>
      </c>
      <c r="M36" s="72">
        <f t="shared" si="22"/>
        <v>0</v>
      </c>
      <c r="N36" s="72">
        <f t="shared" si="23"/>
        <v>0</v>
      </c>
      <c r="O36" s="72">
        <f t="shared" si="24"/>
        <v>0</v>
      </c>
      <c r="P36" s="72">
        <f t="shared" si="25"/>
        <v>0</v>
      </c>
      <c r="Q36" s="72">
        <f t="shared" si="26"/>
        <v>0</v>
      </c>
      <c r="R36" s="72">
        <f t="shared" si="27"/>
        <v>0</v>
      </c>
      <c r="S36" s="72">
        <f t="shared" si="28"/>
        <v>0</v>
      </c>
      <c r="T36" s="72">
        <f t="shared" si="29"/>
        <v>0</v>
      </c>
      <c r="U36" s="72">
        <f t="shared" si="30"/>
        <v>0</v>
      </c>
      <c r="V36" s="72">
        <f t="shared" ref="V36:X62" si="35">IF($D36=V$2,$H36,0)</f>
        <v>0</v>
      </c>
      <c r="W36" s="72">
        <f t="shared" si="35"/>
        <v>0</v>
      </c>
      <c r="X36" s="72">
        <f t="shared" si="35"/>
        <v>0</v>
      </c>
      <c r="Z36" s="72">
        <f t="shared" si="6"/>
        <v>0</v>
      </c>
      <c r="AA36" s="72">
        <f t="shared" si="7"/>
        <v>0</v>
      </c>
      <c r="AB36" s="72">
        <f t="shared" si="8"/>
        <v>0</v>
      </c>
      <c r="AC36" s="72">
        <f t="shared" si="9"/>
        <v>0</v>
      </c>
      <c r="AD36" s="72">
        <f t="shared" si="10"/>
        <v>0</v>
      </c>
      <c r="AE36" s="72">
        <f t="shared" si="11"/>
        <v>0</v>
      </c>
      <c r="AF36" s="72">
        <f t="shared" si="12"/>
        <v>0</v>
      </c>
      <c r="AG36" s="72">
        <f t="shared" si="13"/>
        <v>0</v>
      </c>
      <c r="AH36" s="72">
        <f t="shared" si="14"/>
        <v>0</v>
      </c>
      <c r="AI36" s="72">
        <f t="shared" si="15"/>
        <v>0</v>
      </c>
      <c r="AJ36" s="72">
        <f t="shared" si="16"/>
        <v>0</v>
      </c>
      <c r="AK36" s="72">
        <f t="shared" si="17"/>
        <v>0</v>
      </c>
      <c r="AL36" s="72">
        <f t="shared" si="18"/>
        <v>0</v>
      </c>
      <c r="AM36" s="72">
        <f t="shared" si="18"/>
        <v>0</v>
      </c>
      <c r="AN36" s="72">
        <f t="shared" si="18"/>
        <v>0</v>
      </c>
    </row>
    <row r="37" spans="2:40">
      <c r="B37" s="60"/>
      <c r="C37" s="62"/>
      <c r="D37" s="79"/>
      <c r="E37" s="56"/>
      <c r="F37" s="76"/>
      <c r="G37" s="77">
        <f t="shared" si="33"/>
        <v>0</v>
      </c>
      <c r="H37" s="78">
        <f t="shared" si="34"/>
        <v>0</v>
      </c>
      <c r="I37" s="91"/>
      <c r="J37" s="72">
        <f t="shared" si="19"/>
        <v>0</v>
      </c>
      <c r="K37" s="72">
        <f t="shared" si="20"/>
        <v>0</v>
      </c>
      <c r="L37" s="72">
        <f t="shared" si="21"/>
        <v>0</v>
      </c>
      <c r="M37" s="72">
        <f t="shared" si="22"/>
        <v>0</v>
      </c>
      <c r="N37" s="72">
        <f t="shared" si="23"/>
        <v>0</v>
      </c>
      <c r="O37" s="72">
        <f t="shared" si="24"/>
        <v>0</v>
      </c>
      <c r="P37" s="72">
        <f t="shared" si="25"/>
        <v>0</v>
      </c>
      <c r="Q37" s="72">
        <f t="shared" si="26"/>
        <v>0</v>
      </c>
      <c r="R37" s="72">
        <f t="shared" si="27"/>
        <v>0</v>
      </c>
      <c r="S37" s="72">
        <f t="shared" si="28"/>
        <v>0</v>
      </c>
      <c r="T37" s="72">
        <f t="shared" si="29"/>
        <v>0</v>
      </c>
      <c r="U37" s="72">
        <f t="shared" si="30"/>
        <v>0</v>
      </c>
      <c r="V37" s="72">
        <f t="shared" si="35"/>
        <v>0</v>
      </c>
      <c r="W37" s="72">
        <f t="shared" si="35"/>
        <v>0</v>
      </c>
      <c r="X37" s="72">
        <f t="shared" si="35"/>
        <v>0</v>
      </c>
      <c r="Z37" s="72">
        <f t="shared" si="6"/>
        <v>0</v>
      </c>
      <c r="AA37" s="72">
        <f t="shared" si="7"/>
        <v>0</v>
      </c>
      <c r="AB37" s="72">
        <f t="shared" si="8"/>
        <v>0</v>
      </c>
      <c r="AC37" s="72">
        <f t="shared" si="9"/>
        <v>0</v>
      </c>
      <c r="AD37" s="72">
        <f t="shared" si="10"/>
        <v>0</v>
      </c>
      <c r="AE37" s="72">
        <f t="shared" si="11"/>
        <v>0</v>
      </c>
      <c r="AF37" s="72">
        <f t="shared" si="12"/>
        <v>0</v>
      </c>
      <c r="AG37" s="72">
        <f t="shared" si="13"/>
        <v>0</v>
      </c>
      <c r="AH37" s="72">
        <f t="shared" si="14"/>
        <v>0</v>
      </c>
      <c r="AI37" s="72">
        <f t="shared" si="15"/>
        <v>0</v>
      </c>
      <c r="AJ37" s="72">
        <f t="shared" si="16"/>
        <v>0</v>
      </c>
      <c r="AK37" s="72">
        <f t="shared" si="17"/>
        <v>0</v>
      </c>
      <c r="AL37" s="72">
        <f t="shared" si="18"/>
        <v>0</v>
      </c>
      <c r="AM37" s="72">
        <f t="shared" si="18"/>
        <v>0</v>
      </c>
      <c r="AN37" s="72">
        <f t="shared" si="18"/>
        <v>0</v>
      </c>
    </row>
    <row r="38" spans="2:40">
      <c r="B38" s="60"/>
      <c r="C38" s="62"/>
      <c r="D38" s="79"/>
      <c r="E38" s="56"/>
      <c r="F38" s="76"/>
      <c r="G38" s="77">
        <f t="shared" si="33"/>
        <v>0</v>
      </c>
      <c r="H38" s="78">
        <f t="shared" si="34"/>
        <v>0</v>
      </c>
      <c r="I38" s="91"/>
      <c r="J38" s="72">
        <f t="shared" si="19"/>
        <v>0</v>
      </c>
      <c r="K38" s="72">
        <f t="shared" si="20"/>
        <v>0</v>
      </c>
      <c r="L38" s="72">
        <f t="shared" si="21"/>
        <v>0</v>
      </c>
      <c r="M38" s="72">
        <f t="shared" si="22"/>
        <v>0</v>
      </c>
      <c r="N38" s="72">
        <f t="shared" si="23"/>
        <v>0</v>
      </c>
      <c r="O38" s="72">
        <f t="shared" si="24"/>
        <v>0</v>
      </c>
      <c r="P38" s="72">
        <f t="shared" si="25"/>
        <v>0</v>
      </c>
      <c r="Q38" s="72">
        <f t="shared" si="26"/>
        <v>0</v>
      </c>
      <c r="R38" s="72">
        <f t="shared" si="27"/>
        <v>0</v>
      </c>
      <c r="S38" s="72">
        <f t="shared" si="28"/>
        <v>0</v>
      </c>
      <c r="T38" s="72">
        <f t="shared" si="29"/>
        <v>0</v>
      </c>
      <c r="U38" s="72">
        <f t="shared" si="30"/>
        <v>0</v>
      </c>
      <c r="V38" s="72">
        <f t="shared" si="35"/>
        <v>0</v>
      </c>
      <c r="W38" s="72">
        <f t="shared" si="35"/>
        <v>0</v>
      </c>
      <c r="X38" s="72">
        <f t="shared" si="35"/>
        <v>0</v>
      </c>
      <c r="Z38" s="72">
        <f t="shared" si="6"/>
        <v>0</v>
      </c>
      <c r="AA38" s="72">
        <f t="shared" si="7"/>
        <v>0</v>
      </c>
      <c r="AB38" s="72">
        <f t="shared" si="8"/>
        <v>0</v>
      </c>
      <c r="AC38" s="72">
        <f t="shared" si="9"/>
        <v>0</v>
      </c>
      <c r="AD38" s="72">
        <f t="shared" si="10"/>
        <v>0</v>
      </c>
      <c r="AE38" s="72">
        <f t="shared" si="11"/>
        <v>0</v>
      </c>
      <c r="AF38" s="72">
        <f t="shared" si="12"/>
        <v>0</v>
      </c>
      <c r="AG38" s="72">
        <f t="shared" si="13"/>
        <v>0</v>
      </c>
      <c r="AH38" s="72">
        <f t="shared" si="14"/>
        <v>0</v>
      </c>
      <c r="AI38" s="72">
        <f t="shared" si="15"/>
        <v>0</v>
      </c>
      <c r="AJ38" s="72">
        <f t="shared" si="16"/>
        <v>0</v>
      </c>
      <c r="AK38" s="72">
        <f t="shared" si="17"/>
        <v>0</v>
      </c>
      <c r="AL38" s="72">
        <f t="shared" si="18"/>
        <v>0</v>
      </c>
      <c r="AM38" s="72">
        <f t="shared" si="18"/>
        <v>0</v>
      </c>
      <c r="AN38" s="72">
        <f t="shared" si="18"/>
        <v>0</v>
      </c>
    </row>
    <row r="39" spans="2:40">
      <c r="B39" s="60"/>
      <c r="C39" s="62"/>
      <c r="D39" s="79"/>
      <c r="E39" s="56"/>
      <c r="F39" s="76"/>
      <c r="G39" s="77">
        <f t="shared" si="33"/>
        <v>0</v>
      </c>
      <c r="H39" s="78">
        <f t="shared" si="34"/>
        <v>0</v>
      </c>
      <c r="I39" s="91"/>
      <c r="J39" s="72">
        <f t="shared" si="19"/>
        <v>0</v>
      </c>
      <c r="K39" s="72">
        <f t="shared" si="20"/>
        <v>0</v>
      </c>
      <c r="L39" s="72">
        <f t="shared" si="21"/>
        <v>0</v>
      </c>
      <c r="M39" s="72">
        <f t="shared" si="22"/>
        <v>0</v>
      </c>
      <c r="N39" s="72">
        <f t="shared" si="23"/>
        <v>0</v>
      </c>
      <c r="O39" s="72">
        <f t="shared" si="24"/>
        <v>0</v>
      </c>
      <c r="P39" s="72">
        <f t="shared" si="25"/>
        <v>0</v>
      </c>
      <c r="Q39" s="72">
        <f t="shared" si="26"/>
        <v>0</v>
      </c>
      <c r="R39" s="72">
        <f t="shared" si="27"/>
        <v>0</v>
      </c>
      <c r="S39" s="72">
        <f t="shared" si="28"/>
        <v>0</v>
      </c>
      <c r="T39" s="72">
        <f t="shared" si="29"/>
        <v>0</v>
      </c>
      <c r="U39" s="72">
        <f t="shared" si="30"/>
        <v>0</v>
      </c>
      <c r="V39" s="72">
        <f t="shared" si="35"/>
        <v>0</v>
      </c>
      <c r="W39" s="72">
        <f t="shared" si="35"/>
        <v>0</v>
      </c>
      <c r="X39" s="72">
        <f t="shared" si="35"/>
        <v>0</v>
      </c>
      <c r="Z39" s="72">
        <f t="shared" si="6"/>
        <v>0</v>
      </c>
      <c r="AA39" s="72">
        <f t="shared" si="7"/>
        <v>0</v>
      </c>
      <c r="AB39" s="72">
        <f t="shared" si="8"/>
        <v>0</v>
      </c>
      <c r="AC39" s="72">
        <f t="shared" si="9"/>
        <v>0</v>
      </c>
      <c r="AD39" s="72">
        <f t="shared" si="10"/>
        <v>0</v>
      </c>
      <c r="AE39" s="72">
        <f t="shared" si="11"/>
        <v>0</v>
      </c>
      <c r="AF39" s="72">
        <f t="shared" si="12"/>
        <v>0</v>
      </c>
      <c r="AG39" s="72">
        <f t="shared" si="13"/>
        <v>0</v>
      </c>
      <c r="AH39" s="72">
        <f t="shared" si="14"/>
        <v>0</v>
      </c>
      <c r="AI39" s="72">
        <f t="shared" si="15"/>
        <v>0</v>
      </c>
      <c r="AJ39" s="72">
        <f t="shared" si="16"/>
        <v>0</v>
      </c>
      <c r="AK39" s="72">
        <f t="shared" si="17"/>
        <v>0</v>
      </c>
      <c r="AL39" s="72">
        <f t="shared" si="18"/>
        <v>0</v>
      </c>
      <c r="AM39" s="72">
        <f t="shared" si="18"/>
        <v>0</v>
      </c>
      <c r="AN39" s="72">
        <f t="shared" si="18"/>
        <v>0</v>
      </c>
    </row>
    <row r="40" spans="2:40">
      <c r="B40" s="60"/>
      <c r="C40" s="62"/>
      <c r="D40" s="79"/>
      <c r="E40" s="56"/>
      <c r="F40" s="76"/>
      <c r="G40" s="77">
        <f t="shared" si="33"/>
        <v>0</v>
      </c>
      <c r="H40" s="78">
        <f t="shared" si="34"/>
        <v>0</v>
      </c>
      <c r="I40" s="91"/>
      <c r="J40" s="72">
        <f t="shared" si="19"/>
        <v>0</v>
      </c>
      <c r="K40" s="72">
        <f t="shared" si="20"/>
        <v>0</v>
      </c>
      <c r="L40" s="72">
        <f t="shared" si="21"/>
        <v>0</v>
      </c>
      <c r="M40" s="72">
        <f t="shared" si="22"/>
        <v>0</v>
      </c>
      <c r="N40" s="72">
        <f t="shared" si="23"/>
        <v>0</v>
      </c>
      <c r="O40" s="72">
        <f t="shared" si="24"/>
        <v>0</v>
      </c>
      <c r="P40" s="72">
        <f t="shared" si="25"/>
        <v>0</v>
      </c>
      <c r="Q40" s="72">
        <f t="shared" si="26"/>
        <v>0</v>
      </c>
      <c r="R40" s="72">
        <f t="shared" si="27"/>
        <v>0</v>
      </c>
      <c r="S40" s="72">
        <f t="shared" si="28"/>
        <v>0</v>
      </c>
      <c r="T40" s="72">
        <f t="shared" si="29"/>
        <v>0</v>
      </c>
      <c r="U40" s="72">
        <f t="shared" si="30"/>
        <v>0</v>
      </c>
      <c r="V40" s="72">
        <f t="shared" si="35"/>
        <v>0</v>
      </c>
      <c r="W40" s="72">
        <f t="shared" si="35"/>
        <v>0</v>
      </c>
      <c r="X40" s="72">
        <f t="shared" si="35"/>
        <v>0</v>
      </c>
      <c r="Z40" s="72">
        <f t="shared" si="6"/>
        <v>0</v>
      </c>
      <c r="AA40" s="72">
        <f t="shared" si="7"/>
        <v>0</v>
      </c>
      <c r="AB40" s="72">
        <f t="shared" si="8"/>
        <v>0</v>
      </c>
      <c r="AC40" s="72">
        <f t="shared" si="9"/>
        <v>0</v>
      </c>
      <c r="AD40" s="72">
        <f t="shared" si="10"/>
        <v>0</v>
      </c>
      <c r="AE40" s="72">
        <f t="shared" si="11"/>
        <v>0</v>
      </c>
      <c r="AF40" s="72">
        <f t="shared" si="12"/>
        <v>0</v>
      </c>
      <c r="AG40" s="72">
        <f t="shared" si="13"/>
        <v>0</v>
      </c>
      <c r="AH40" s="72">
        <f t="shared" si="14"/>
        <v>0</v>
      </c>
      <c r="AI40" s="72">
        <f t="shared" si="15"/>
        <v>0</v>
      </c>
      <c r="AJ40" s="72">
        <f t="shared" si="16"/>
        <v>0</v>
      </c>
      <c r="AK40" s="72">
        <f t="shared" si="17"/>
        <v>0</v>
      </c>
      <c r="AL40" s="72">
        <f t="shared" si="18"/>
        <v>0</v>
      </c>
      <c r="AM40" s="72">
        <f t="shared" si="18"/>
        <v>0</v>
      </c>
      <c r="AN40" s="72">
        <f t="shared" si="18"/>
        <v>0</v>
      </c>
    </row>
    <row r="41" spans="2:40">
      <c r="B41" s="60"/>
      <c r="C41" s="62"/>
      <c r="D41" s="79"/>
      <c r="E41" s="56"/>
      <c r="F41" s="76"/>
      <c r="G41" s="77">
        <f t="shared" si="33"/>
        <v>0</v>
      </c>
      <c r="H41" s="78">
        <f t="shared" si="34"/>
        <v>0</v>
      </c>
      <c r="I41" s="91"/>
      <c r="J41" s="72">
        <f t="shared" si="19"/>
        <v>0</v>
      </c>
      <c r="K41" s="72">
        <f t="shared" si="20"/>
        <v>0</v>
      </c>
      <c r="L41" s="72">
        <f t="shared" si="21"/>
        <v>0</v>
      </c>
      <c r="M41" s="72">
        <f t="shared" si="22"/>
        <v>0</v>
      </c>
      <c r="N41" s="72">
        <f t="shared" si="23"/>
        <v>0</v>
      </c>
      <c r="O41" s="72">
        <f t="shared" si="24"/>
        <v>0</v>
      </c>
      <c r="P41" s="72">
        <f t="shared" si="25"/>
        <v>0</v>
      </c>
      <c r="Q41" s="72">
        <f t="shared" si="26"/>
        <v>0</v>
      </c>
      <c r="R41" s="72">
        <f t="shared" si="27"/>
        <v>0</v>
      </c>
      <c r="S41" s="72">
        <f t="shared" si="28"/>
        <v>0</v>
      </c>
      <c r="T41" s="72">
        <f t="shared" si="29"/>
        <v>0</v>
      </c>
      <c r="U41" s="72">
        <f t="shared" si="30"/>
        <v>0</v>
      </c>
      <c r="V41" s="72">
        <f t="shared" si="35"/>
        <v>0</v>
      </c>
      <c r="W41" s="72">
        <f t="shared" si="35"/>
        <v>0</v>
      </c>
      <c r="X41" s="72">
        <f t="shared" si="35"/>
        <v>0</v>
      </c>
      <c r="Z41" s="72">
        <f t="shared" si="6"/>
        <v>0</v>
      </c>
      <c r="AA41" s="72">
        <f t="shared" si="7"/>
        <v>0</v>
      </c>
      <c r="AB41" s="72">
        <f t="shared" si="8"/>
        <v>0</v>
      </c>
      <c r="AC41" s="72">
        <f t="shared" si="9"/>
        <v>0</v>
      </c>
      <c r="AD41" s="72">
        <f t="shared" si="10"/>
        <v>0</v>
      </c>
      <c r="AE41" s="72">
        <f t="shared" si="11"/>
        <v>0</v>
      </c>
      <c r="AF41" s="72">
        <f t="shared" si="12"/>
        <v>0</v>
      </c>
      <c r="AG41" s="72">
        <f t="shared" si="13"/>
        <v>0</v>
      </c>
      <c r="AH41" s="72">
        <f t="shared" si="14"/>
        <v>0</v>
      </c>
      <c r="AI41" s="72">
        <f t="shared" si="15"/>
        <v>0</v>
      </c>
      <c r="AJ41" s="72">
        <f t="shared" si="16"/>
        <v>0</v>
      </c>
      <c r="AK41" s="72">
        <f t="shared" si="17"/>
        <v>0</v>
      </c>
      <c r="AL41" s="72">
        <f t="shared" si="18"/>
        <v>0</v>
      </c>
      <c r="AM41" s="72">
        <f t="shared" si="18"/>
        <v>0</v>
      </c>
      <c r="AN41" s="72">
        <f t="shared" si="18"/>
        <v>0</v>
      </c>
    </row>
    <row r="42" spans="2:40">
      <c r="B42" s="60"/>
      <c r="C42" s="62"/>
      <c r="D42" s="79"/>
      <c r="E42" s="56"/>
      <c r="F42" s="76"/>
      <c r="G42" s="77">
        <f t="shared" si="33"/>
        <v>0</v>
      </c>
      <c r="H42" s="78">
        <f t="shared" si="34"/>
        <v>0</v>
      </c>
      <c r="I42" s="91"/>
      <c r="J42" s="72">
        <f t="shared" si="19"/>
        <v>0</v>
      </c>
      <c r="K42" s="72">
        <f t="shared" si="20"/>
        <v>0</v>
      </c>
      <c r="L42" s="72">
        <f t="shared" si="21"/>
        <v>0</v>
      </c>
      <c r="M42" s="72">
        <f t="shared" si="22"/>
        <v>0</v>
      </c>
      <c r="N42" s="72">
        <f t="shared" si="23"/>
        <v>0</v>
      </c>
      <c r="O42" s="72">
        <f t="shared" si="24"/>
        <v>0</v>
      </c>
      <c r="P42" s="72">
        <f t="shared" si="25"/>
        <v>0</v>
      </c>
      <c r="Q42" s="72">
        <f t="shared" si="26"/>
        <v>0</v>
      </c>
      <c r="R42" s="72">
        <f t="shared" si="27"/>
        <v>0</v>
      </c>
      <c r="S42" s="72">
        <f t="shared" si="28"/>
        <v>0</v>
      </c>
      <c r="T42" s="72">
        <f t="shared" si="29"/>
        <v>0</v>
      </c>
      <c r="U42" s="72">
        <f t="shared" si="30"/>
        <v>0</v>
      </c>
      <c r="V42" s="72">
        <f t="shared" si="35"/>
        <v>0</v>
      </c>
      <c r="W42" s="72">
        <f t="shared" si="35"/>
        <v>0</v>
      </c>
      <c r="X42" s="72">
        <f t="shared" si="35"/>
        <v>0</v>
      </c>
      <c r="Z42" s="72">
        <f t="shared" si="6"/>
        <v>0</v>
      </c>
      <c r="AA42" s="72">
        <f t="shared" si="7"/>
        <v>0</v>
      </c>
      <c r="AB42" s="72">
        <f t="shared" si="8"/>
        <v>0</v>
      </c>
      <c r="AC42" s="72">
        <f t="shared" si="9"/>
        <v>0</v>
      </c>
      <c r="AD42" s="72">
        <f t="shared" si="10"/>
        <v>0</v>
      </c>
      <c r="AE42" s="72">
        <f t="shared" si="11"/>
        <v>0</v>
      </c>
      <c r="AF42" s="72">
        <f t="shared" si="12"/>
        <v>0</v>
      </c>
      <c r="AG42" s="72">
        <f t="shared" si="13"/>
        <v>0</v>
      </c>
      <c r="AH42" s="72">
        <f t="shared" si="14"/>
        <v>0</v>
      </c>
      <c r="AI42" s="72">
        <f t="shared" si="15"/>
        <v>0</v>
      </c>
      <c r="AJ42" s="72">
        <f t="shared" si="16"/>
        <v>0</v>
      </c>
      <c r="AK42" s="72">
        <f t="shared" si="17"/>
        <v>0</v>
      </c>
      <c r="AL42" s="72">
        <f t="shared" si="18"/>
        <v>0</v>
      </c>
      <c r="AM42" s="72">
        <f t="shared" si="18"/>
        <v>0</v>
      </c>
      <c r="AN42" s="72">
        <f t="shared" si="18"/>
        <v>0</v>
      </c>
    </row>
    <row r="43" spans="2:40">
      <c r="B43" s="60"/>
      <c r="C43" s="62"/>
      <c r="D43" s="79"/>
      <c r="E43" s="56"/>
      <c r="F43" s="76"/>
      <c r="G43" s="77">
        <f t="shared" si="33"/>
        <v>0</v>
      </c>
      <c r="H43" s="78">
        <f t="shared" si="34"/>
        <v>0</v>
      </c>
      <c r="I43" s="91"/>
      <c r="J43" s="72">
        <f t="shared" si="19"/>
        <v>0</v>
      </c>
      <c r="K43" s="72">
        <f t="shared" si="20"/>
        <v>0</v>
      </c>
      <c r="L43" s="72">
        <f t="shared" si="21"/>
        <v>0</v>
      </c>
      <c r="M43" s="72">
        <f t="shared" si="22"/>
        <v>0</v>
      </c>
      <c r="N43" s="72">
        <f t="shared" si="23"/>
        <v>0</v>
      </c>
      <c r="O43" s="72">
        <f t="shared" si="24"/>
        <v>0</v>
      </c>
      <c r="P43" s="72">
        <f t="shared" si="25"/>
        <v>0</v>
      </c>
      <c r="Q43" s="72">
        <f t="shared" si="26"/>
        <v>0</v>
      </c>
      <c r="R43" s="72">
        <f t="shared" si="27"/>
        <v>0</v>
      </c>
      <c r="S43" s="72">
        <f t="shared" si="28"/>
        <v>0</v>
      </c>
      <c r="T43" s="72">
        <f t="shared" si="29"/>
        <v>0</v>
      </c>
      <c r="U43" s="72">
        <f t="shared" si="30"/>
        <v>0</v>
      </c>
      <c r="V43" s="72">
        <f t="shared" si="35"/>
        <v>0</v>
      </c>
      <c r="W43" s="72">
        <f t="shared" si="35"/>
        <v>0</v>
      </c>
      <c r="X43" s="72">
        <f t="shared" si="35"/>
        <v>0</v>
      </c>
      <c r="Z43" s="72">
        <f t="shared" si="6"/>
        <v>0</v>
      </c>
      <c r="AA43" s="72">
        <f t="shared" si="7"/>
        <v>0</v>
      </c>
      <c r="AB43" s="72">
        <f t="shared" si="8"/>
        <v>0</v>
      </c>
      <c r="AC43" s="72">
        <f t="shared" si="9"/>
        <v>0</v>
      </c>
      <c r="AD43" s="72">
        <f t="shared" si="10"/>
        <v>0</v>
      </c>
      <c r="AE43" s="72">
        <f t="shared" si="11"/>
        <v>0</v>
      </c>
      <c r="AF43" s="72">
        <f t="shared" si="12"/>
        <v>0</v>
      </c>
      <c r="AG43" s="72">
        <f t="shared" si="13"/>
        <v>0</v>
      </c>
      <c r="AH43" s="72">
        <f t="shared" si="14"/>
        <v>0</v>
      </c>
      <c r="AI43" s="72">
        <f t="shared" si="15"/>
        <v>0</v>
      </c>
      <c r="AJ43" s="72">
        <f t="shared" si="16"/>
        <v>0</v>
      </c>
      <c r="AK43" s="72">
        <f t="shared" si="17"/>
        <v>0</v>
      </c>
      <c r="AL43" s="72">
        <f t="shared" si="18"/>
        <v>0</v>
      </c>
      <c r="AM43" s="72">
        <f t="shared" si="18"/>
        <v>0</v>
      </c>
      <c r="AN43" s="72">
        <f t="shared" si="18"/>
        <v>0</v>
      </c>
    </row>
    <row r="44" spans="2:40">
      <c r="B44" s="60"/>
      <c r="C44" s="62"/>
      <c r="D44" s="79"/>
      <c r="E44" s="56"/>
      <c r="F44" s="76"/>
      <c r="G44" s="77">
        <f t="shared" si="33"/>
        <v>0</v>
      </c>
      <c r="H44" s="78">
        <f t="shared" si="34"/>
        <v>0</v>
      </c>
      <c r="I44" s="91"/>
      <c r="J44" s="72">
        <f t="shared" si="19"/>
        <v>0</v>
      </c>
      <c r="K44" s="72">
        <f t="shared" si="20"/>
        <v>0</v>
      </c>
      <c r="L44" s="72">
        <f t="shared" si="21"/>
        <v>0</v>
      </c>
      <c r="M44" s="72">
        <f t="shared" si="22"/>
        <v>0</v>
      </c>
      <c r="N44" s="72">
        <f t="shared" si="23"/>
        <v>0</v>
      </c>
      <c r="O44" s="72">
        <f t="shared" si="24"/>
        <v>0</v>
      </c>
      <c r="P44" s="72">
        <f t="shared" si="25"/>
        <v>0</v>
      </c>
      <c r="Q44" s="72">
        <f t="shared" si="26"/>
        <v>0</v>
      </c>
      <c r="R44" s="72">
        <f t="shared" si="27"/>
        <v>0</v>
      </c>
      <c r="S44" s="72">
        <f t="shared" si="28"/>
        <v>0</v>
      </c>
      <c r="T44" s="72">
        <f t="shared" si="29"/>
        <v>0</v>
      </c>
      <c r="U44" s="72">
        <f t="shared" si="30"/>
        <v>0</v>
      </c>
      <c r="V44" s="72">
        <f t="shared" si="35"/>
        <v>0</v>
      </c>
      <c r="W44" s="72">
        <f t="shared" si="35"/>
        <v>0</v>
      </c>
      <c r="X44" s="72">
        <f t="shared" si="35"/>
        <v>0</v>
      </c>
      <c r="Z44" s="72">
        <f t="shared" si="6"/>
        <v>0</v>
      </c>
      <c r="AA44" s="72">
        <f t="shared" si="7"/>
        <v>0</v>
      </c>
      <c r="AB44" s="72">
        <f t="shared" si="8"/>
        <v>0</v>
      </c>
      <c r="AC44" s="72">
        <f t="shared" si="9"/>
        <v>0</v>
      </c>
      <c r="AD44" s="72">
        <f t="shared" si="10"/>
        <v>0</v>
      </c>
      <c r="AE44" s="72">
        <f t="shared" si="11"/>
        <v>0</v>
      </c>
      <c r="AF44" s="72">
        <f t="shared" si="12"/>
        <v>0</v>
      </c>
      <c r="AG44" s="72">
        <f t="shared" si="13"/>
        <v>0</v>
      </c>
      <c r="AH44" s="72">
        <f t="shared" si="14"/>
        <v>0</v>
      </c>
      <c r="AI44" s="72">
        <f t="shared" si="15"/>
        <v>0</v>
      </c>
      <c r="AJ44" s="72">
        <f t="shared" si="16"/>
        <v>0</v>
      </c>
      <c r="AK44" s="72">
        <f t="shared" si="17"/>
        <v>0</v>
      </c>
      <c r="AL44" s="72">
        <f t="shared" si="18"/>
        <v>0</v>
      </c>
      <c r="AM44" s="72">
        <f t="shared" si="18"/>
        <v>0</v>
      </c>
      <c r="AN44" s="72">
        <f t="shared" si="18"/>
        <v>0</v>
      </c>
    </row>
    <row r="45" spans="2:40">
      <c r="B45" s="60"/>
      <c r="C45" s="62"/>
      <c r="D45" s="79"/>
      <c r="E45" s="56"/>
      <c r="F45" s="76"/>
      <c r="G45" s="77">
        <f t="shared" si="33"/>
        <v>0</v>
      </c>
      <c r="H45" s="78">
        <f t="shared" si="34"/>
        <v>0</v>
      </c>
      <c r="I45" s="91"/>
      <c r="J45" s="72">
        <f t="shared" si="19"/>
        <v>0</v>
      </c>
      <c r="K45" s="72">
        <f t="shared" si="20"/>
        <v>0</v>
      </c>
      <c r="L45" s="72">
        <f t="shared" si="21"/>
        <v>0</v>
      </c>
      <c r="M45" s="72">
        <f t="shared" si="22"/>
        <v>0</v>
      </c>
      <c r="N45" s="72">
        <f t="shared" si="23"/>
        <v>0</v>
      </c>
      <c r="O45" s="72">
        <f t="shared" si="24"/>
        <v>0</v>
      </c>
      <c r="P45" s="72">
        <f t="shared" si="25"/>
        <v>0</v>
      </c>
      <c r="Q45" s="72">
        <f t="shared" si="26"/>
        <v>0</v>
      </c>
      <c r="R45" s="72">
        <f t="shared" si="27"/>
        <v>0</v>
      </c>
      <c r="S45" s="72">
        <f t="shared" si="28"/>
        <v>0</v>
      </c>
      <c r="T45" s="72">
        <f t="shared" si="29"/>
        <v>0</v>
      </c>
      <c r="U45" s="72">
        <f t="shared" si="30"/>
        <v>0</v>
      </c>
      <c r="V45" s="72">
        <f t="shared" si="35"/>
        <v>0</v>
      </c>
      <c r="W45" s="72">
        <f t="shared" si="35"/>
        <v>0</v>
      </c>
      <c r="X45" s="72">
        <f t="shared" si="35"/>
        <v>0</v>
      </c>
      <c r="Z45" s="72">
        <f t="shared" si="6"/>
        <v>0</v>
      </c>
      <c r="AA45" s="72">
        <f t="shared" si="7"/>
        <v>0</v>
      </c>
      <c r="AB45" s="72">
        <f t="shared" si="8"/>
        <v>0</v>
      </c>
      <c r="AC45" s="72">
        <f t="shared" si="9"/>
        <v>0</v>
      </c>
      <c r="AD45" s="72">
        <f t="shared" si="10"/>
        <v>0</v>
      </c>
      <c r="AE45" s="72">
        <f t="shared" si="11"/>
        <v>0</v>
      </c>
      <c r="AF45" s="72">
        <f t="shared" si="12"/>
        <v>0</v>
      </c>
      <c r="AG45" s="72">
        <f t="shared" si="13"/>
        <v>0</v>
      </c>
      <c r="AH45" s="72">
        <f t="shared" si="14"/>
        <v>0</v>
      </c>
      <c r="AI45" s="72">
        <f t="shared" si="15"/>
        <v>0</v>
      </c>
      <c r="AJ45" s="72">
        <f t="shared" si="16"/>
        <v>0</v>
      </c>
      <c r="AK45" s="72">
        <f t="shared" si="17"/>
        <v>0</v>
      </c>
      <c r="AL45" s="72">
        <f t="shared" si="18"/>
        <v>0</v>
      </c>
      <c r="AM45" s="72">
        <f t="shared" si="18"/>
        <v>0</v>
      </c>
      <c r="AN45" s="72">
        <f t="shared" si="18"/>
        <v>0</v>
      </c>
    </row>
    <row r="46" spans="2:40">
      <c r="B46" s="60"/>
      <c r="C46" s="62"/>
      <c r="D46" s="79"/>
      <c r="E46" s="56"/>
      <c r="F46" s="76"/>
      <c r="G46" s="77">
        <f t="shared" si="33"/>
        <v>0</v>
      </c>
      <c r="H46" s="78">
        <f t="shared" si="34"/>
        <v>0</v>
      </c>
      <c r="I46" s="91"/>
      <c r="J46" s="72">
        <f t="shared" si="19"/>
        <v>0</v>
      </c>
      <c r="K46" s="72">
        <f t="shared" si="20"/>
        <v>0</v>
      </c>
      <c r="L46" s="72">
        <f t="shared" si="21"/>
        <v>0</v>
      </c>
      <c r="M46" s="72">
        <f t="shared" si="22"/>
        <v>0</v>
      </c>
      <c r="N46" s="72">
        <f t="shared" si="23"/>
        <v>0</v>
      </c>
      <c r="O46" s="72">
        <f t="shared" si="24"/>
        <v>0</v>
      </c>
      <c r="P46" s="72">
        <f t="shared" si="25"/>
        <v>0</v>
      </c>
      <c r="Q46" s="72">
        <f t="shared" si="26"/>
        <v>0</v>
      </c>
      <c r="R46" s="72">
        <f t="shared" si="27"/>
        <v>0</v>
      </c>
      <c r="S46" s="72">
        <f t="shared" si="28"/>
        <v>0</v>
      </c>
      <c r="T46" s="72">
        <f t="shared" si="29"/>
        <v>0</v>
      </c>
      <c r="U46" s="72">
        <f t="shared" si="30"/>
        <v>0</v>
      </c>
      <c r="V46" s="72">
        <f t="shared" si="35"/>
        <v>0</v>
      </c>
      <c r="W46" s="72">
        <f t="shared" si="35"/>
        <v>0</v>
      </c>
      <c r="X46" s="72">
        <f t="shared" si="35"/>
        <v>0</v>
      </c>
      <c r="Z46" s="72">
        <f t="shared" si="6"/>
        <v>0</v>
      </c>
      <c r="AA46" s="72">
        <f t="shared" si="7"/>
        <v>0</v>
      </c>
      <c r="AB46" s="72">
        <f t="shared" si="8"/>
        <v>0</v>
      </c>
      <c r="AC46" s="72">
        <f t="shared" si="9"/>
        <v>0</v>
      </c>
      <c r="AD46" s="72">
        <f t="shared" si="10"/>
        <v>0</v>
      </c>
      <c r="AE46" s="72">
        <f t="shared" si="11"/>
        <v>0</v>
      </c>
      <c r="AF46" s="72">
        <f t="shared" si="12"/>
        <v>0</v>
      </c>
      <c r="AG46" s="72">
        <f t="shared" si="13"/>
        <v>0</v>
      </c>
      <c r="AH46" s="72">
        <f t="shared" si="14"/>
        <v>0</v>
      </c>
      <c r="AI46" s="72">
        <f t="shared" si="15"/>
        <v>0</v>
      </c>
      <c r="AJ46" s="72">
        <f t="shared" si="16"/>
        <v>0</v>
      </c>
      <c r="AK46" s="72">
        <f t="shared" si="17"/>
        <v>0</v>
      </c>
      <c r="AL46" s="72">
        <f t="shared" si="18"/>
        <v>0</v>
      </c>
      <c r="AM46" s="72">
        <f t="shared" si="18"/>
        <v>0</v>
      </c>
      <c r="AN46" s="72">
        <f t="shared" si="18"/>
        <v>0</v>
      </c>
    </row>
    <row r="47" spans="2:40">
      <c r="B47" s="60"/>
      <c r="C47" s="62"/>
      <c r="D47" s="79"/>
      <c r="E47" s="56"/>
      <c r="F47" s="76"/>
      <c r="G47" s="77">
        <f t="shared" si="33"/>
        <v>0</v>
      </c>
      <c r="H47" s="78">
        <f t="shared" si="34"/>
        <v>0</v>
      </c>
      <c r="I47" s="91"/>
      <c r="J47" s="72">
        <f t="shared" si="19"/>
        <v>0</v>
      </c>
      <c r="K47" s="72">
        <f t="shared" si="20"/>
        <v>0</v>
      </c>
      <c r="L47" s="72">
        <f t="shared" si="21"/>
        <v>0</v>
      </c>
      <c r="M47" s="72">
        <f t="shared" si="22"/>
        <v>0</v>
      </c>
      <c r="N47" s="72">
        <f t="shared" si="23"/>
        <v>0</v>
      </c>
      <c r="O47" s="72">
        <f t="shared" si="24"/>
        <v>0</v>
      </c>
      <c r="P47" s="72">
        <f t="shared" si="25"/>
        <v>0</v>
      </c>
      <c r="Q47" s="72">
        <f t="shared" si="26"/>
        <v>0</v>
      </c>
      <c r="R47" s="72">
        <f t="shared" si="27"/>
        <v>0</v>
      </c>
      <c r="S47" s="72">
        <f t="shared" si="28"/>
        <v>0</v>
      </c>
      <c r="T47" s="72">
        <f t="shared" si="29"/>
        <v>0</v>
      </c>
      <c r="U47" s="72">
        <f t="shared" si="30"/>
        <v>0</v>
      </c>
      <c r="V47" s="72">
        <f t="shared" si="35"/>
        <v>0</v>
      </c>
      <c r="W47" s="72">
        <f t="shared" si="35"/>
        <v>0</v>
      </c>
      <c r="X47" s="72">
        <f t="shared" si="35"/>
        <v>0</v>
      </c>
      <c r="Z47" s="72">
        <f t="shared" si="6"/>
        <v>0</v>
      </c>
      <c r="AA47" s="72">
        <f t="shared" si="7"/>
        <v>0</v>
      </c>
      <c r="AB47" s="72">
        <f t="shared" si="8"/>
        <v>0</v>
      </c>
      <c r="AC47" s="72">
        <f t="shared" si="9"/>
        <v>0</v>
      </c>
      <c r="AD47" s="72">
        <f t="shared" si="10"/>
        <v>0</v>
      </c>
      <c r="AE47" s="72">
        <f t="shared" si="11"/>
        <v>0</v>
      </c>
      <c r="AF47" s="72">
        <f t="shared" si="12"/>
        <v>0</v>
      </c>
      <c r="AG47" s="72">
        <f t="shared" si="13"/>
        <v>0</v>
      </c>
      <c r="AH47" s="72">
        <f t="shared" si="14"/>
        <v>0</v>
      </c>
      <c r="AI47" s="72">
        <f t="shared" si="15"/>
        <v>0</v>
      </c>
      <c r="AJ47" s="72">
        <f t="shared" si="16"/>
        <v>0</v>
      </c>
      <c r="AK47" s="72">
        <f t="shared" si="17"/>
        <v>0</v>
      </c>
      <c r="AL47" s="72">
        <f t="shared" si="18"/>
        <v>0</v>
      </c>
      <c r="AM47" s="72">
        <f t="shared" si="18"/>
        <v>0</v>
      </c>
      <c r="AN47" s="72">
        <f t="shared" si="18"/>
        <v>0</v>
      </c>
    </row>
    <row r="48" spans="2:40">
      <c r="B48" s="60"/>
      <c r="C48" s="62"/>
      <c r="D48" s="79"/>
      <c r="E48" s="56"/>
      <c r="F48" s="76"/>
      <c r="G48" s="77">
        <f t="shared" si="33"/>
        <v>0</v>
      </c>
      <c r="H48" s="78">
        <f t="shared" si="34"/>
        <v>0</v>
      </c>
      <c r="I48" s="91"/>
      <c r="J48" s="72">
        <f t="shared" si="19"/>
        <v>0</v>
      </c>
      <c r="K48" s="72">
        <f t="shared" si="20"/>
        <v>0</v>
      </c>
      <c r="L48" s="72">
        <f t="shared" si="21"/>
        <v>0</v>
      </c>
      <c r="M48" s="72">
        <f t="shared" si="22"/>
        <v>0</v>
      </c>
      <c r="N48" s="72">
        <f t="shared" si="23"/>
        <v>0</v>
      </c>
      <c r="O48" s="72">
        <f t="shared" si="24"/>
        <v>0</v>
      </c>
      <c r="P48" s="72">
        <f t="shared" si="25"/>
        <v>0</v>
      </c>
      <c r="Q48" s="72">
        <f t="shared" si="26"/>
        <v>0</v>
      </c>
      <c r="R48" s="72">
        <f t="shared" si="27"/>
        <v>0</v>
      </c>
      <c r="S48" s="72">
        <f t="shared" si="28"/>
        <v>0</v>
      </c>
      <c r="T48" s="72">
        <f t="shared" si="29"/>
        <v>0</v>
      </c>
      <c r="U48" s="72">
        <f t="shared" si="30"/>
        <v>0</v>
      </c>
      <c r="V48" s="72">
        <f t="shared" si="35"/>
        <v>0</v>
      </c>
      <c r="W48" s="72">
        <f t="shared" si="35"/>
        <v>0</v>
      </c>
      <c r="X48" s="72">
        <f t="shared" si="35"/>
        <v>0</v>
      </c>
      <c r="Z48" s="72">
        <f t="shared" si="6"/>
        <v>0</v>
      </c>
      <c r="AA48" s="72">
        <f t="shared" si="7"/>
        <v>0</v>
      </c>
      <c r="AB48" s="72">
        <f t="shared" si="8"/>
        <v>0</v>
      </c>
      <c r="AC48" s="72">
        <f t="shared" si="9"/>
        <v>0</v>
      </c>
      <c r="AD48" s="72">
        <f t="shared" si="10"/>
        <v>0</v>
      </c>
      <c r="AE48" s="72">
        <f t="shared" si="11"/>
        <v>0</v>
      </c>
      <c r="AF48" s="72">
        <f t="shared" si="12"/>
        <v>0</v>
      </c>
      <c r="AG48" s="72">
        <f t="shared" si="13"/>
        <v>0</v>
      </c>
      <c r="AH48" s="72">
        <f t="shared" si="14"/>
        <v>0</v>
      </c>
      <c r="AI48" s="72">
        <f t="shared" si="15"/>
        <v>0</v>
      </c>
      <c r="AJ48" s="72">
        <f t="shared" si="16"/>
        <v>0</v>
      </c>
      <c r="AK48" s="72">
        <f t="shared" si="17"/>
        <v>0</v>
      </c>
      <c r="AL48" s="72">
        <f t="shared" si="18"/>
        <v>0</v>
      </c>
      <c r="AM48" s="72">
        <f t="shared" si="18"/>
        <v>0</v>
      </c>
      <c r="AN48" s="72">
        <f t="shared" si="18"/>
        <v>0</v>
      </c>
    </row>
    <row r="49" spans="2:42">
      <c r="B49" s="60"/>
      <c r="C49" s="62"/>
      <c r="D49" s="79"/>
      <c r="E49" s="56"/>
      <c r="F49" s="76"/>
      <c r="G49" s="77">
        <f t="shared" si="33"/>
        <v>0</v>
      </c>
      <c r="H49" s="78">
        <f t="shared" si="34"/>
        <v>0</v>
      </c>
      <c r="I49" s="91"/>
      <c r="J49" s="72">
        <f t="shared" si="19"/>
        <v>0</v>
      </c>
      <c r="K49" s="72">
        <f t="shared" si="20"/>
        <v>0</v>
      </c>
      <c r="L49" s="72">
        <f t="shared" si="21"/>
        <v>0</v>
      </c>
      <c r="M49" s="72">
        <f t="shared" si="22"/>
        <v>0</v>
      </c>
      <c r="N49" s="72">
        <f t="shared" si="23"/>
        <v>0</v>
      </c>
      <c r="O49" s="72">
        <f t="shared" si="24"/>
        <v>0</v>
      </c>
      <c r="P49" s="72">
        <f t="shared" si="25"/>
        <v>0</v>
      </c>
      <c r="Q49" s="72">
        <f t="shared" si="26"/>
        <v>0</v>
      </c>
      <c r="R49" s="72">
        <f t="shared" si="27"/>
        <v>0</v>
      </c>
      <c r="S49" s="72">
        <f t="shared" si="28"/>
        <v>0</v>
      </c>
      <c r="T49" s="72">
        <f t="shared" si="29"/>
        <v>0</v>
      </c>
      <c r="U49" s="72">
        <f t="shared" si="30"/>
        <v>0</v>
      </c>
      <c r="V49" s="72">
        <f t="shared" si="35"/>
        <v>0</v>
      </c>
      <c r="W49" s="72">
        <f t="shared" si="35"/>
        <v>0</v>
      </c>
      <c r="X49" s="72">
        <f t="shared" si="35"/>
        <v>0</v>
      </c>
      <c r="Z49" s="72">
        <f t="shared" si="6"/>
        <v>0</v>
      </c>
      <c r="AA49" s="72">
        <f t="shared" si="7"/>
        <v>0</v>
      </c>
      <c r="AB49" s="72">
        <f t="shared" si="8"/>
        <v>0</v>
      </c>
      <c r="AC49" s="72">
        <f t="shared" si="9"/>
        <v>0</v>
      </c>
      <c r="AD49" s="72">
        <f t="shared" si="10"/>
        <v>0</v>
      </c>
      <c r="AE49" s="72">
        <f t="shared" si="11"/>
        <v>0</v>
      </c>
      <c r="AF49" s="72">
        <f t="shared" si="12"/>
        <v>0</v>
      </c>
      <c r="AG49" s="72">
        <f t="shared" si="13"/>
        <v>0</v>
      </c>
      <c r="AH49" s="72">
        <f t="shared" si="14"/>
        <v>0</v>
      </c>
      <c r="AI49" s="72">
        <f t="shared" si="15"/>
        <v>0</v>
      </c>
      <c r="AJ49" s="72">
        <f t="shared" si="16"/>
        <v>0</v>
      </c>
      <c r="AK49" s="72">
        <f t="shared" si="17"/>
        <v>0</v>
      </c>
      <c r="AL49" s="72">
        <f t="shared" si="18"/>
        <v>0</v>
      </c>
      <c r="AM49" s="72">
        <f t="shared" si="18"/>
        <v>0</v>
      </c>
      <c r="AN49" s="72">
        <f t="shared" si="18"/>
        <v>0</v>
      </c>
    </row>
    <row r="50" spans="2:42">
      <c r="B50" s="60"/>
      <c r="C50" s="62"/>
      <c r="D50" s="79"/>
      <c r="E50" s="56"/>
      <c r="F50" s="76"/>
      <c r="G50" s="77">
        <f t="shared" si="33"/>
        <v>0</v>
      </c>
      <c r="H50" s="78">
        <f t="shared" si="34"/>
        <v>0</v>
      </c>
      <c r="I50" s="91"/>
      <c r="J50" s="72">
        <f t="shared" si="19"/>
        <v>0</v>
      </c>
      <c r="K50" s="72">
        <f t="shared" si="20"/>
        <v>0</v>
      </c>
      <c r="L50" s="72">
        <f t="shared" si="21"/>
        <v>0</v>
      </c>
      <c r="M50" s="72">
        <f t="shared" si="22"/>
        <v>0</v>
      </c>
      <c r="N50" s="72">
        <f t="shared" si="23"/>
        <v>0</v>
      </c>
      <c r="O50" s="72">
        <f t="shared" si="24"/>
        <v>0</v>
      </c>
      <c r="P50" s="72">
        <f t="shared" si="25"/>
        <v>0</v>
      </c>
      <c r="Q50" s="72">
        <f t="shared" si="26"/>
        <v>0</v>
      </c>
      <c r="R50" s="72">
        <f t="shared" si="27"/>
        <v>0</v>
      </c>
      <c r="S50" s="72">
        <f t="shared" si="28"/>
        <v>0</v>
      </c>
      <c r="T50" s="72">
        <f t="shared" si="29"/>
        <v>0</v>
      </c>
      <c r="U50" s="72">
        <f t="shared" si="30"/>
        <v>0</v>
      </c>
      <c r="V50" s="72">
        <f t="shared" si="35"/>
        <v>0</v>
      </c>
      <c r="W50" s="72">
        <f t="shared" si="35"/>
        <v>0</v>
      </c>
      <c r="X50" s="72">
        <f t="shared" si="35"/>
        <v>0</v>
      </c>
      <c r="Z50" s="72">
        <f t="shared" si="6"/>
        <v>0</v>
      </c>
      <c r="AA50" s="72">
        <f t="shared" si="7"/>
        <v>0</v>
      </c>
      <c r="AB50" s="72">
        <f t="shared" si="8"/>
        <v>0</v>
      </c>
      <c r="AC50" s="72">
        <f t="shared" si="9"/>
        <v>0</v>
      </c>
      <c r="AD50" s="72">
        <f t="shared" si="10"/>
        <v>0</v>
      </c>
      <c r="AE50" s="72">
        <f t="shared" si="11"/>
        <v>0</v>
      </c>
      <c r="AF50" s="72">
        <f t="shared" si="12"/>
        <v>0</v>
      </c>
      <c r="AG50" s="72">
        <f t="shared" si="13"/>
        <v>0</v>
      </c>
      <c r="AH50" s="72">
        <f t="shared" si="14"/>
        <v>0</v>
      </c>
      <c r="AI50" s="72">
        <f t="shared" si="15"/>
        <v>0</v>
      </c>
      <c r="AJ50" s="72">
        <f t="shared" si="16"/>
        <v>0</v>
      </c>
      <c r="AK50" s="72">
        <f t="shared" si="17"/>
        <v>0</v>
      </c>
      <c r="AL50" s="72">
        <f t="shared" si="18"/>
        <v>0</v>
      </c>
      <c r="AM50" s="72">
        <f t="shared" si="18"/>
        <v>0</v>
      </c>
      <c r="AN50" s="72">
        <f t="shared" si="18"/>
        <v>0</v>
      </c>
    </row>
    <row r="51" spans="2:42">
      <c r="B51" s="60"/>
      <c r="C51" s="62"/>
      <c r="D51" s="79"/>
      <c r="E51" s="56"/>
      <c r="F51" s="76"/>
      <c r="G51" s="77">
        <f t="shared" si="33"/>
        <v>0</v>
      </c>
      <c r="H51" s="78">
        <f t="shared" si="34"/>
        <v>0</v>
      </c>
      <c r="I51" s="91"/>
      <c r="J51" s="72">
        <f t="shared" si="19"/>
        <v>0</v>
      </c>
      <c r="K51" s="72">
        <f t="shared" si="20"/>
        <v>0</v>
      </c>
      <c r="L51" s="72">
        <f t="shared" si="21"/>
        <v>0</v>
      </c>
      <c r="M51" s="72">
        <f t="shared" si="22"/>
        <v>0</v>
      </c>
      <c r="N51" s="72">
        <f t="shared" si="23"/>
        <v>0</v>
      </c>
      <c r="O51" s="72">
        <f t="shared" si="24"/>
        <v>0</v>
      </c>
      <c r="P51" s="72">
        <f t="shared" si="25"/>
        <v>0</v>
      </c>
      <c r="Q51" s="72">
        <f t="shared" si="26"/>
        <v>0</v>
      </c>
      <c r="R51" s="72">
        <f t="shared" si="27"/>
        <v>0</v>
      </c>
      <c r="S51" s="72">
        <f t="shared" si="28"/>
        <v>0</v>
      </c>
      <c r="T51" s="72">
        <f t="shared" si="29"/>
        <v>0</v>
      </c>
      <c r="U51" s="72">
        <f t="shared" si="30"/>
        <v>0</v>
      </c>
      <c r="V51" s="72">
        <f t="shared" si="35"/>
        <v>0</v>
      </c>
      <c r="W51" s="72">
        <f t="shared" si="35"/>
        <v>0</v>
      </c>
      <c r="X51" s="72">
        <f t="shared" si="35"/>
        <v>0</v>
      </c>
      <c r="Z51" s="72">
        <f t="shared" si="6"/>
        <v>0</v>
      </c>
      <c r="AA51" s="72">
        <f t="shared" si="7"/>
        <v>0</v>
      </c>
      <c r="AB51" s="72">
        <f t="shared" si="8"/>
        <v>0</v>
      </c>
      <c r="AC51" s="72">
        <f t="shared" si="9"/>
        <v>0</v>
      </c>
      <c r="AD51" s="72">
        <f t="shared" si="10"/>
        <v>0</v>
      </c>
      <c r="AE51" s="72">
        <f t="shared" si="11"/>
        <v>0</v>
      </c>
      <c r="AF51" s="72">
        <f t="shared" si="12"/>
        <v>0</v>
      </c>
      <c r="AG51" s="72">
        <f t="shared" si="13"/>
        <v>0</v>
      </c>
      <c r="AH51" s="72">
        <f t="shared" si="14"/>
        <v>0</v>
      </c>
      <c r="AI51" s="72">
        <f t="shared" si="15"/>
        <v>0</v>
      </c>
      <c r="AJ51" s="72">
        <f t="shared" si="16"/>
        <v>0</v>
      </c>
      <c r="AK51" s="72">
        <f t="shared" si="17"/>
        <v>0</v>
      </c>
      <c r="AL51" s="72">
        <f t="shared" si="18"/>
        <v>0</v>
      </c>
      <c r="AM51" s="72">
        <f t="shared" si="18"/>
        <v>0</v>
      </c>
      <c r="AN51" s="72">
        <f t="shared" si="18"/>
        <v>0</v>
      </c>
    </row>
    <row r="52" spans="2:42">
      <c r="B52" s="60"/>
      <c r="C52" s="62"/>
      <c r="D52" s="79"/>
      <c r="E52" s="56"/>
      <c r="F52" s="76"/>
      <c r="G52" s="77">
        <f t="shared" si="33"/>
        <v>0</v>
      </c>
      <c r="H52" s="78">
        <f t="shared" si="34"/>
        <v>0</v>
      </c>
      <c r="I52" s="91"/>
      <c r="J52" s="72">
        <f t="shared" si="19"/>
        <v>0</v>
      </c>
      <c r="K52" s="72">
        <f t="shared" si="20"/>
        <v>0</v>
      </c>
      <c r="L52" s="72">
        <f t="shared" si="21"/>
        <v>0</v>
      </c>
      <c r="M52" s="72">
        <f t="shared" si="22"/>
        <v>0</v>
      </c>
      <c r="N52" s="72">
        <f t="shared" si="23"/>
        <v>0</v>
      </c>
      <c r="O52" s="72">
        <f t="shared" si="24"/>
        <v>0</v>
      </c>
      <c r="P52" s="72">
        <f t="shared" si="25"/>
        <v>0</v>
      </c>
      <c r="Q52" s="72">
        <f t="shared" si="26"/>
        <v>0</v>
      </c>
      <c r="R52" s="72">
        <f t="shared" si="27"/>
        <v>0</v>
      </c>
      <c r="S52" s="72">
        <f t="shared" si="28"/>
        <v>0</v>
      </c>
      <c r="T52" s="72">
        <f t="shared" si="29"/>
        <v>0</v>
      </c>
      <c r="U52" s="72">
        <f t="shared" si="30"/>
        <v>0</v>
      </c>
      <c r="V52" s="72">
        <f t="shared" si="35"/>
        <v>0</v>
      </c>
      <c r="W52" s="72">
        <f t="shared" si="35"/>
        <v>0</v>
      </c>
      <c r="X52" s="72">
        <f t="shared" si="35"/>
        <v>0</v>
      </c>
      <c r="Z52" s="72">
        <f t="shared" si="6"/>
        <v>0</v>
      </c>
      <c r="AA52" s="72">
        <f t="shared" si="7"/>
        <v>0</v>
      </c>
      <c r="AB52" s="72">
        <f t="shared" si="8"/>
        <v>0</v>
      </c>
      <c r="AC52" s="72">
        <f t="shared" si="9"/>
        <v>0</v>
      </c>
      <c r="AD52" s="72">
        <f t="shared" si="10"/>
        <v>0</v>
      </c>
      <c r="AE52" s="72">
        <f t="shared" si="11"/>
        <v>0</v>
      </c>
      <c r="AF52" s="72">
        <f t="shared" si="12"/>
        <v>0</v>
      </c>
      <c r="AG52" s="72">
        <f t="shared" si="13"/>
        <v>0</v>
      </c>
      <c r="AH52" s="72">
        <f t="shared" si="14"/>
        <v>0</v>
      </c>
      <c r="AI52" s="72">
        <f t="shared" si="15"/>
        <v>0</v>
      </c>
      <c r="AJ52" s="72">
        <f t="shared" si="16"/>
        <v>0</v>
      </c>
      <c r="AK52" s="72">
        <f t="shared" si="17"/>
        <v>0</v>
      </c>
      <c r="AL52" s="72">
        <f t="shared" si="18"/>
        <v>0</v>
      </c>
      <c r="AM52" s="72">
        <f t="shared" si="18"/>
        <v>0</v>
      </c>
      <c r="AN52" s="72">
        <f t="shared" si="18"/>
        <v>0</v>
      </c>
    </row>
    <row r="53" spans="2:42">
      <c r="B53" s="60"/>
      <c r="C53" s="62"/>
      <c r="D53" s="79"/>
      <c r="E53" s="56"/>
      <c r="F53" s="76"/>
      <c r="G53" s="77">
        <f t="shared" si="33"/>
        <v>0</v>
      </c>
      <c r="H53" s="78">
        <f t="shared" si="34"/>
        <v>0</v>
      </c>
      <c r="I53" s="91"/>
      <c r="J53" s="72">
        <f t="shared" si="19"/>
        <v>0</v>
      </c>
      <c r="K53" s="72">
        <f t="shared" si="20"/>
        <v>0</v>
      </c>
      <c r="L53" s="72">
        <f t="shared" si="21"/>
        <v>0</v>
      </c>
      <c r="M53" s="72">
        <f t="shared" si="22"/>
        <v>0</v>
      </c>
      <c r="N53" s="72">
        <f t="shared" si="23"/>
        <v>0</v>
      </c>
      <c r="O53" s="72">
        <f t="shared" si="24"/>
        <v>0</v>
      </c>
      <c r="P53" s="72">
        <f t="shared" si="25"/>
        <v>0</v>
      </c>
      <c r="Q53" s="72">
        <f t="shared" si="26"/>
        <v>0</v>
      </c>
      <c r="R53" s="72">
        <f t="shared" si="27"/>
        <v>0</v>
      </c>
      <c r="S53" s="72">
        <f t="shared" si="28"/>
        <v>0</v>
      </c>
      <c r="T53" s="72">
        <f t="shared" si="29"/>
        <v>0</v>
      </c>
      <c r="U53" s="72">
        <f t="shared" si="30"/>
        <v>0</v>
      </c>
      <c r="V53" s="72">
        <f t="shared" si="35"/>
        <v>0</v>
      </c>
      <c r="W53" s="72">
        <f t="shared" si="35"/>
        <v>0</v>
      </c>
      <c r="X53" s="72">
        <f t="shared" si="35"/>
        <v>0</v>
      </c>
      <c r="Z53" s="72">
        <f t="shared" si="6"/>
        <v>0</v>
      </c>
      <c r="AA53" s="72">
        <f t="shared" si="7"/>
        <v>0</v>
      </c>
      <c r="AB53" s="72">
        <f t="shared" si="8"/>
        <v>0</v>
      </c>
      <c r="AC53" s="72">
        <f t="shared" si="9"/>
        <v>0</v>
      </c>
      <c r="AD53" s="72">
        <f t="shared" si="10"/>
        <v>0</v>
      </c>
      <c r="AE53" s="72">
        <f t="shared" si="11"/>
        <v>0</v>
      </c>
      <c r="AF53" s="72">
        <f t="shared" si="12"/>
        <v>0</v>
      </c>
      <c r="AG53" s="72">
        <f t="shared" si="13"/>
        <v>0</v>
      </c>
      <c r="AH53" s="72">
        <f t="shared" si="14"/>
        <v>0</v>
      </c>
      <c r="AI53" s="72">
        <f t="shared" si="15"/>
        <v>0</v>
      </c>
      <c r="AJ53" s="72">
        <f t="shared" si="16"/>
        <v>0</v>
      </c>
      <c r="AK53" s="72">
        <f t="shared" si="17"/>
        <v>0</v>
      </c>
      <c r="AL53" s="72">
        <f t="shared" si="18"/>
        <v>0</v>
      </c>
      <c r="AM53" s="72">
        <f t="shared" si="18"/>
        <v>0</v>
      </c>
      <c r="AN53" s="72">
        <f t="shared" si="18"/>
        <v>0</v>
      </c>
    </row>
    <row r="54" spans="2:42">
      <c r="B54" s="60"/>
      <c r="C54" s="62"/>
      <c r="D54" s="79"/>
      <c r="E54" s="56"/>
      <c r="F54" s="76"/>
      <c r="G54" s="77">
        <f t="shared" si="33"/>
        <v>0</v>
      </c>
      <c r="H54" s="78">
        <f t="shared" si="34"/>
        <v>0</v>
      </c>
      <c r="I54" s="91"/>
      <c r="J54" s="72">
        <f t="shared" si="19"/>
        <v>0</v>
      </c>
      <c r="K54" s="72">
        <f t="shared" si="20"/>
        <v>0</v>
      </c>
      <c r="L54" s="72">
        <f t="shared" si="21"/>
        <v>0</v>
      </c>
      <c r="M54" s="72">
        <f t="shared" si="22"/>
        <v>0</v>
      </c>
      <c r="N54" s="72">
        <f t="shared" si="23"/>
        <v>0</v>
      </c>
      <c r="O54" s="72">
        <f t="shared" si="24"/>
        <v>0</v>
      </c>
      <c r="P54" s="72">
        <f t="shared" si="25"/>
        <v>0</v>
      </c>
      <c r="Q54" s="72">
        <f t="shared" si="26"/>
        <v>0</v>
      </c>
      <c r="R54" s="72">
        <f t="shared" si="27"/>
        <v>0</v>
      </c>
      <c r="S54" s="72">
        <f t="shared" si="28"/>
        <v>0</v>
      </c>
      <c r="T54" s="72">
        <f t="shared" si="29"/>
        <v>0</v>
      </c>
      <c r="U54" s="72">
        <f t="shared" si="30"/>
        <v>0</v>
      </c>
      <c r="V54" s="72">
        <f t="shared" si="35"/>
        <v>0</v>
      </c>
      <c r="W54" s="72">
        <f t="shared" si="35"/>
        <v>0</v>
      </c>
      <c r="X54" s="72">
        <f t="shared" si="35"/>
        <v>0</v>
      </c>
      <c r="Z54" s="72">
        <f t="shared" si="6"/>
        <v>0</v>
      </c>
      <c r="AA54" s="72">
        <f t="shared" si="7"/>
        <v>0</v>
      </c>
      <c r="AB54" s="72">
        <f t="shared" si="8"/>
        <v>0</v>
      </c>
      <c r="AC54" s="72">
        <f t="shared" si="9"/>
        <v>0</v>
      </c>
      <c r="AD54" s="72">
        <f t="shared" si="10"/>
        <v>0</v>
      </c>
      <c r="AE54" s="72">
        <f t="shared" si="11"/>
        <v>0</v>
      </c>
      <c r="AF54" s="72">
        <f t="shared" si="12"/>
        <v>0</v>
      </c>
      <c r="AG54" s="72">
        <f t="shared" si="13"/>
        <v>0</v>
      </c>
      <c r="AH54" s="72">
        <f t="shared" si="14"/>
        <v>0</v>
      </c>
      <c r="AI54" s="72">
        <f t="shared" si="15"/>
        <v>0</v>
      </c>
      <c r="AJ54" s="72">
        <f t="shared" si="16"/>
        <v>0</v>
      </c>
      <c r="AK54" s="72">
        <f t="shared" si="17"/>
        <v>0</v>
      </c>
      <c r="AL54" s="72">
        <f t="shared" si="18"/>
        <v>0</v>
      </c>
      <c r="AM54" s="72">
        <f t="shared" si="18"/>
        <v>0</v>
      </c>
      <c r="AN54" s="72">
        <f t="shared" si="18"/>
        <v>0</v>
      </c>
    </row>
    <row r="55" spans="2:42">
      <c r="B55" s="60"/>
      <c r="C55" s="62"/>
      <c r="D55" s="79"/>
      <c r="E55" s="56"/>
      <c r="F55" s="76"/>
      <c r="G55" s="77">
        <f t="shared" si="33"/>
        <v>0</v>
      </c>
      <c r="H55" s="78">
        <f t="shared" si="34"/>
        <v>0</v>
      </c>
      <c r="I55" s="91"/>
      <c r="J55" s="72">
        <f t="shared" si="19"/>
        <v>0</v>
      </c>
      <c r="K55" s="72">
        <f t="shared" si="20"/>
        <v>0</v>
      </c>
      <c r="L55" s="72">
        <f t="shared" si="21"/>
        <v>0</v>
      </c>
      <c r="M55" s="72">
        <f t="shared" si="22"/>
        <v>0</v>
      </c>
      <c r="N55" s="72">
        <f t="shared" si="23"/>
        <v>0</v>
      </c>
      <c r="O55" s="72">
        <f t="shared" si="24"/>
        <v>0</v>
      </c>
      <c r="P55" s="72">
        <f t="shared" si="25"/>
        <v>0</v>
      </c>
      <c r="Q55" s="72">
        <f t="shared" si="26"/>
        <v>0</v>
      </c>
      <c r="R55" s="72">
        <f t="shared" si="27"/>
        <v>0</v>
      </c>
      <c r="S55" s="72">
        <f t="shared" si="28"/>
        <v>0</v>
      </c>
      <c r="T55" s="72">
        <f t="shared" si="29"/>
        <v>0</v>
      </c>
      <c r="U55" s="72">
        <f t="shared" si="30"/>
        <v>0</v>
      </c>
      <c r="V55" s="72">
        <f t="shared" si="35"/>
        <v>0</v>
      </c>
      <c r="W55" s="72">
        <f t="shared" si="35"/>
        <v>0</v>
      </c>
      <c r="X55" s="72">
        <f t="shared" si="35"/>
        <v>0</v>
      </c>
      <c r="Z55" s="72">
        <f t="shared" si="6"/>
        <v>0</v>
      </c>
      <c r="AA55" s="72">
        <f t="shared" si="7"/>
        <v>0</v>
      </c>
      <c r="AB55" s="72">
        <f t="shared" si="8"/>
        <v>0</v>
      </c>
      <c r="AC55" s="72">
        <f t="shared" si="9"/>
        <v>0</v>
      </c>
      <c r="AD55" s="72">
        <f t="shared" si="10"/>
        <v>0</v>
      </c>
      <c r="AE55" s="72">
        <f t="shared" si="11"/>
        <v>0</v>
      </c>
      <c r="AF55" s="72">
        <f t="shared" si="12"/>
        <v>0</v>
      </c>
      <c r="AG55" s="72">
        <f t="shared" si="13"/>
        <v>0</v>
      </c>
      <c r="AH55" s="72">
        <f t="shared" si="14"/>
        <v>0</v>
      </c>
      <c r="AI55" s="72">
        <f t="shared" si="15"/>
        <v>0</v>
      </c>
      <c r="AJ55" s="72">
        <f t="shared" si="16"/>
        <v>0</v>
      </c>
      <c r="AK55" s="72">
        <f t="shared" si="17"/>
        <v>0</v>
      </c>
      <c r="AL55" s="72">
        <f t="shared" si="18"/>
        <v>0</v>
      </c>
      <c r="AM55" s="72">
        <f t="shared" si="18"/>
        <v>0</v>
      </c>
      <c r="AN55" s="72">
        <f t="shared" si="18"/>
        <v>0</v>
      </c>
    </row>
    <row r="56" spans="2:42">
      <c r="B56" s="60"/>
      <c r="C56" s="62"/>
      <c r="D56" s="79"/>
      <c r="E56" s="56"/>
      <c r="F56" s="76"/>
      <c r="G56" s="77">
        <f t="shared" si="33"/>
        <v>0</v>
      </c>
      <c r="H56" s="78">
        <f t="shared" si="34"/>
        <v>0</v>
      </c>
      <c r="I56" s="91"/>
      <c r="J56" s="72">
        <f t="shared" si="19"/>
        <v>0</v>
      </c>
      <c r="K56" s="72">
        <f t="shared" si="20"/>
        <v>0</v>
      </c>
      <c r="L56" s="72">
        <f t="shared" si="21"/>
        <v>0</v>
      </c>
      <c r="M56" s="72">
        <f t="shared" si="22"/>
        <v>0</v>
      </c>
      <c r="N56" s="72">
        <f t="shared" si="23"/>
        <v>0</v>
      </c>
      <c r="O56" s="72">
        <f t="shared" si="24"/>
        <v>0</v>
      </c>
      <c r="P56" s="72">
        <f t="shared" si="25"/>
        <v>0</v>
      </c>
      <c r="Q56" s="72">
        <f t="shared" si="26"/>
        <v>0</v>
      </c>
      <c r="R56" s="72">
        <f t="shared" si="27"/>
        <v>0</v>
      </c>
      <c r="S56" s="72">
        <f t="shared" si="28"/>
        <v>0</v>
      </c>
      <c r="T56" s="72">
        <f t="shared" si="29"/>
        <v>0</v>
      </c>
      <c r="U56" s="72">
        <f t="shared" si="30"/>
        <v>0</v>
      </c>
      <c r="V56" s="72">
        <f t="shared" si="35"/>
        <v>0</v>
      </c>
      <c r="W56" s="72">
        <f t="shared" si="35"/>
        <v>0</v>
      </c>
      <c r="X56" s="72">
        <f t="shared" si="35"/>
        <v>0</v>
      </c>
      <c r="Z56" s="72">
        <f t="shared" si="6"/>
        <v>0</v>
      </c>
      <c r="AA56" s="72">
        <f t="shared" si="7"/>
        <v>0</v>
      </c>
      <c r="AB56" s="72">
        <f t="shared" si="8"/>
        <v>0</v>
      </c>
      <c r="AC56" s="72">
        <f t="shared" si="9"/>
        <v>0</v>
      </c>
      <c r="AD56" s="72">
        <f t="shared" si="10"/>
        <v>0</v>
      </c>
      <c r="AE56" s="72">
        <f t="shared" si="11"/>
        <v>0</v>
      </c>
      <c r="AF56" s="72">
        <f t="shared" si="12"/>
        <v>0</v>
      </c>
      <c r="AG56" s="72">
        <f t="shared" si="13"/>
        <v>0</v>
      </c>
      <c r="AH56" s="72">
        <f t="shared" si="14"/>
        <v>0</v>
      </c>
      <c r="AI56" s="72">
        <f t="shared" si="15"/>
        <v>0</v>
      </c>
      <c r="AJ56" s="72">
        <f t="shared" si="16"/>
        <v>0</v>
      </c>
      <c r="AK56" s="72">
        <f t="shared" si="17"/>
        <v>0</v>
      </c>
      <c r="AL56" s="72">
        <f t="shared" si="18"/>
        <v>0</v>
      </c>
      <c r="AM56" s="72">
        <f t="shared" si="18"/>
        <v>0</v>
      </c>
      <c r="AN56" s="72">
        <f t="shared" si="18"/>
        <v>0</v>
      </c>
    </row>
    <row r="57" spans="2:42">
      <c r="B57" s="60"/>
      <c r="C57" s="62"/>
      <c r="D57" s="79"/>
      <c r="E57" s="56"/>
      <c r="F57" s="76"/>
      <c r="G57" s="77">
        <f t="shared" si="33"/>
        <v>0</v>
      </c>
      <c r="H57" s="78">
        <f t="shared" si="34"/>
        <v>0</v>
      </c>
      <c r="I57" s="91"/>
      <c r="J57" s="72">
        <f t="shared" si="19"/>
        <v>0</v>
      </c>
      <c r="K57" s="72">
        <f t="shared" si="20"/>
        <v>0</v>
      </c>
      <c r="L57" s="72">
        <f t="shared" si="21"/>
        <v>0</v>
      </c>
      <c r="M57" s="72">
        <f t="shared" si="22"/>
        <v>0</v>
      </c>
      <c r="N57" s="72">
        <f t="shared" si="23"/>
        <v>0</v>
      </c>
      <c r="O57" s="72">
        <f t="shared" si="24"/>
        <v>0</v>
      </c>
      <c r="P57" s="72">
        <f t="shared" si="25"/>
        <v>0</v>
      </c>
      <c r="Q57" s="72">
        <f t="shared" si="26"/>
        <v>0</v>
      </c>
      <c r="R57" s="72">
        <f t="shared" si="27"/>
        <v>0</v>
      </c>
      <c r="S57" s="72">
        <f t="shared" si="28"/>
        <v>0</v>
      </c>
      <c r="T57" s="72">
        <f t="shared" si="29"/>
        <v>0</v>
      </c>
      <c r="U57" s="72">
        <f t="shared" si="30"/>
        <v>0</v>
      </c>
      <c r="V57" s="72">
        <f t="shared" si="35"/>
        <v>0</v>
      </c>
      <c r="W57" s="72">
        <f t="shared" si="35"/>
        <v>0</v>
      </c>
      <c r="X57" s="72">
        <f t="shared" si="35"/>
        <v>0</v>
      </c>
      <c r="Z57" s="72">
        <f t="shared" si="6"/>
        <v>0</v>
      </c>
      <c r="AA57" s="72">
        <f t="shared" si="7"/>
        <v>0</v>
      </c>
      <c r="AB57" s="72">
        <f t="shared" si="8"/>
        <v>0</v>
      </c>
      <c r="AC57" s="72">
        <f t="shared" si="9"/>
        <v>0</v>
      </c>
      <c r="AD57" s="72">
        <f t="shared" si="10"/>
        <v>0</v>
      </c>
      <c r="AE57" s="72">
        <f t="shared" si="11"/>
        <v>0</v>
      </c>
      <c r="AF57" s="72">
        <f t="shared" si="12"/>
        <v>0</v>
      </c>
      <c r="AG57" s="72">
        <f t="shared" si="13"/>
        <v>0</v>
      </c>
      <c r="AH57" s="72">
        <f t="shared" si="14"/>
        <v>0</v>
      </c>
      <c r="AI57" s="72">
        <f t="shared" si="15"/>
        <v>0</v>
      </c>
      <c r="AJ57" s="72">
        <f t="shared" si="16"/>
        <v>0</v>
      </c>
      <c r="AK57" s="72">
        <f t="shared" si="17"/>
        <v>0</v>
      </c>
      <c r="AL57" s="72">
        <f t="shared" si="18"/>
        <v>0</v>
      </c>
      <c r="AM57" s="72">
        <f t="shared" si="18"/>
        <v>0</v>
      </c>
      <c r="AN57" s="72">
        <f t="shared" si="18"/>
        <v>0</v>
      </c>
    </row>
    <row r="58" spans="2:42">
      <c r="B58" s="60"/>
      <c r="C58" s="62"/>
      <c r="D58" s="79"/>
      <c r="E58" s="56"/>
      <c r="F58" s="76"/>
      <c r="G58" s="77">
        <f t="shared" si="33"/>
        <v>0</v>
      </c>
      <c r="H58" s="78">
        <f t="shared" si="34"/>
        <v>0</v>
      </c>
      <c r="I58" s="91"/>
      <c r="J58" s="72">
        <f t="shared" si="19"/>
        <v>0</v>
      </c>
      <c r="K58" s="72">
        <f t="shared" si="20"/>
        <v>0</v>
      </c>
      <c r="L58" s="72">
        <f t="shared" si="21"/>
        <v>0</v>
      </c>
      <c r="M58" s="72">
        <f t="shared" si="22"/>
        <v>0</v>
      </c>
      <c r="N58" s="72">
        <f t="shared" si="23"/>
        <v>0</v>
      </c>
      <c r="O58" s="72">
        <f t="shared" si="24"/>
        <v>0</v>
      </c>
      <c r="P58" s="72">
        <f t="shared" si="25"/>
        <v>0</v>
      </c>
      <c r="Q58" s="72">
        <f t="shared" si="26"/>
        <v>0</v>
      </c>
      <c r="R58" s="72">
        <f t="shared" si="27"/>
        <v>0</v>
      </c>
      <c r="S58" s="72">
        <f t="shared" si="28"/>
        <v>0</v>
      </c>
      <c r="T58" s="72">
        <f t="shared" si="29"/>
        <v>0</v>
      </c>
      <c r="U58" s="72">
        <f t="shared" si="30"/>
        <v>0</v>
      </c>
      <c r="V58" s="72">
        <f t="shared" si="35"/>
        <v>0</v>
      </c>
      <c r="W58" s="72">
        <f t="shared" si="35"/>
        <v>0</v>
      </c>
      <c r="X58" s="72">
        <f t="shared" si="35"/>
        <v>0</v>
      </c>
      <c r="Z58" s="72">
        <f t="shared" si="6"/>
        <v>0</v>
      </c>
      <c r="AA58" s="72">
        <f t="shared" si="7"/>
        <v>0</v>
      </c>
      <c r="AB58" s="72">
        <f t="shared" si="8"/>
        <v>0</v>
      </c>
      <c r="AC58" s="72">
        <f t="shared" si="9"/>
        <v>0</v>
      </c>
      <c r="AD58" s="72">
        <f t="shared" si="10"/>
        <v>0</v>
      </c>
      <c r="AE58" s="72">
        <f t="shared" si="11"/>
        <v>0</v>
      </c>
      <c r="AF58" s="72">
        <f t="shared" si="12"/>
        <v>0</v>
      </c>
      <c r="AG58" s="72">
        <f t="shared" si="13"/>
        <v>0</v>
      </c>
      <c r="AH58" s="72">
        <f t="shared" si="14"/>
        <v>0</v>
      </c>
      <c r="AI58" s="72">
        <f t="shared" si="15"/>
        <v>0</v>
      </c>
      <c r="AJ58" s="72">
        <f t="shared" si="16"/>
        <v>0</v>
      </c>
      <c r="AK58" s="72">
        <f t="shared" si="17"/>
        <v>0</v>
      </c>
      <c r="AL58" s="72">
        <f t="shared" si="18"/>
        <v>0</v>
      </c>
      <c r="AM58" s="72">
        <f t="shared" si="18"/>
        <v>0</v>
      </c>
      <c r="AN58" s="72">
        <f t="shared" si="18"/>
        <v>0</v>
      </c>
    </row>
    <row r="59" spans="2:42">
      <c r="B59" s="60"/>
      <c r="C59" s="62"/>
      <c r="D59" s="79"/>
      <c r="E59" s="56"/>
      <c r="F59" s="76"/>
      <c r="G59" s="77">
        <f t="shared" si="33"/>
        <v>0</v>
      </c>
      <c r="H59" s="78">
        <f t="shared" si="34"/>
        <v>0</v>
      </c>
      <c r="I59" s="91"/>
      <c r="J59" s="72">
        <f t="shared" si="19"/>
        <v>0</v>
      </c>
      <c r="K59" s="72">
        <f t="shared" si="20"/>
        <v>0</v>
      </c>
      <c r="L59" s="72">
        <f t="shared" si="21"/>
        <v>0</v>
      </c>
      <c r="M59" s="72">
        <f t="shared" si="22"/>
        <v>0</v>
      </c>
      <c r="N59" s="72">
        <f t="shared" si="23"/>
        <v>0</v>
      </c>
      <c r="O59" s="72">
        <f t="shared" si="24"/>
        <v>0</v>
      </c>
      <c r="P59" s="72">
        <f t="shared" si="25"/>
        <v>0</v>
      </c>
      <c r="Q59" s="72">
        <f t="shared" si="26"/>
        <v>0</v>
      </c>
      <c r="R59" s="72">
        <f t="shared" si="27"/>
        <v>0</v>
      </c>
      <c r="S59" s="72">
        <f t="shared" si="28"/>
        <v>0</v>
      </c>
      <c r="T59" s="72">
        <f t="shared" si="29"/>
        <v>0</v>
      </c>
      <c r="U59" s="72">
        <f t="shared" si="30"/>
        <v>0</v>
      </c>
      <c r="V59" s="72">
        <f t="shared" si="35"/>
        <v>0</v>
      </c>
      <c r="W59" s="72">
        <f t="shared" si="35"/>
        <v>0</v>
      </c>
      <c r="X59" s="72">
        <f t="shared" si="35"/>
        <v>0</v>
      </c>
      <c r="Z59" s="72">
        <f t="shared" si="6"/>
        <v>0</v>
      </c>
      <c r="AA59" s="72">
        <f t="shared" si="7"/>
        <v>0</v>
      </c>
      <c r="AB59" s="72">
        <f t="shared" si="8"/>
        <v>0</v>
      </c>
      <c r="AC59" s="72">
        <f t="shared" si="9"/>
        <v>0</v>
      </c>
      <c r="AD59" s="72">
        <f t="shared" si="10"/>
        <v>0</v>
      </c>
      <c r="AE59" s="72">
        <f t="shared" si="11"/>
        <v>0</v>
      </c>
      <c r="AF59" s="72">
        <f t="shared" si="12"/>
        <v>0</v>
      </c>
      <c r="AG59" s="72">
        <f t="shared" si="13"/>
        <v>0</v>
      </c>
      <c r="AH59" s="72">
        <f t="shared" si="14"/>
        <v>0</v>
      </c>
      <c r="AI59" s="72">
        <f t="shared" si="15"/>
        <v>0</v>
      </c>
      <c r="AJ59" s="72">
        <f t="shared" si="16"/>
        <v>0</v>
      </c>
      <c r="AK59" s="72">
        <f t="shared" si="17"/>
        <v>0</v>
      </c>
      <c r="AL59" s="72">
        <f t="shared" si="18"/>
        <v>0</v>
      </c>
      <c r="AM59" s="72">
        <f t="shared" si="18"/>
        <v>0</v>
      </c>
      <c r="AN59" s="72">
        <f t="shared" si="18"/>
        <v>0</v>
      </c>
    </row>
    <row r="60" spans="2:42">
      <c r="B60" s="60"/>
      <c r="C60" s="62"/>
      <c r="D60" s="79"/>
      <c r="E60" s="56"/>
      <c r="F60" s="76"/>
      <c r="G60" s="77">
        <f t="shared" si="33"/>
        <v>0</v>
      </c>
      <c r="H60" s="78">
        <f t="shared" si="34"/>
        <v>0</v>
      </c>
      <c r="I60" s="91"/>
      <c r="J60" s="72">
        <f t="shared" si="19"/>
        <v>0</v>
      </c>
      <c r="K60" s="72">
        <f t="shared" si="20"/>
        <v>0</v>
      </c>
      <c r="L60" s="72">
        <f t="shared" si="21"/>
        <v>0</v>
      </c>
      <c r="M60" s="72">
        <f t="shared" si="22"/>
        <v>0</v>
      </c>
      <c r="N60" s="72">
        <f t="shared" si="23"/>
        <v>0</v>
      </c>
      <c r="O60" s="72">
        <f t="shared" si="24"/>
        <v>0</v>
      </c>
      <c r="P60" s="72">
        <f t="shared" si="25"/>
        <v>0</v>
      </c>
      <c r="Q60" s="72">
        <f t="shared" si="26"/>
        <v>0</v>
      </c>
      <c r="R60" s="72">
        <f t="shared" si="27"/>
        <v>0</v>
      </c>
      <c r="S60" s="72">
        <f t="shared" si="28"/>
        <v>0</v>
      </c>
      <c r="T60" s="72">
        <f t="shared" si="29"/>
        <v>0</v>
      </c>
      <c r="U60" s="72">
        <f t="shared" si="30"/>
        <v>0</v>
      </c>
      <c r="V60" s="72">
        <f t="shared" si="35"/>
        <v>0</v>
      </c>
      <c r="W60" s="72">
        <f t="shared" si="35"/>
        <v>0</v>
      </c>
      <c r="X60" s="72">
        <f t="shared" si="35"/>
        <v>0</v>
      </c>
      <c r="Z60" s="72">
        <f t="shared" si="6"/>
        <v>0</v>
      </c>
      <c r="AA60" s="72">
        <f t="shared" si="7"/>
        <v>0</v>
      </c>
      <c r="AB60" s="72">
        <f t="shared" si="8"/>
        <v>0</v>
      </c>
      <c r="AC60" s="72">
        <f t="shared" si="9"/>
        <v>0</v>
      </c>
      <c r="AD60" s="72">
        <f t="shared" si="10"/>
        <v>0</v>
      </c>
      <c r="AE60" s="72">
        <f t="shared" si="11"/>
        <v>0</v>
      </c>
      <c r="AF60" s="72">
        <f t="shared" si="12"/>
        <v>0</v>
      </c>
      <c r="AG60" s="72">
        <f t="shared" si="13"/>
        <v>0</v>
      </c>
      <c r="AH60" s="72">
        <f t="shared" si="14"/>
        <v>0</v>
      </c>
      <c r="AI60" s="72">
        <f t="shared" si="15"/>
        <v>0</v>
      </c>
      <c r="AJ60" s="72">
        <f t="shared" si="16"/>
        <v>0</v>
      </c>
      <c r="AK60" s="72">
        <f t="shared" si="17"/>
        <v>0</v>
      </c>
      <c r="AL60" s="72">
        <f t="shared" si="18"/>
        <v>0</v>
      </c>
      <c r="AM60" s="72">
        <f t="shared" si="18"/>
        <v>0</v>
      </c>
      <c r="AN60" s="72">
        <f t="shared" si="18"/>
        <v>0</v>
      </c>
    </row>
    <row r="61" spans="2:42">
      <c r="B61" s="60"/>
      <c r="C61" s="62"/>
      <c r="D61" s="79"/>
      <c r="E61" s="56"/>
      <c r="F61" s="76"/>
      <c r="G61" s="77">
        <f t="shared" si="33"/>
        <v>0</v>
      </c>
      <c r="H61" s="78">
        <f t="shared" si="34"/>
        <v>0</v>
      </c>
      <c r="I61" s="91"/>
      <c r="J61" s="72">
        <f t="shared" si="19"/>
        <v>0</v>
      </c>
      <c r="K61" s="72">
        <f t="shared" si="20"/>
        <v>0</v>
      </c>
      <c r="L61" s="72">
        <f t="shared" si="21"/>
        <v>0</v>
      </c>
      <c r="M61" s="72">
        <f t="shared" si="22"/>
        <v>0</v>
      </c>
      <c r="N61" s="72">
        <f t="shared" si="23"/>
        <v>0</v>
      </c>
      <c r="O61" s="72">
        <f t="shared" si="24"/>
        <v>0</v>
      </c>
      <c r="P61" s="72">
        <f t="shared" si="25"/>
        <v>0</v>
      </c>
      <c r="Q61" s="72">
        <f t="shared" si="26"/>
        <v>0</v>
      </c>
      <c r="R61" s="72">
        <f t="shared" si="27"/>
        <v>0</v>
      </c>
      <c r="S61" s="72">
        <f t="shared" si="28"/>
        <v>0</v>
      </c>
      <c r="T61" s="72">
        <f t="shared" si="29"/>
        <v>0</v>
      </c>
      <c r="U61" s="72">
        <f t="shared" si="30"/>
        <v>0</v>
      </c>
      <c r="V61" s="72">
        <f t="shared" si="35"/>
        <v>0</v>
      </c>
      <c r="W61" s="72">
        <f t="shared" si="35"/>
        <v>0</v>
      </c>
      <c r="X61" s="72">
        <f t="shared" si="35"/>
        <v>0</v>
      </c>
      <c r="Z61" s="72">
        <f t="shared" si="6"/>
        <v>0</v>
      </c>
      <c r="AA61" s="72">
        <f t="shared" si="7"/>
        <v>0</v>
      </c>
      <c r="AB61" s="72">
        <f t="shared" si="8"/>
        <v>0</v>
      </c>
      <c r="AC61" s="72">
        <f t="shared" si="9"/>
        <v>0</v>
      </c>
      <c r="AD61" s="72">
        <f t="shared" si="10"/>
        <v>0</v>
      </c>
      <c r="AE61" s="72">
        <f t="shared" si="11"/>
        <v>0</v>
      </c>
      <c r="AF61" s="72">
        <f t="shared" si="12"/>
        <v>0</v>
      </c>
      <c r="AG61" s="72">
        <f t="shared" si="13"/>
        <v>0</v>
      </c>
      <c r="AH61" s="72">
        <f t="shared" si="14"/>
        <v>0</v>
      </c>
      <c r="AI61" s="72">
        <f t="shared" si="15"/>
        <v>0</v>
      </c>
      <c r="AJ61" s="72">
        <f t="shared" si="16"/>
        <v>0</v>
      </c>
      <c r="AK61" s="72">
        <f t="shared" si="17"/>
        <v>0</v>
      </c>
      <c r="AL61" s="72">
        <f t="shared" si="18"/>
        <v>0</v>
      </c>
      <c r="AM61" s="72">
        <f t="shared" si="18"/>
        <v>0</v>
      </c>
      <c r="AN61" s="72">
        <f t="shared" si="18"/>
        <v>0</v>
      </c>
    </row>
    <row r="62" spans="2:42" ht="17.25" thickBot="1">
      <c r="B62" s="100"/>
      <c r="C62" s="84"/>
      <c r="D62" s="171"/>
      <c r="E62" s="86"/>
      <c r="F62" s="163"/>
      <c r="G62" s="161">
        <f t="shared" si="33"/>
        <v>0</v>
      </c>
      <c r="H62" s="162">
        <f t="shared" si="34"/>
        <v>0</v>
      </c>
      <c r="I62" s="91"/>
      <c r="J62" s="72">
        <f t="shared" si="19"/>
        <v>0</v>
      </c>
      <c r="K62" s="72">
        <f t="shared" si="20"/>
        <v>0</v>
      </c>
      <c r="L62" s="72">
        <f t="shared" si="21"/>
        <v>0</v>
      </c>
      <c r="M62" s="72">
        <f t="shared" si="22"/>
        <v>0</v>
      </c>
      <c r="N62" s="72">
        <f t="shared" si="23"/>
        <v>0</v>
      </c>
      <c r="O62" s="72">
        <f t="shared" si="24"/>
        <v>0</v>
      </c>
      <c r="P62" s="72">
        <f t="shared" si="25"/>
        <v>0</v>
      </c>
      <c r="Q62" s="72">
        <f t="shared" si="26"/>
        <v>0</v>
      </c>
      <c r="R62" s="72">
        <f t="shared" si="27"/>
        <v>0</v>
      </c>
      <c r="S62" s="72">
        <f t="shared" si="28"/>
        <v>0</v>
      </c>
      <c r="T62" s="72">
        <f t="shared" si="29"/>
        <v>0</v>
      </c>
      <c r="U62" s="72">
        <f t="shared" si="30"/>
        <v>0</v>
      </c>
      <c r="V62" s="72">
        <f t="shared" si="35"/>
        <v>0</v>
      </c>
      <c r="W62" s="72">
        <f t="shared" si="35"/>
        <v>0</v>
      </c>
      <c r="X62" s="72">
        <f t="shared" si="35"/>
        <v>0</v>
      </c>
      <c r="Z62" s="72">
        <f t="shared" si="6"/>
        <v>0</v>
      </c>
      <c r="AA62" s="72">
        <f t="shared" si="7"/>
        <v>0</v>
      </c>
      <c r="AB62" s="72">
        <f t="shared" si="8"/>
        <v>0</v>
      </c>
      <c r="AC62" s="72">
        <f t="shared" si="9"/>
        <v>0</v>
      </c>
      <c r="AD62" s="72">
        <f t="shared" si="10"/>
        <v>0</v>
      </c>
      <c r="AE62" s="72">
        <f t="shared" si="11"/>
        <v>0</v>
      </c>
      <c r="AF62" s="72">
        <f t="shared" si="12"/>
        <v>0</v>
      </c>
      <c r="AG62" s="72">
        <f t="shared" si="13"/>
        <v>0</v>
      </c>
      <c r="AH62" s="72">
        <f t="shared" si="14"/>
        <v>0</v>
      </c>
      <c r="AI62" s="72">
        <f t="shared" si="15"/>
        <v>0</v>
      </c>
      <c r="AJ62" s="72">
        <f t="shared" si="16"/>
        <v>0</v>
      </c>
      <c r="AK62" s="72">
        <f t="shared" si="17"/>
        <v>0</v>
      </c>
      <c r="AL62" s="72">
        <f t="shared" si="18"/>
        <v>0</v>
      </c>
      <c r="AM62" s="72">
        <f t="shared" si="18"/>
        <v>0</v>
      </c>
      <c r="AN62" s="72">
        <f t="shared" si="18"/>
        <v>0</v>
      </c>
    </row>
    <row r="63" spans="2:42" ht="17.25" thickBot="1">
      <c r="C63" s="853" t="s">
        <v>45</v>
      </c>
      <c r="D63" s="854"/>
      <c r="E63" s="63">
        <f>SUM(E3:E62)</f>
        <v>0</v>
      </c>
      <c r="F63" s="69"/>
      <c r="G63" s="64">
        <f>SUM(G3:G62)</f>
        <v>0</v>
      </c>
      <c r="H63" s="65">
        <f>SUM(H3:H62)</f>
        <v>0</v>
      </c>
      <c r="I63" s="93"/>
      <c r="J63" s="73">
        <f>SUM(J3:J62)</f>
        <v>0</v>
      </c>
      <c r="K63" s="73">
        <f t="shared" ref="K63:X63" si="36">SUM(K3:K62)</f>
        <v>0</v>
      </c>
      <c r="L63" s="73">
        <f t="shared" si="36"/>
        <v>0</v>
      </c>
      <c r="M63" s="73">
        <f t="shared" si="36"/>
        <v>0</v>
      </c>
      <c r="N63" s="73">
        <f t="shared" si="36"/>
        <v>0</v>
      </c>
      <c r="O63" s="73">
        <f t="shared" si="36"/>
        <v>0</v>
      </c>
      <c r="P63" s="73">
        <f t="shared" si="36"/>
        <v>0</v>
      </c>
      <c r="Q63" s="73">
        <f t="shared" si="36"/>
        <v>0</v>
      </c>
      <c r="R63" s="73">
        <f t="shared" si="36"/>
        <v>0</v>
      </c>
      <c r="S63" s="73">
        <f t="shared" si="36"/>
        <v>0</v>
      </c>
      <c r="T63" s="73">
        <f t="shared" si="36"/>
        <v>0</v>
      </c>
      <c r="U63" s="73">
        <f t="shared" si="36"/>
        <v>0</v>
      </c>
      <c r="V63" s="73">
        <f t="shared" si="36"/>
        <v>0</v>
      </c>
      <c r="W63" s="73">
        <f t="shared" si="36"/>
        <v>0</v>
      </c>
      <c r="X63" s="73">
        <f t="shared" si="36"/>
        <v>0</v>
      </c>
      <c r="Y63" s="73"/>
      <c r="Z63" s="73">
        <f>SUM(Z3:Z62)</f>
        <v>0</v>
      </c>
      <c r="AA63" s="73">
        <f t="shared" ref="AA63:AN63" si="37">SUM(AA3:AA62)</f>
        <v>0</v>
      </c>
      <c r="AB63" s="73">
        <f t="shared" si="37"/>
        <v>0</v>
      </c>
      <c r="AC63" s="73">
        <f t="shared" si="37"/>
        <v>0</v>
      </c>
      <c r="AD63" s="73">
        <f t="shared" si="37"/>
        <v>0</v>
      </c>
      <c r="AE63" s="73">
        <f t="shared" si="37"/>
        <v>0</v>
      </c>
      <c r="AF63" s="73">
        <f t="shared" si="37"/>
        <v>0</v>
      </c>
      <c r="AG63" s="73">
        <f t="shared" si="37"/>
        <v>0</v>
      </c>
      <c r="AH63" s="73">
        <f t="shared" si="37"/>
        <v>0</v>
      </c>
      <c r="AI63" s="73">
        <f t="shared" si="37"/>
        <v>0</v>
      </c>
      <c r="AJ63" s="73">
        <f t="shared" si="37"/>
        <v>0</v>
      </c>
      <c r="AK63" s="73">
        <f t="shared" si="37"/>
        <v>0</v>
      </c>
      <c r="AL63" s="73">
        <f t="shared" si="37"/>
        <v>0</v>
      </c>
      <c r="AM63" s="73">
        <f t="shared" si="37"/>
        <v>0</v>
      </c>
      <c r="AN63" s="73">
        <f t="shared" si="37"/>
        <v>0</v>
      </c>
      <c r="AO63" s="73"/>
      <c r="AP63" s="73"/>
    </row>
    <row r="64" spans="2:42">
      <c r="H64" s="59"/>
      <c r="I64" s="94"/>
      <c r="J64" s="59"/>
      <c r="K64" s="59"/>
      <c r="L64" s="59"/>
      <c r="M64" s="59"/>
      <c r="N64" s="59"/>
      <c r="O64" s="59"/>
      <c r="P64" s="59"/>
      <c r="Q64" s="59"/>
      <c r="R64" s="59"/>
      <c r="S64" s="59"/>
      <c r="Z64" s="59"/>
      <c r="AA64" s="59"/>
      <c r="AB64" s="59"/>
      <c r="AC64" s="59"/>
      <c r="AD64" s="59"/>
      <c r="AE64" s="59"/>
      <c r="AF64" s="59"/>
      <c r="AG64" s="59"/>
      <c r="AH64" s="59"/>
      <c r="AI64" s="59"/>
    </row>
    <row r="70" spans="5:6">
      <c r="E70" s="59"/>
      <c r="F70" s="70"/>
    </row>
  </sheetData>
  <sortState ref="Z2:AJ2">
    <sortCondition ref="Z2"/>
  </sortState>
  <mergeCells count="4">
    <mergeCell ref="AR18:AT18"/>
    <mergeCell ref="C63:D63"/>
    <mergeCell ref="AY23:AZ23"/>
    <mergeCell ref="AV23:AW23"/>
  </mergeCells>
  <dataValidations count="2">
    <dataValidation type="list" allowBlank="1" showInputMessage="1" showErrorMessage="1" sqref="F3:F62">
      <formula1>$AQ$17:$AQ$19</formula1>
    </dataValidation>
    <dataValidation type="list" allowBlank="1" showInputMessage="1" showErrorMessage="1" sqref="D3:D62">
      <formula1>$AQ$2:$AQ$16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dimension ref="B1:H16"/>
  <sheetViews>
    <sheetView workbookViewId="0">
      <selection activeCell="H8" sqref="H8"/>
    </sheetView>
  </sheetViews>
  <sheetFormatPr defaultRowHeight="15"/>
  <cols>
    <col min="1" max="1" width="5.42578125" style="1" customWidth="1"/>
    <col min="2" max="2" width="17.28515625" style="1" bestFit="1" customWidth="1"/>
    <col min="3" max="6" width="14.28515625" style="1" customWidth="1"/>
    <col min="7" max="8" width="14.28515625" style="1" bestFit="1" customWidth="1"/>
    <col min="9" max="16384" width="9.140625" style="1"/>
  </cols>
  <sheetData>
    <row r="1" spans="2:8" ht="15.75" thickBot="1"/>
    <row r="2" spans="2:8" ht="15.75" thickBot="1">
      <c r="C2" s="900" t="s">
        <v>85</v>
      </c>
      <c r="D2" s="901"/>
      <c r="E2" s="901"/>
      <c r="F2" s="901"/>
      <c r="G2" s="901"/>
      <c r="H2" s="902"/>
    </row>
    <row r="3" spans="2:8" ht="15.75" thickBot="1">
      <c r="C3" s="897" t="s">
        <v>105</v>
      </c>
      <c r="D3" s="898"/>
      <c r="E3" s="897" t="s">
        <v>106</v>
      </c>
      <c r="F3" s="899"/>
      <c r="G3" s="897" t="s">
        <v>106</v>
      </c>
      <c r="H3" s="899"/>
    </row>
    <row r="4" spans="2:8">
      <c r="B4" s="116" t="s">
        <v>91</v>
      </c>
      <c r="C4" s="117" t="s">
        <v>22</v>
      </c>
      <c r="D4" s="129" t="s">
        <v>86</v>
      </c>
      <c r="E4" s="117" t="s">
        <v>22</v>
      </c>
      <c r="F4" s="118" t="s">
        <v>86</v>
      </c>
      <c r="G4" s="117" t="s">
        <v>22</v>
      </c>
      <c r="H4" s="118" t="s">
        <v>86</v>
      </c>
    </row>
    <row r="5" spans="2:8">
      <c r="B5" s="119" t="s">
        <v>98</v>
      </c>
      <c r="C5" s="120" t="s">
        <v>101</v>
      </c>
      <c r="D5" s="111" t="s">
        <v>101</v>
      </c>
      <c r="E5" s="120" t="s">
        <v>101</v>
      </c>
      <c r="F5" s="121" t="s">
        <v>101</v>
      </c>
      <c r="G5" s="120" t="s">
        <v>101</v>
      </c>
      <c r="H5" s="121" t="s">
        <v>101</v>
      </c>
    </row>
    <row r="6" spans="2:8">
      <c r="B6" s="119" t="s">
        <v>87</v>
      </c>
      <c r="C6" s="120" t="s">
        <v>102</v>
      </c>
      <c r="D6" s="111" t="s">
        <v>92</v>
      </c>
      <c r="E6" s="120" t="s">
        <v>102</v>
      </c>
      <c r="F6" s="121" t="s">
        <v>102</v>
      </c>
      <c r="G6" s="120" t="s">
        <v>102</v>
      </c>
      <c r="H6" s="121" t="s">
        <v>102</v>
      </c>
    </row>
    <row r="7" spans="2:8">
      <c r="B7" s="119" t="s">
        <v>93</v>
      </c>
      <c r="C7" s="122">
        <v>1003106710862</v>
      </c>
      <c r="D7" s="130">
        <v>76169</v>
      </c>
      <c r="E7" s="122">
        <v>3382005</v>
      </c>
      <c r="F7" s="128">
        <v>1003107511400</v>
      </c>
      <c r="G7" s="122">
        <v>5182642</v>
      </c>
      <c r="H7" s="128" t="s">
        <v>343</v>
      </c>
    </row>
    <row r="8" spans="2:8">
      <c r="B8" s="119" t="s">
        <v>88</v>
      </c>
      <c r="C8" s="123">
        <v>44507</v>
      </c>
      <c r="D8" s="131">
        <v>44512</v>
      </c>
      <c r="E8" s="123">
        <v>44872</v>
      </c>
      <c r="F8" s="124">
        <v>44877</v>
      </c>
      <c r="G8" s="123">
        <v>45237</v>
      </c>
      <c r="H8" s="124">
        <v>45242</v>
      </c>
    </row>
    <row r="9" spans="2:8">
      <c r="B9" s="119" t="s">
        <v>89</v>
      </c>
      <c r="C9" s="123">
        <v>44872</v>
      </c>
      <c r="D9" s="131">
        <v>44877</v>
      </c>
      <c r="E9" s="123">
        <v>45237</v>
      </c>
      <c r="F9" s="124">
        <v>45242</v>
      </c>
      <c r="G9" s="123">
        <v>45603</v>
      </c>
      <c r="H9" s="124">
        <v>45608</v>
      </c>
    </row>
    <row r="10" spans="2:8">
      <c r="B10" s="119" t="s">
        <v>94</v>
      </c>
      <c r="C10" s="120" t="s">
        <v>103</v>
      </c>
      <c r="D10" s="111" t="s">
        <v>45</v>
      </c>
      <c r="E10" s="120" t="s">
        <v>103</v>
      </c>
      <c r="F10" s="121" t="s">
        <v>103</v>
      </c>
      <c r="G10" s="120" t="s">
        <v>103</v>
      </c>
      <c r="H10" s="121" t="s">
        <v>103</v>
      </c>
    </row>
    <row r="11" spans="2:8">
      <c r="B11" s="119" t="s">
        <v>95</v>
      </c>
      <c r="C11" s="120" t="s">
        <v>96</v>
      </c>
      <c r="D11" s="111" t="s">
        <v>96</v>
      </c>
      <c r="E11" s="120" t="s">
        <v>96</v>
      </c>
      <c r="F11" s="121" t="s">
        <v>96</v>
      </c>
      <c r="G11" s="120" t="s">
        <v>96</v>
      </c>
      <c r="H11" s="121" t="s">
        <v>96</v>
      </c>
    </row>
    <row r="12" spans="2:8">
      <c r="B12" s="119" t="s">
        <v>97</v>
      </c>
      <c r="C12" s="126">
        <v>0</v>
      </c>
      <c r="D12" s="132">
        <v>1977.5</v>
      </c>
      <c r="E12" s="126">
        <v>0</v>
      </c>
      <c r="F12" s="127">
        <v>0</v>
      </c>
      <c r="G12" s="126">
        <v>0</v>
      </c>
      <c r="H12" s="127" t="s">
        <v>343</v>
      </c>
    </row>
    <row r="13" spans="2:8">
      <c r="B13" s="119" t="s">
        <v>100</v>
      </c>
      <c r="C13" s="120">
        <v>437.19</v>
      </c>
      <c r="D13" s="111">
        <v>1538.15</v>
      </c>
      <c r="E13" s="120">
        <f>3*230.06</f>
        <v>690.18000000000006</v>
      </c>
      <c r="F13" s="121">
        <v>1567.81</v>
      </c>
      <c r="G13" s="120">
        <v>543.55999999999995</v>
      </c>
      <c r="H13" s="121">
        <v>1018.62</v>
      </c>
    </row>
    <row r="14" spans="2:8" ht="15.75" thickBot="1">
      <c r="B14" s="125" t="s">
        <v>90</v>
      </c>
      <c r="C14" s="836" t="s">
        <v>104</v>
      </c>
      <c r="D14" s="517" t="s">
        <v>99</v>
      </c>
      <c r="E14" s="836" t="s">
        <v>104</v>
      </c>
      <c r="F14" s="429" t="s">
        <v>104</v>
      </c>
      <c r="G14" s="836" t="s">
        <v>104</v>
      </c>
      <c r="H14" s="429" t="s">
        <v>104</v>
      </c>
    </row>
    <row r="16" spans="2:8">
      <c r="E16" s="133"/>
      <c r="F16" s="133"/>
    </row>
  </sheetData>
  <mergeCells count="4">
    <mergeCell ref="C3:D3"/>
    <mergeCell ref="E3:F3"/>
    <mergeCell ref="G3:H3"/>
    <mergeCell ref="C2:H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U57"/>
  <sheetViews>
    <sheetView topLeftCell="A7" workbookViewId="0">
      <selection activeCell="I12" sqref="I12"/>
    </sheetView>
  </sheetViews>
  <sheetFormatPr defaultRowHeight="15"/>
  <cols>
    <col min="1" max="1" width="8.5703125" bestFit="1" customWidth="1"/>
    <col min="2" max="2" width="9.28515625" bestFit="1" customWidth="1"/>
    <col min="3" max="3" width="9" bestFit="1" customWidth="1"/>
    <col min="4" max="4" width="6.140625" bestFit="1" customWidth="1"/>
    <col min="5" max="5" width="7.140625" bestFit="1" customWidth="1"/>
    <col min="6" max="6" width="2.5703125" style="1" customWidth="1"/>
    <col min="7" max="7" width="14.28515625" customWidth="1"/>
    <col min="8" max="8" width="9.85546875" customWidth="1"/>
    <col min="10" max="10" width="7.7109375" bestFit="1" customWidth="1"/>
    <col min="11" max="11" width="8" customWidth="1"/>
    <col min="12" max="12" width="12.140625" bestFit="1" customWidth="1"/>
    <col min="13" max="14" width="9.140625" style="1"/>
    <col min="15" max="15" width="7" style="1" bestFit="1" customWidth="1"/>
    <col min="16" max="16" width="5.28515625" style="1" bestFit="1" customWidth="1"/>
    <col min="17" max="17" width="1.140625" style="142" customWidth="1"/>
    <col min="18" max="18" width="7" style="1" bestFit="1" customWidth="1"/>
    <col min="19" max="19" width="12.140625" style="1" bestFit="1" customWidth="1"/>
    <col min="20" max="20" width="1.140625" style="142" customWidth="1"/>
    <col min="21" max="21" width="7" style="1" bestFit="1" customWidth="1"/>
    <col min="22" max="22" width="6.28515625" style="1" bestFit="1" customWidth="1"/>
    <col min="23" max="23" width="1.140625" style="142" customWidth="1"/>
    <col min="24" max="24" width="7" style="1" bestFit="1" customWidth="1"/>
    <col min="25" max="25" width="6.28515625" style="1" bestFit="1" customWidth="1"/>
    <col min="26" max="26" width="1.140625" style="142" customWidth="1"/>
    <col min="27" max="27" width="7" style="1" bestFit="1" customWidth="1"/>
    <col min="28" max="28" width="6.28515625" style="1" bestFit="1" customWidth="1"/>
    <col min="29" max="29" width="1.140625" style="142" customWidth="1"/>
    <col min="30" max="30" width="7" style="1" bestFit="1" customWidth="1"/>
    <col min="31" max="31" width="6.28515625" style="1" bestFit="1" customWidth="1"/>
    <col min="32" max="32" width="1.140625" style="142" customWidth="1"/>
    <col min="33" max="33" width="7" style="1" bestFit="1" customWidth="1"/>
    <col min="34" max="34" width="6.28515625" style="1" bestFit="1" customWidth="1"/>
    <col min="35" max="35" width="1.140625" style="142" customWidth="1"/>
    <col min="36" max="36" width="7" style="1" bestFit="1" customWidth="1"/>
    <col min="37" max="37" width="6.28515625" style="1" bestFit="1" customWidth="1"/>
    <col min="38" max="47" width="9.140625" style="1"/>
  </cols>
  <sheetData>
    <row r="1" spans="1:37" s="1" customFormat="1">
      <c r="Q1" s="142"/>
      <c r="T1" s="142"/>
      <c r="W1" s="142"/>
      <c r="Z1" s="142"/>
      <c r="AC1" s="142"/>
      <c r="AF1" s="142"/>
      <c r="AI1" s="142"/>
    </row>
    <row r="2" spans="1:37" s="1" customFormat="1">
      <c r="Q2" s="142"/>
      <c r="T2" s="142"/>
      <c r="W2" s="142"/>
      <c r="Z2" s="142"/>
      <c r="AC2" s="142"/>
      <c r="AF2" s="142"/>
      <c r="AI2" s="142"/>
    </row>
    <row r="3" spans="1:37" s="1" customFormat="1">
      <c r="Q3" s="142"/>
      <c r="T3" s="142"/>
      <c r="W3" s="142"/>
      <c r="Z3" s="142"/>
      <c r="AC3" s="142"/>
      <c r="AF3" s="142"/>
      <c r="AI3" s="142"/>
    </row>
    <row r="4" spans="1:37">
      <c r="A4" s="186" t="s">
        <v>63</v>
      </c>
      <c r="B4" s="186" t="s">
        <v>160</v>
      </c>
      <c r="C4" s="186" t="s">
        <v>161</v>
      </c>
      <c r="D4" s="186" t="s">
        <v>162</v>
      </c>
      <c r="E4" s="186" t="s">
        <v>163</v>
      </c>
      <c r="G4" s="1"/>
      <c r="H4" s="1"/>
      <c r="I4" s="1"/>
      <c r="J4" s="907" t="s">
        <v>162</v>
      </c>
      <c r="K4" s="907"/>
      <c r="L4" s="1"/>
      <c r="O4" s="906" t="s">
        <v>14</v>
      </c>
      <c r="P4" s="906"/>
      <c r="Q4" s="478"/>
      <c r="R4" s="906" t="s">
        <v>15</v>
      </c>
      <c r="S4" s="906"/>
      <c r="T4" s="478"/>
      <c r="U4" s="906" t="s">
        <v>16</v>
      </c>
      <c r="V4" s="906"/>
      <c r="W4" s="478"/>
      <c r="X4" s="906" t="s">
        <v>17</v>
      </c>
      <c r="Y4" s="906"/>
      <c r="Z4" s="478"/>
      <c r="AA4" s="906" t="s">
        <v>18</v>
      </c>
      <c r="AB4" s="906"/>
      <c r="AC4" s="478"/>
      <c r="AD4" s="906" t="s">
        <v>19</v>
      </c>
      <c r="AE4" s="906"/>
      <c r="AF4" s="478"/>
      <c r="AG4" s="906" t="s">
        <v>20</v>
      </c>
      <c r="AH4" s="906"/>
      <c r="AJ4" s="906" t="s">
        <v>21</v>
      </c>
      <c r="AK4" s="906"/>
    </row>
    <row r="5" spans="1:37">
      <c r="A5" s="186" t="s">
        <v>164</v>
      </c>
      <c r="B5" s="187">
        <v>0.14000000000000001</v>
      </c>
      <c r="C5" s="188">
        <v>300</v>
      </c>
      <c r="D5" s="189">
        <f>IF(C5&lt;181,0.225,IF(C5&lt;361,0.2,IF(C5&lt;721,0.175,0.15)))</f>
        <v>0.2</v>
      </c>
      <c r="E5" s="187">
        <v>0.13650000000000001</v>
      </c>
      <c r="G5" s="905" t="s">
        <v>168</v>
      </c>
      <c r="H5" s="905"/>
      <c r="I5" s="1"/>
      <c r="J5" s="195">
        <v>180</v>
      </c>
      <c r="K5" s="196">
        <v>0.22500000000000001</v>
      </c>
      <c r="L5" s="1"/>
      <c r="O5" s="506">
        <v>37.979999999999997</v>
      </c>
      <c r="P5" s="1" t="s">
        <v>364</v>
      </c>
      <c r="R5" s="506">
        <v>37.979999999999997</v>
      </c>
      <c r="S5" s="1" t="s">
        <v>362</v>
      </c>
      <c r="U5" s="506">
        <v>37.979999999999997</v>
      </c>
      <c r="V5" s="1" t="s">
        <v>370</v>
      </c>
      <c r="X5" s="506"/>
      <c r="AA5" s="506"/>
      <c r="AD5" s="506"/>
      <c r="AG5" s="506"/>
      <c r="AJ5" s="506"/>
    </row>
    <row r="6" spans="1:37">
      <c r="A6" s="186" t="s">
        <v>165</v>
      </c>
      <c r="B6" s="190">
        <f>B5/E5</f>
        <v>1.0256410256410258</v>
      </c>
      <c r="C6" s="191">
        <f t="shared" ref="C6:E8" si="0">C5</f>
        <v>300</v>
      </c>
      <c r="D6" s="192">
        <f t="shared" si="0"/>
        <v>0.2</v>
      </c>
      <c r="E6" s="190">
        <f t="shared" si="0"/>
        <v>0.13650000000000001</v>
      </c>
      <c r="G6" s="197" t="s">
        <v>169</v>
      </c>
      <c r="H6" s="198">
        <v>0.13300000000000001</v>
      </c>
      <c r="I6" s="1"/>
      <c r="J6" s="195" t="s">
        <v>170</v>
      </c>
      <c r="K6" s="196">
        <v>0.2</v>
      </c>
      <c r="L6" s="1"/>
      <c r="O6" s="506">
        <v>7.8650000000000002</v>
      </c>
      <c r="P6" s="1" t="s">
        <v>375</v>
      </c>
      <c r="R6" s="506">
        <v>7.8650000000000002</v>
      </c>
      <c r="S6" s="1" t="s">
        <v>363</v>
      </c>
      <c r="U6" s="506">
        <v>7.8650000000000002</v>
      </c>
      <c r="V6" s="1" t="s">
        <v>371</v>
      </c>
      <c r="X6" s="506">
        <v>7.8650000000000002</v>
      </c>
      <c r="Y6" s="1" t="s">
        <v>381</v>
      </c>
      <c r="AA6" s="506">
        <v>7.8650000000000002</v>
      </c>
      <c r="AB6" s="1" t="s">
        <v>382</v>
      </c>
      <c r="AD6" s="506">
        <v>7.8650000000000002</v>
      </c>
      <c r="AE6" s="1" t="s">
        <v>383</v>
      </c>
      <c r="AG6" s="506"/>
      <c r="AJ6" s="506"/>
    </row>
    <row r="7" spans="1:37">
      <c r="A7" s="186" t="s">
        <v>166</v>
      </c>
      <c r="B7" s="190">
        <f>B5*(1-D5)</f>
        <v>0.11200000000000002</v>
      </c>
      <c r="C7" s="191">
        <f t="shared" si="0"/>
        <v>300</v>
      </c>
      <c r="D7" s="192">
        <f t="shared" ref="D7" si="1">D6</f>
        <v>0.2</v>
      </c>
      <c r="E7" s="190">
        <f t="shared" si="0"/>
        <v>0.13650000000000001</v>
      </c>
      <c r="G7" s="197" t="s">
        <v>171</v>
      </c>
      <c r="H7" s="199">
        <f>(1+H6)^(1/12)-1</f>
        <v>1.0460076582707201E-2</v>
      </c>
      <c r="I7" s="1"/>
      <c r="J7" s="195" t="s">
        <v>172</v>
      </c>
      <c r="K7" s="196">
        <v>0.17499999999999999</v>
      </c>
      <c r="L7" s="1"/>
      <c r="O7" s="506">
        <v>119.9</v>
      </c>
      <c r="P7" s="1" t="s">
        <v>376</v>
      </c>
      <c r="R7" s="506">
        <v>119.9</v>
      </c>
      <c r="S7" s="1" t="s">
        <v>364</v>
      </c>
      <c r="U7" s="506">
        <v>119.9</v>
      </c>
      <c r="V7" s="1" t="s">
        <v>362</v>
      </c>
      <c r="X7" s="506">
        <v>119.9</v>
      </c>
      <c r="Y7" s="1" t="s">
        <v>370</v>
      </c>
      <c r="AA7" s="506"/>
      <c r="AD7" s="506"/>
      <c r="AG7" s="506"/>
      <c r="AJ7" s="506"/>
    </row>
    <row r="8" spans="1:37">
      <c r="A8" s="186" t="s">
        <v>167</v>
      </c>
      <c r="B8" s="193">
        <f>B7/E7</f>
        <v>0.8205128205128206</v>
      </c>
      <c r="C8" s="191">
        <f t="shared" si="0"/>
        <v>300</v>
      </c>
      <c r="D8" s="192">
        <f t="shared" ref="D8" si="2">D7</f>
        <v>0.2</v>
      </c>
      <c r="E8" s="190">
        <f t="shared" si="0"/>
        <v>0.13650000000000001</v>
      </c>
      <c r="G8" s="1"/>
      <c r="H8" s="1"/>
      <c r="I8" s="1"/>
      <c r="J8" s="195">
        <v>720</v>
      </c>
      <c r="K8" s="196">
        <v>0.15</v>
      </c>
      <c r="L8" s="1"/>
      <c r="O8" s="506">
        <v>87.984999999999999</v>
      </c>
      <c r="P8" s="1" t="s">
        <v>360</v>
      </c>
      <c r="R8" s="506">
        <v>87.984999999999999</v>
      </c>
      <c r="S8" s="1" t="s">
        <v>365</v>
      </c>
      <c r="U8" s="506">
        <v>87.984999999999999</v>
      </c>
      <c r="V8" s="1" t="s">
        <v>372</v>
      </c>
      <c r="X8" s="506">
        <v>87.984999999999999</v>
      </c>
      <c r="Y8" s="1" t="s">
        <v>376</v>
      </c>
      <c r="AA8" s="506">
        <v>87.984999999999999</v>
      </c>
      <c r="AB8" s="1" t="s">
        <v>364</v>
      </c>
      <c r="AD8" s="506">
        <v>87.984999999999999</v>
      </c>
      <c r="AE8" s="1" t="s">
        <v>362</v>
      </c>
      <c r="AG8" s="506">
        <v>87.984999999999999</v>
      </c>
      <c r="AH8" s="1" t="s">
        <v>370</v>
      </c>
      <c r="AJ8" s="506"/>
    </row>
    <row r="9" spans="1:37" s="1" customFormat="1">
      <c r="O9" s="506">
        <v>204.54</v>
      </c>
      <c r="P9" s="1" t="s">
        <v>373</v>
      </c>
      <c r="Q9" s="142"/>
      <c r="R9" s="506"/>
      <c r="T9" s="142"/>
      <c r="U9" s="506"/>
      <c r="W9" s="142"/>
      <c r="X9" s="506"/>
      <c r="Z9" s="142"/>
      <c r="AA9" s="506"/>
      <c r="AC9" s="142"/>
      <c r="AD9" s="506"/>
      <c r="AF9" s="142"/>
      <c r="AG9" s="506"/>
      <c r="AI9" s="142"/>
      <c r="AJ9" s="506"/>
    </row>
    <row r="10" spans="1:37">
      <c r="A10" s="186" t="s">
        <v>63</v>
      </c>
      <c r="B10" s="186" t="s">
        <v>160</v>
      </c>
      <c r="C10" s="186" t="s">
        <v>161</v>
      </c>
      <c r="D10" s="186" t="s">
        <v>162</v>
      </c>
      <c r="E10" s="186" t="s">
        <v>163</v>
      </c>
      <c r="G10" s="908" t="s">
        <v>173</v>
      </c>
      <c r="H10" s="908"/>
      <c r="I10" s="1"/>
      <c r="J10" s="904" t="s">
        <v>174</v>
      </c>
      <c r="K10" s="904"/>
      <c r="L10" s="200">
        <v>1188.5899999999999</v>
      </c>
      <c r="O10" s="506">
        <v>58.4</v>
      </c>
      <c r="P10" s="1" t="s">
        <v>361</v>
      </c>
      <c r="R10" s="506">
        <v>58.4</v>
      </c>
      <c r="S10" s="1" t="s">
        <v>366</v>
      </c>
      <c r="U10" s="506"/>
      <c r="X10" s="506"/>
      <c r="AA10" s="506"/>
      <c r="AD10" s="506"/>
      <c r="AG10" s="506"/>
      <c r="AJ10" s="506"/>
    </row>
    <row r="11" spans="1:37">
      <c r="A11" s="186" t="s">
        <v>164</v>
      </c>
      <c r="B11" s="190">
        <f>B12*E12</f>
        <v>0.14399999999999999</v>
      </c>
      <c r="C11" s="191">
        <f>C12</f>
        <v>361</v>
      </c>
      <c r="D11" s="189">
        <f>IF(C11&lt;181,0.225,IF(C11&lt;361,0.2,IF(C11&lt;721,0.175,0.15)))</f>
        <v>0.17499999999999999</v>
      </c>
      <c r="E11" s="190">
        <f>E12</f>
        <v>0.12</v>
      </c>
      <c r="G11" s="201" t="s">
        <v>175</v>
      </c>
      <c r="H11" s="201" t="s">
        <v>176</v>
      </c>
      <c r="I11" s="1"/>
      <c r="J11" s="904" t="s">
        <v>177</v>
      </c>
      <c r="K11" s="904"/>
      <c r="L11" s="202">
        <v>1</v>
      </c>
      <c r="O11" s="506">
        <v>77</v>
      </c>
      <c r="P11" s="1" t="s">
        <v>360</v>
      </c>
      <c r="R11" s="506">
        <v>77</v>
      </c>
      <c r="S11" s="1" t="s">
        <v>365</v>
      </c>
      <c r="U11" s="506">
        <v>77</v>
      </c>
      <c r="V11" s="1" t="s">
        <v>372</v>
      </c>
      <c r="X11" s="506">
        <v>77</v>
      </c>
      <c r="Y11" s="1" t="s">
        <v>376</v>
      </c>
      <c r="AA11" s="506">
        <v>77</v>
      </c>
      <c r="AB11" s="1" t="s">
        <v>364</v>
      </c>
      <c r="AD11" s="506">
        <v>77</v>
      </c>
      <c r="AE11" s="1" t="s">
        <v>362</v>
      </c>
      <c r="AG11" s="506">
        <v>77</v>
      </c>
      <c r="AH11" s="1" t="s">
        <v>370</v>
      </c>
      <c r="AJ11" s="506"/>
    </row>
    <row r="12" spans="1:37">
      <c r="A12" s="186" t="s">
        <v>165</v>
      </c>
      <c r="B12" s="187">
        <v>1.2</v>
      </c>
      <c r="C12" s="188">
        <v>361</v>
      </c>
      <c r="D12" s="189">
        <f>IF(C12&lt;181,0.225,IF(C12&lt;361,0.2,IF(C12&lt;721,0.175,0.15)))</f>
        <v>0.17499999999999999</v>
      </c>
      <c r="E12" s="187">
        <v>0.12</v>
      </c>
      <c r="G12" s="446">
        <v>0.13300000000000001</v>
      </c>
      <c r="H12" s="446">
        <v>4.4900000000000002E-2</v>
      </c>
      <c r="I12" s="1"/>
      <c r="J12" s="904" t="s">
        <v>163</v>
      </c>
      <c r="K12" s="904"/>
      <c r="L12" s="198">
        <v>0.13650000000000001</v>
      </c>
      <c r="O12" s="506">
        <v>84.76</v>
      </c>
      <c r="P12" s="1" t="s">
        <v>377</v>
      </c>
      <c r="R12" s="506">
        <v>84.76</v>
      </c>
      <c r="S12" s="1" t="s">
        <v>374</v>
      </c>
      <c r="U12" s="506">
        <v>84.76</v>
      </c>
      <c r="V12" s="1" t="s">
        <v>384</v>
      </c>
      <c r="X12" s="506"/>
      <c r="AA12" s="506"/>
      <c r="AD12" s="506"/>
      <c r="AG12" s="506"/>
      <c r="AJ12" s="506"/>
    </row>
    <row r="13" spans="1:37">
      <c r="A13" s="186" t="s">
        <v>166</v>
      </c>
      <c r="B13" s="190">
        <f>B11*(1-D11)</f>
        <v>0.11879999999999999</v>
      </c>
      <c r="C13" s="191">
        <f>C12</f>
        <v>361</v>
      </c>
      <c r="D13" s="189">
        <f t="shared" ref="D13:D14" si="3">IF(C13&lt;181,0.225,IF(C13&lt;361,0.2,IF(C13&lt;721,0.175,0.15)))</f>
        <v>0.17499999999999999</v>
      </c>
      <c r="E13" s="190">
        <f>E12</f>
        <v>0.12</v>
      </c>
      <c r="G13" s="909">
        <f>(1+G12)/(1+H12)-1</f>
        <v>8.4314288448655406E-2</v>
      </c>
      <c r="H13" s="910"/>
      <c r="I13" s="1"/>
      <c r="J13" s="904" t="s">
        <v>169</v>
      </c>
      <c r="K13" s="904"/>
      <c r="L13" s="203">
        <f>L11*L12</f>
        <v>0.13650000000000001</v>
      </c>
      <c r="O13" s="506">
        <v>28.83</v>
      </c>
      <c r="P13" s="1" t="s">
        <v>367</v>
      </c>
      <c r="R13" s="506"/>
      <c r="U13" s="506"/>
      <c r="X13" s="506"/>
      <c r="AA13" s="506"/>
      <c r="AD13" s="506"/>
      <c r="AG13" s="506"/>
      <c r="AJ13" s="506"/>
    </row>
    <row r="14" spans="1:37">
      <c r="A14" s="186" t="s">
        <v>167</v>
      </c>
      <c r="B14" s="193">
        <f>B13/E12</f>
        <v>0.99</v>
      </c>
      <c r="C14" s="191">
        <f>C13</f>
        <v>361</v>
      </c>
      <c r="D14" s="189">
        <f t="shared" si="3"/>
        <v>0.17499999999999999</v>
      </c>
      <c r="E14" s="190">
        <f>E12</f>
        <v>0.12</v>
      </c>
      <c r="G14" s="1"/>
      <c r="H14" s="1"/>
      <c r="I14" s="1"/>
      <c r="J14" s="904" t="s">
        <v>178</v>
      </c>
      <c r="K14" s="904"/>
      <c r="L14" s="204">
        <v>1</v>
      </c>
      <c r="O14" s="506">
        <v>29.7</v>
      </c>
      <c r="P14" s="1" t="s">
        <v>378</v>
      </c>
      <c r="R14" s="506">
        <v>29.7</v>
      </c>
      <c r="S14" s="1" t="s">
        <v>367</v>
      </c>
      <c r="U14" s="506"/>
      <c r="X14" s="506"/>
      <c r="AA14" s="506"/>
      <c r="AD14" s="506"/>
      <c r="AG14" s="506"/>
      <c r="AJ14" s="506"/>
    </row>
    <row r="15" spans="1:37">
      <c r="A15" s="1"/>
      <c r="B15" s="1"/>
      <c r="C15" s="1"/>
      <c r="D15" s="1"/>
      <c r="E15" s="1"/>
      <c r="G15" s="205" t="s">
        <v>177</v>
      </c>
      <c r="H15" s="202">
        <v>1</v>
      </c>
      <c r="I15" s="1"/>
      <c r="J15" s="904" t="s">
        <v>179</v>
      </c>
      <c r="K15" s="904"/>
      <c r="L15" s="202">
        <v>0.22</v>
      </c>
      <c r="O15" s="506">
        <v>32.869999999999997</v>
      </c>
      <c r="P15" s="1" t="s">
        <v>379</v>
      </c>
      <c r="R15" s="506">
        <v>32.869999999999997</v>
      </c>
      <c r="S15" s="1" t="s">
        <v>368</v>
      </c>
      <c r="U15" s="506">
        <v>32.869999999999997</v>
      </c>
      <c r="V15" s="1" t="s">
        <v>373</v>
      </c>
      <c r="X15" s="506"/>
      <c r="AA15" s="506"/>
      <c r="AD15" s="506"/>
      <c r="AG15" s="506"/>
      <c r="AJ15" s="506"/>
    </row>
    <row r="16" spans="1:37">
      <c r="A16" s="186" t="s">
        <v>63</v>
      </c>
      <c r="B16" s="186" t="s">
        <v>160</v>
      </c>
      <c r="C16" s="186" t="s">
        <v>161</v>
      </c>
      <c r="D16" s="186" t="s">
        <v>162</v>
      </c>
      <c r="E16" s="186" t="s">
        <v>163</v>
      </c>
      <c r="G16" s="206" t="s">
        <v>163</v>
      </c>
      <c r="H16" s="198">
        <v>0.13300000000000001</v>
      </c>
      <c r="I16" s="1"/>
      <c r="J16" s="904" t="s">
        <v>180</v>
      </c>
      <c r="K16" s="904"/>
      <c r="L16" s="207">
        <f>L10*(1+L13)^L14</f>
        <v>1350.832535</v>
      </c>
      <c r="O16" s="506">
        <v>32.39</v>
      </c>
      <c r="P16" s="1" t="s">
        <v>380</v>
      </c>
      <c r="R16" s="506">
        <v>32.39</v>
      </c>
      <c r="S16" s="1" t="s">
        <v>369</v>
      </c>
      <c r="U16" s="506">
        <v>32.39</v>
      </c>
      <c r="V16" s="1" t="s">
        <v>361</v>
      </c>
      <c r="X16" s="506">
        <v>32.39</v>
      </c>
      <c r="Y16" s="1" t="s">
        <v>366</v>
      </c>
      <c r="AA16" s="506"/>
      <c r="AD16" s="506"/>
      <c r="AG16" s="506"/>
      <c r="AJ16" s="506"/>
    </row>
    <row r="17" spans="1:37">
      <c r="A17" s="186" t="s">
        <v>164</v>
      </c>
      <c r="B17" s="190">
        <f>B19/(1-D19)</f>
        <v>0.13651612903225807</v>
      </c>
      <c r="C17" s="191">
        <f t="shared" ref="C17:E18" si="4">C18</f>
        <v>180</v>
      </c>
      <c r="D17" s="192">
        <f t="shared" si="4"/>
        <v>0.22500000000000001</v>
      </c>
      <c r="E17" s="190">
        <f t="shared" si="4"/>
        <v>0.13650000000000001</v>
      </c>
      <c r="G17" s="206" t="s">
        <v>169</v>
      </c>
      <c r="H17" s="208">
        <f>H15*H16</f>
        <v>0.13300000000000001</v>
      </c>
      <c r="I17" s="1"/>
      <c r="J17" s="904" t="s">
        <v>181</v>
      </c>
      <c r="K17" s="904"/>
      <c r="L17" s="209">
        <f>(L16-L10)*L15</f>
        <v>35.693357700000021</v>
      </c>
      <c r="O17" s="506"/>
      <c r="R17" s="506"/>
      <c r="U17" s="506"/>
      <c r="X17" s="506"/>
      <c r="AA17" s="506"/>
      <c r="AD17" s="506"/>
      <c r="AG17" s="506"/>
      <c r="AJ17" s="506"/>
    </row>
    <row r="18" spans="1:37">
      <c r="A18" s="186" t="s">
        <v>165</v>
      </c>
      <c r="B18" s="190">
        <f>B20/(1-D20)</f>
        <v>1.000118161408484</v>
      </c>
      <c r="C18" s="191">
        <f t="shared" si="4"/>
        <v>180</v>
      </c>
      <c r="D18" s="192">
        <f t="shared" si="4"/>
        <v>0.22500000000000001</v>
      </c>
      <c r="E18" s="190">
        <f t="shared" si="4"/>
        <v>0.13650000000000001</v>
      </c>
      <c r="G18" s="206" t="s">
        <v>171</v>
      </c>
      <c r="H18" s="205">
        <f>(1+H17)^(1/12)-1</f>
        <v>1.0460076582707201E-2</v>
      </c>
      <c r="I18" s="1"/>
      <c r="J18" s="904" t="s">
        <v>182</v>
      </c>
      <c r="K18" s="904"/>
      <c r="L18" s="209">
        <f>L16-L17</f>
        <v>1315.1391773</v>
      </c>
      <c r="O18" s="506"/>
      <c r="R18" s="506"/>
      <c r="U18" s="506"/>
      <c r="X18" s="506"/>
      <c r="AA18" s="506"/>
      <c r="AD18" s="506"/>
      <c r="AG18" s="506"/>
      <c r="AJ18" s="506"/>
    </row>
    <row r="19" spans="1:37">
      <c r="A19" s="186" t="s">
        <v>166</v>
      </c>
      <c r="B19" s="187">
        <v>0.10580000000000001</v>
      </c>
      <c r="C19" s="188">
        <v>180</v>
      </c>
      <c r="D19" s="189">
        <f>IF(C19&lt;181,0.225,IF(C19&lt;361,0.2,IF(C19&lt;721,0.175,0.15)))</f>
        <v>0.22500000000000001</v>
      </c>
      <c r="E19" s="187">
        <v>0.13650000000000001</v>
      </c>
      <c r="G19" s="1"/>
      <c r="H19" s="1"/>
      <c r="I19" s="1"/>
      <c r="J19" s="904" t="s">
        <v>183</v>
      </c>
      <c r="K19" s="904"/>
      <c r="L19" s="209">
        <f>L18-L10</f>
        <v>126.54917730000011</v>
      </c>
      <c r="O19" s="506"/>
      <c r="R19" s="506"/>
      <c r="U19" s="506"/>
      <c r="X19" s="506"/>
      <c r="AA19" s="506"/>
      <c r="AD19" s="506"/>
      <c r="AG19" s="506"/>
      <c r="AJ19" s="506"/>
    </row>
    <row r="20" spans="1:37">
      <c r="A20" s="186" t="s">
        <v>167</v>
      </c>
      <c r="B20" s="193">
        <f>B19/E19</f>
        <v>0.77509157509157511</v>
      </c>
      <c r="C20" s="191">
        <f>C19</f>
        <v>180</v>
      </c>
      <c r="D20" s="192">
        <f t="shared" ref="D20" si="5">D19</f>
        <v>0.22500000000000001</v>
      </c>
      <c r="E20" s="190">
        <f>E19</f>
        <v>0.13650000000000001</v>
      </c>
      <c r="G20" s="1"/>
      <c r="H20" s="1"/>
      <c r="I20" s="1"/>
      <c r="J20" s="1"/>
      <c r="K20" s="1"/>
      <c r="L20" s="1"/>
      <c r="O20" s="506"/>
      <c r="R20" s="506"/>
      <c r="U20" s="506"/>
      <c r="X20" s="506"/>
      <c r="AA20" s="506"/>
      <c r="AD20" s="506"/>
      <c r="AG20" s="506"/>
      <c r="AJ20" s="506"/>
    </row>
    <row r="21" spans="1:37" s="1" customFormat="1">
      <c r="O21" s="506"/>
      <c r="Q21" s="142"/>
      <c r="R21" s="506"/>
      <c r="T21" s="142"/>
      <c r="U21" s="506"/>
      <c r="W21" s="142"/>
      <c r="X21" s="506"/>
      <c r="Z21" s="142"/>
      <c r="AA21" s="506"/>
      <c r="AC21" s="142"/>
      <c r="AD21" s="506"/>
      <c r="AF21" s="142"/>
      <c r="AG21" s="506"/>
      <c r="AI21" s="142"/>
      <c r="AJ21" s="506"/>
    </row>
    <row r="22" spans="1:37">
      <c r="A22" s="186" t="s">
        <v>63</v>
      </c>
      <c r="B22" s="186" t="s">
        <v>160</v>
      </c>
      <c r="C22" s="186" t="s">
        <v>161</v>
      </c>
      <c r="D22" s="186" t="s">
        <v>162</v>
      </c>
      <c r="E22" s="186" t="s">
        <v>163</v>
      </c>
      <c r="G22" s="903" t="s">
        <v>184</v>
      </c>
      <c r="H22" s="903"/>
      <c r="I22" s="198">
        <v>0.13</v>
      </c>
      <c r="J22" s="906"/>
      <c r="K22" s="906"/>
      <c r="L22" s="458">
        <f>L19/L10</f>
        <v>0.10647000000000011</v>
      </c>
      <c r="O22" s="506"/>
      <c r="R22" s="506"/>
      <c r="U22" s="506"/>
      <c r="X22" s="506"/>
      <c r="AA22" s="506"/>
      <c r="AD22" s="506"/>
      <c r="AG22" s="506"/>
      <c r="AJ22" s="506"/>
    </row>
    <row r="23" spans="1:37">
      <c r="A23" s="186" t="s">
        <v>164</v>
      </c>
      <c r="B23" s="190">
        <f>B24*E24</f>
        <v>0.15868125000000002</v>
      </c>
      <c r="C23" s="191">
        <f>C26</f>
        <v>360</v>
      </c>
      <c r="D23" s="189">
        <f>IF(C23&lt;181,0.225,IF(C23&lt;361,0.2,IF(C23&lt;721,0.175,0.15)))</f>
        <v>0.2</v>
      </c>
      <c r="E23" s="190">
        <f>E24</f>
        <v>0.13650000000000001</v>
      </c>
      <c r="G23" s="903" t="s">
        <v>185</v>
      </c>
      <c r="H23" s="903"/>
      <c r="I23" s="198">
        <v>0.22500000000000001</v>
      </c>
      <c r="J23" s="1"/>
      <c r="K23" s="1"/>
      <c r="L23" s="1"/>
      <c r="O23" s="506"/>
      <c r="R23" s="506"/>
      <c r="U23" s="506"/>
      <c r="X23" s="506"/>
      <c r="AA23" s="506"/>
      <c r="AD23" s="506"/>
      <c r="AG23" s="506"/>
      <c r="AJ23" s="506"/>
    </row>
    <row r="24" spans="1:37">
      <c r="A24" s="186" t="s">
        <v>165</v>
      </c>
      <c r="B24" s="190">
        <f>B26/(1-D26)</f>
        <v>1.1625000000000001</v>
      </c>
      <c r="C24" s="191">
        <f t="shared" ref="C24:D25" si="6">C23</f>
        <v>360</v>
      </c>
      <c r="D24" s="192">
        <f t="shared" si="6"/>
        <v>0.2</v>
      </c>
      <c r="E24" s="190">
        <f>E25</f>
        <v>0.13650000000000001</v>
      </c>
      <c r="G24" s="903" t="s">
        <v>335</v>
      </c>
      <c r="H24" s="903"/>
      <c r="I24" s="210">
        <f>I22*(1-I23)</f>
        <v>0.10075000000000001</v>
      </c>
      <c r="J24" s="1"/>
      <c r="K24" s="1"/>
      <c r="L24" s="1"/>
      <c r="O24" s="911">
        <f>SUM(O5:O23)</f>
        <v>802.22</v>
      </c>
      <c r="P24" s="911"/>
      <c r="Q24" s="507"/>
      <c r="R24" s="911">
        <f t="shared" ref="R24" si="7">SUM(R5:R23)</f>
        <v>568.84999999999991</v>
      </c>
      <c r="S24" s="911"/>
      <c r="T24" s="507"/>
      <c r="U24" s="911">
        <f t="shared" ref="U24" si="8">SUM(U5:U23)</f>
        <v>480.75</v>
      </c>
      <c r="V24" s="911"/>
      <c r="W24" s="507"/>
      <c r="X24" s="911">
        <f t="shared" ref="X24" si="9">SUM(X5:X23)</f>
        <v>325.14</v>
      </c>
      <c r="Y24" s="911"/>
      <c r="Z24" s="507"/>
      <c r="AA24" s="911">
        <f t="shared" ref="AA24" si="10">SUM(AA5:AA23)</f>
        <v>172.85</v>
      </c>
      <c r="AB24" s="911"/>
      <c r="AC24" s="507"/>
      <c r="AD24" s="911">
        <f t="shared" ref="AD24" si="11">SUM(AD5:AD23)</f>
        <v>172.85</v>
      </c>
      <c r="AE24" s="911"/>
      <c r="AF24" s="507"/>
      <c r="AG24" s="911">
        <f t="shared" ref="AG24" si="12">SUM(AG5:AG23)</f>
        <v>164.98500000000001</v>
      </c>
      <c r="AH24" s="911"/>
      <c r="AI24" s="508"/>
      <c r="AJ24" s="911">
        <f t="shared" ref="AJ24" si="13">SUM(AJ5:AJ23)</f>
        <v>0</v>
      </c>
      <c r="AK24" s="911"/>
    </row>
    <row r="25" spans="1:37">
      <c r="A25" s="186" t="s">
        <v>166</v>
      </c>
      <c r="B25" s="190">
        <f>B23*(1-D23)</f>
        <v>0.12694500000000003</v>
      </c>
      <c r="C25" s="191">
        <f t="shared" si="6"/>
        <v>360</v>
      </c>
      <c r="D25" s="192">
        <f t="shared" ref="D25" si="14">D24</f>
        <v>0.2</v>
      </c>
      <c r="E25" s="190">
        <f>E26</f>
        <v>0.13650000000000001</v>
      </c>
      <c r="G25" s="903" t="s">
        <v>336</v>
      </c>
      <c r="H25" s="903"/>
      <c r="I25" s="210">
        <f>(1+I24)^(1/12)-1</f>
        <v>8.031393797406805E-3</v>
      </c>
      <c r="J25" s="1"/>
      <c r="K25" s="1"/>
      <c r="L25" s="1"/>
    </row>
    <row r="26" spans="1:37">
      <c r="A26" s="186" t="s">
        <v>167</v>
      </c>
      <c r="B26" s="194">
        <v>0.93</v>
      </c>
      <c r="C26" s="188">
        <v>360</v>
      </c>
      <c r="D26" s="192">
        <f t="shared" ref="D26" si="15">D25</f>
        <v>0.2</v>
      </c>
      <c r="E26" s="187">
        <v>0.13650000000000001</v>
      </c>
      <c r="G26" s="1"/>
      <c r="H26" s="1"/>
      <c r="I26" s="1"/>
      <c r="J26" s="1"/>
      <c r="K26" s="1"/>
      <c r="L26" s="1"/>
    </row>
    <row r="27" spans="1:37" s="1" customFormat="1">
      <c r="Q27" s="142"/>
      <c r="T27" s="142"/>
      <c r="W27" s="142"/>
      <c r="Z27" s="142"/>
      <c r="AC27" s="142"/>
      <c r="AF27" s="142"/>
      <c r="AI27" s="142"/>
    </row>
    <row r="28" spans="1:37" s="1" customFormat="1">
      <c r="Q28" s="142"/>
      <c r="T28" s="142"/>
      <c r="W28" s="142"/>
      <c r="Z28" s="142"/>
      <c r="AC28" s="142"/>
      <c r="AF28" s="142"/>
      <c r="AI28" s="142"/>
    </row>
    <row r="29" spans="1:37" s="1" customFormat="1">
      <c r="Q29" s="142"/>
      <c r="T29" s="142"/>
      <c r="W29" s="142"/>
      <c r="Z29" s="142"/>
      <c r="AC29" s="142"/>
      <c r="AF29" s="142"/>
      <c r="AI29" s="142"/>
    </row>
    <row r="30" spans="1:37" s="1" customFormat="1">
      <c r="Q30" s="142"/>
      <c r="T30" s="142"/>
      <c r="W30" s="142"/>
      <c r="Z30" s="142"/>
      <c r="AC30" s="142"/>
      <c r="AF30" s="142"/>
      <c r="AI30" s="142"/>
    </row>
    <row r="31" spans="1:37" s="1" customFormat="1">
      <c r="Q31" s="142"/>
      <c r="T31" s="142"/>
      <c r="W31" s="142"/>
      <c r="Z31" s="142"/>
      <c r="AC31" s="142"/>
      <c r="AF31" s="142"/>
      <c r="AI31" s="142"/>
    </row>
    <row r="32" spans="1:37" s="1" customFormat="1">
      <c r="L32" s="568">
        <v>45057</v>
      </c>
      <c r="Q32" s="142"/>
      <c r="T32" s="142"/>
      <c r="W32" s="142"/>
      <c r="Z32" s="142"/>
      <c r="AC32" s="142"/>
      <c r="AF32" s="142"/>
      <c r="AI32" s="142"/>
    </row>
    <row r="33" spans="12:35" s="1" customFormat="1">
      <c r="L33" s="568">
        <v>45595</v>
      </c>
      <c r="Q33" s="142"/>
      <c r="T33" s="142"/>
      <c r="W33" s="142"/>
      <c r="Z33" s="142"/>
      <c r="AC33" s="142"/>
      <c r="AF33" s="142"/>
      <c r="AI33" s="142"/>
    </row>
    <row r="34" spans="12:35" s="1" customFormat="1">
      <c r="L34" s="1">
        <f>L33-L32</f>
        <v>538</v>
      </c>
      <c r="Q34" s="142"/>
      <c r="S34" s="169">
        <v>4466.3999999999996</v>
      </c>
      <c r="T34" s="142"/>
      <c r="W34" s="142"/>
      <c r="Z34" s="142"/>
      <c r="AC34" s="142"/>
      <c r="AF34" s="142"/>
      <c r="AI34" s="142"/>
    </row>
    <row r="35" spans="12:35" s="1" customFormat="1">
      <c r="L35" s="1">
        <f>L34/360</f>
        <v>1.4944444444444445</v>
      </c>
      <c r="Q35" s="142"/>
      <c r="S35" s="169">
        <v>1.77</v>
      </c>
      <c r="T35" s="142"/>
      <c r="W35" s="142"/>
      <c r="Z35" s="142"/>
      <c r="AC35" s="142"/>
      <c r="AF35" s="142"/>
      <c r="AI35" s="142"/>
    </row>
    <row r="36" spans="12:35" s="1" customFormat="1">
      <c r="Q36" s="142"/>
      <c r="S36" s="458">
        <f>S35/S34</f>
        <v>3.9629231595916179E-4</v>
      </c>
      <c r="T36" s="142"/>
      <c r="W36" s="142"/>
      <c r="Z36" s="142"/>
      <c r="AC36" s="142"/>
      <c r="AF36" s="142"/>
      <c r="AI36" s="142"/>
    </row>
    <row r="37" spans="12:35" s="1" customFormat="1">
      <c r="Q37" s="142"/>
      <c r="S37" s="1">
        <f>S36*22</f>
        <v>8.7184309511015596E-3</v>
      </c>
      <c r="T37" s="142"/>
      <c r="W37" s="142"/>
      <c r="Z37" s="142"/>
      <c r="AC37" s="142"/>
      <c r="AF37" s="142"/>
      <c r="AI37" s="142"/>
    </row>
    <row r="38" spans="12:35" s="1" customFormat="1">
      <c r="Q38" s="142"/>
      <c r="T38" s="142"/>
      <c r="W38" s="142"/>
      <c r="Z38" s="142"/>
      <c r="AC38" s="142"/>
      <c r="AF38" s="142"/>
      <c r="AI38" s="142"/>
    </row>
    <row r="39" spans="12:35" s="1" customFormat="1">
      <c r="Q39" s="142"/>
      <c r="T39" s="142"/>
      <c r="W39" s="142"/>
      <c r="Z39" s="142"/>
      <c r="AC39" s="142"/>
      <c r="AF39" s="142"/>
      <c r="AI39" s="142"/>
    </row>
    <row r="40" spans="12:35" s="1" customFormat="1">
      <c r="Q40" s="142"/>
      <c r="S40" s="1">
        <f>0.04*22</f>
        <v>0.88</v>
      </c>
      <c r="T40" s="142"/>
      <c r="W40" s="142"/>
      <c r="Z40" s="142"/>
      <c r="AC40" s="142"/>
      <c r="AF40" s="142"/>
      <c r="AI40" s="142"/>
    </row>
    <row r="41" spans="12:35" s="1" customFormat="1">
      <c r="Q41" s="142"/>
      <c r="T41" s="142"/>
      <c r="W41" s="142"/>
      <c r="Z41" s="142"/>
      <c r="AC41" s="142"/>
      <c r="AF41" s="142"/>
      <c r="AI41" s="142"/>
    </row>
    <row r="42" spans="12:35" s="1" customFormat="1">
      <c r="Q42" s="142"/>
      <c r="T42" s="142"/>
      <c r="W42" s="142"/>
      <c r="Z42" s="142"/>
      <c r="AC42" s="142"/>
      <c r="AF42" s="142"/>
      <c r="AI42" s="142"/>
    </row>
    <row r="43" spans="12:35" s="1" customFormat="1">
      <c r="Q43" s="142"/>
      <c r="T43" s="142"/>
      <c r="W43" s="142"/>
      <c r="Z43" s="142"/>
      <c r="AC43" s="142"/>
      <c r="AF43" s="142"/>
      <c r="AI43" s="142"/>
    </row>
    <row r="44" spans="12:35" s="1" customFormat="1">
      <c r="Q44" s="142"/>
      <c r="T44" s="142"/>
      <c r="W44" s="142"/>
      <c r="Z44" s="142"/>
      <c r="AC44" s="142"/>
      <c r="AF44" s="142"/>
      <c r="AI44" s="142"/>
    </row>
    <row r="45" spans="12:35" s="1" customFormat="1">
      <c r="Q45" s="142"/>
      <c r="T45" s="142"/>
      <c r="W45" s="142"/>
      <c r="Z45" s="142"/>
      <c r="AC45" s="142"/>
      <c r="AF45" s="142"/>
      <c r="AI45" s="142"/>
    </row>
    <row r="46" spans="12:35" s="1" customFormat="1">
      <c r="Q46" s="142"/>
      <c r="T46" s="142"/>
      <c r="W46" s="142"/>
      <c r="Z46" s="142"/>
      <c r="AC46" s="142"/>
      <c r="AF46" s="142"/>
      <c r="AI46" s="142"/>
    </row>
    <row r="47" spans="12:35" s="1" customFormat="1">
      <c r="Q47" s="142"/>
      <c r="T47" s="142"/>
      <c r="W47" s="142"/>
      <c r="Z47" s="142"/>
      <c r="AC47" s="142"/>
      <c r="AF47" s="142"/>
      <c r="AI47" s="142"/>
    </row>
    <row r="48" spans="12:35" s="1" customFormat="1">
      <c r="Q48" s="142"/>
      <c r="T48" s="142"/>
      <c r="W48" s="142"/>
      <c r="Z48" s="142"/>
      <c r="AC48" s="142"/>
      <c r="AF48" s="142"/>
      <c r="AI48" s="142"/>
    </row>
    <row r="49" spans="17:35" s="1" customFormat="1">
      <c r="Q49" s="142"/>
      <c r="T49" s="142"/>
      <c r="W49" s="142"/>
      <c r="Z49" s="142"/>
      <c r="AC49" s="142"/>
      <c r="AF49" s="142"/>
      <c r="AI49" s="142"/>
    </row>
    <row r="50" spans="17:35" s="1" customFormat="1">
      <c r="Q50" s="142"/>
      <c r="T50" s="142"/>
      <c r="W50" s="142"/>
      <c r="Z50" s="142"/>
      <c r="AC50" s="142"/>
      <c r="AF50" s="142"/>
      <c r="AI50" s="142"/>
    </row>
    <row r="51" spans="17:35" s="1" customFormat="1">
      <c r="Q51" s="142"/>
      <c r="T51" s="142"/>
      <c r="W51" s="142"/>
      <c r="Z51" s="142"/>
      <c r="AC51" s="142"/>
      <c r="AF51" s="142"/>
      <c r="AI51" s="142"/>
    </row>
    <row r="52" spans="17:35" s="1" customFormat="1">
      <c r="Q52" s="142"/>
      <c r="T52" s="142"/>
      <c r="W52" s="142"/>
      <c r="Z52" s="142"/>
      <c r="AC52" s="142"/>
      <c r="AF52" s="142"/>
      <c r="AI52" s="142"/>
    </row>
    <row r="53" spans="17:35" s="1" customFormat="1">
      <c r="Q53" s="142"/>
      <c r="T53" s="142"/>
      <c r="W53" s="142"/>
      <c r="Z53" s="142"/>
      <c r="AC53" s="142"/>
      <c r="AF53" s="142"/>
      <c r="AI53" s="142"/>
    </row>
    <row r="54" spans="17:35" s="1" customFormat="1">
      <c r="Q54" s="142"/>
      <c r="T54" s="142"/>
      <c r="W54" s="142"/>
      <c r="Z54" s="142"/>
      <c r="AC54" s="142"/>
      <c r="AF54" s="142"/>
      <c r="AI54" s="142"/>
    </row>
    <row r="55" spans="17:35" s="1" customFormat="1">
      <c r="Q55" s="142"/>
      <c r="T55" s="142"/>
      <c r="W55" s="142"/>
      <c r="Z55" s="142"/>
      <c r="AC55" s="142"/>
      <c r="AF55" s="142"/>
      <c r="AI55" s="142"/>
    </row>
    <row r="56" spans="17:35" s="1" customFormat="1">
      <c r="Q56" s="142"/>
      <c r="T56" s="142"/>
      <c r="W56" s="142"/>
      <c r="Z56" s="142"/>
      <c r="AC56" s="142"/>
      <c r="AF56" s="142"/>
      <c r="AI56" s="142"/>
    </row>
    <row r="57" spans="17:35" s="1" customFormat="1">
      <c r="Q57" s="142"/>
      <c r="T57" s="142"/>
      <c r="W57" s="142"/>
      <c r="Z57" s="142"/>
      <c r="AC57" s="142"/>
      <c r="AF57" s="142"/>
      <c r="AI57" s="142"/>
    </row>
  </sheetData>
  <mergeCells count="35">
    <mergeCell ref="AD24:AE24"/>
    <mergeCell ref="AG24:AH24"/>
    <mergeCell ref="AJ4:AK4"/>
    <mergeCell ref="AJ24:AK24"/>
    <mergeCell ref="O24:P24"/>
    <mergeCell ref="R24:S24"/>
    <mergeCell ref="U24:V24"/>
    <mergeCell ref="X24:Y24"/>
    <mergeCell ref="AA24:AB24"/>
    <mergeCell ref="AG4:AH4"/>
    <mergeCell ref="O4:P4"/>
    <mergeCell ref="R4:S4"/>
    <mergeCell ref="U4:V4"/>
    <mergeCell ref="X4:Y4"/>
    <mergeCell ref="AA4:AB4"/>
    <mergeCell ref="AD4:AE4"/>
    <mergeCell ref="J4:K4"/>
    <mergeCell ref="G10:H10"/>
    <mergeCell ref="G13:H13"/>
    <mergeCell ref="J10:K10"/>
    <mergeCell ref="J11:K11"/>
    <mergeCell ref="J12:K12"/>
    <mergeCell ref="J13:K13"/>
    <mergeCell ref="G25:H25"/>
    <mergeCell ref="J14:K14"/>
    <mergeCell ref="J16:K16"/>
    <mergeCell ref="J15:K15"/>
    <mergeCell ref="G5:H5"/>
    <mergeCell ref="G24:H24"/>
    <mergeCell ref="G22:H22"/>
    <mergeCell ref="J17:K17"/>
    <mergeCell ref="J18:K18"/>
    <mergeCell ref="J19:K19"/>
    <mergeCell ref="J22:K22"/>
    <mergeCell ref="G23:H23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D11 D13 B7 D20" formula="1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AX201"/>
  <sheetViews>
    <sheetView zoomScale="85" zoomScaleNormal="85" workbookViewId="0">
      <selection activeCell="F17" sqref="F17"/>
    </sheetView>
  </sheetViews>
  <sheetFormatPr defaultRowHeight="15"/>
  <cols>
    <col min="1" max="1" width="3" style="275" customWidth="1"/>
    <col min="2" max="2" width="2.5703125" style="1" customWidth="1"/>
    <col min="3" max="3" width="9.140625" style="1"/>
    <col min="4" max="4" width="9.5703125" style="1" bestFit="1" customWidth="1"/>
    <col min="5" max="5" width="9.5703125" style="169" customWidth="1"/>
    <col min="6" max="6" width="10.5703125" style="169" bestFit="1" customWidth="1"/>
    <col min="7" max="7" width="2.5703125" style="1" customWidth="1"/>
    <col min="8" max="9" width="9.5703125" style="1" bestFit="1" customWidth="1"/>
    <col min="10" max="10" width="9.5703125" style="169" customWidth="1"/>
    <col min="11" max="11" width="10.5703125" style="169" bestFit="1" customWidth="1"/>
    <col min="12" max="12" width="2.5703125" style="1" customWidth="1"/>
    <col min="13" max="13" width="9.140625" style="1"/>
    <col min="14" max="14" width="9.5703125" style="1" bestFit="1" customWidth="1"/>
    <col min="15" max="16" width="12.28515625" style="169" bestFit="1" customWidth="1"/>
    <col min="17" max="17" width="2.5703125" style="1" customWidth="1"/>
    <col min="18" max="18" width="9.140625" style="1"/>
    <col min="19" max="19" width="9.5703125" style="1" bestFit="1" customWidth="1"/>
    <col min="20" max="20" width="8.7109375" style="169" bestFit="1" customWidth="1"/>
    <col min="21" max="21" width="12.28515625" style="169" bestFit="1" customWidth="1"/>
    <col min="22" max="24" width="2.5703125" style="1" customWidth="1"/>
    <col min="25" max="25" width="9.140625" style="1"/>
    <col min="26" max="26" width="9.5703125" style="1" bestFit="1" customWidth="1"/>
    <col min="27" max="27" width="10.5703125" style="169" bestFit="1" customWidth="1"/>
    <col min="28" max="28" width="10.7109375" style="169" bestFit="1" customWidth="1"/>
    <col min="29" max="29" width="2.5703125" style="1" customWidth="1"/>
    <col min="30" max="30" width="9.28515625" style="1" bestFit="1" customWidth="1"/>
    <col min="31" max="31" width="9.7109375" style="1" bestFit="1" customWidth="1"/>
    <col min="32" max="32" width="9.5703125" style="169" customWidth="1"/>
    <col min="33" max="33" width="10.7109375" style="169" bestFit="1" customWidth="1"/>
    <col min="34" max="34" width="2.5703125" style="1" customWidth="1"/>
    <col min="35" max="35" width="9.140625" style="1"/>
    <col min="36" max="36" width="9.5703125" style="1" bestFit="1" customWidth="1"/>
    <col min="37" max="37" width="10.7109375" style="169" bestFit="1" customWidth="1"/>
    <col min="38" max="38" width="10.5703125" style="169" bestFit="1" customWidth="1"/>
    <col min="39" max="39" width="2.5703125" style="1" customWidth="1"/>
    <col min="40" max="40" width="9.140625" style="1"/>
    <col min="41" max="41" width="9.5703125" style="1" bestFit="1" customWidth="1"/>
    <col min="42" max="42" width="10.7109375" style="169" bestFit="1" customWidth="1"/>
    <col min="43" max="43" width="12.28515625" style="169" bestFit="1" customWidth="1"/>
    <col min="44" max="44" width="2.5703125" style="1" customWidth="1"/>
    <col min="45" max="50" width="9.140625" style="275"/>
    <col min="51" max="16384" width="9.140625" style="1"/>
  </cols>
  <sheetData>
    <row r="1" spans="2:44" s="275" customFormat="1">
      <c r="E1" s="276"/>
      <c r="F1" s="276"/>
      <c r="J1" s="276"/>
      <c r="K1" s="276"/>
      <c r="O1" s="276"/>
      <c r="P1" s="276"/>
      <c r="T1" s="276"/>
      <c r="U1" s="276"/>
      <c r="AA1" s="276"/>
      <c r="AB1" s="276"/>
      <c r="AF1" s="276"/>
      <c r="AG1" s="276"/>
      <c r="AK1" s="276"/>
      <c r="AL1" s="276"/>
      <c r="AP1" s="276"/>
      <c r="AQ1" s="276"/>
    </row>
    <row r="2" spans="2:44" s="1" customFormat="1" ht="15.75">
      <c r="B2" s="334"/>
      <c r="C2" s="914" t="s">
        <v>204</v>
      </c>
      <c r="D2" s="914"/>
      <c r="E2" s="914"/>
      <c r="F2" s="914"/>
      <c r="G2" s="914"/>
      <c r="H2" s="914"/>
      <c r="I2" s="914"/>
      <c r="J2" s="914"/>
      <c r="K2" s="914"/>
      <c r="L2" s="914"/>
      <c r="M2" s="914"/>
      <c r="N2" s="914"/>
      <c r="O2" s="914"/>
      <c r="P2" s="914"/>
      <c r="Q2" s="914"/>
      <c r="R2" s="914"/>
      <c r="S2" s="914"/>
      <c r="T2" s="914"/>
      <c r="U2" s="914"/>
      <c r="V2" s="333"/>
      <c r="X2" s="332"/>
      <c r="Y2" s="915" t="s">
        <v>203</v>
      </c>
      <c r="Z2" s="916"/>
      <c r="AA2" s="916"/>
      <c r="AB2" s="916"/>
      <c r="AC2" s="917"/>
      <c r="AD2" s="916"/>
      <c r="AE2" s="916"/>
      <c r="AF2" s="916"/>
      <c r="AG2" s="916"/>
      <c r="AH2" s="917"/>
      <c r="AI2" s="916"/>
      <c r="AJ2" s="916"/>
      <c r="AK2" s="916"/>
      <c r="AL2" s="916"/>
      <c r="AM2" s="917"/>
      <c r="AN2" s="916"/>
      <c r="AO2" s="916"/>
      <c r="AP2" s="916"/>
      <c r="AQ2" s="918"/>
      <c r="AR2" s="331"/>
    </row>
    <row r="3" spans="2:44" s="1" customFormat="1">
      <c r="B3" s="327"/>
      <c r="C3" s="912" t="s">
        <v>243</v>
      </c>
      <c r="D3" s="912"/>
      <c r="E3" s="912"/>
      <c r="F3" s="912"/>
      <c r="G3" s="329"/>
      <c r="H3" s="912" t="s">
        <v>242</v>
      </c>
      <c r="I3" s="912"/>
      <c r="J3" s="912"/>
      <c r="K3" s="912"/>
      <c r="L3" s="329"/>
      <c r="M3" s="912" t="s">
        <v>241</v>
      </c>
      <c r="N3" s="912"/>
      <c r="O3" s="912"/>
      <c r="P3" s="912"/>
      <c r="Q3" s="329"/>
      <c r="R3" s="912" t="s">
        <v>240</v>
      </c>
      <c r="S3" s="912"/>
      <c r="T3" s="912"/>
      <c r="U3" s="912"/>
      <c r="V3" s="325"/>
      <c r="X3" s="330" t="s">
        <v>239</v>
      </c>
      <c r="Y3" s="912" t="s">
        <v>239</v>
      </c>
      <c r="Z3" s="912"/>
      <c r="AA3" s="912"/>
      <c r="AB3" s="912"/>
      <c r="AC3" s="328" t="str">
        <f>AD3</f>
        <v>SARE11</v>
      </c>
      <c r="AD3" s="912" t="s">
        <v>390</v>
      </c>
      <c r="AE3" s="912"/>
      <c r="AF3" s="913"/>
      <c r="AG3" s="912"/>
      <c r="AH3" s="328" t="str">
        <f>AI3</f>
        <v>GGRC11</v>
      </c>
      <c r="AI3" s="912" t="s">
        <v>391</v>
      </c>
      <c r="AJ3" s="912"/>
      <c r="AK3" s="913"/>
      <c r="AL3" s="912"/>
      <c r="AM3" s="328" t="str">
        <f>AN3</f>
        <v>CIELO</v>
      </c>
      <c r="AN3" s="912" t="s">
        <v>248</v>
      </c>
      <c r="AO3" s="912"/>
      <c r="AP3" s="913"/>
      <c r="AQ3" s="912"/>
      <c r="AR3" s="322"/>
    </row>
    <row r="4" spans="2:44" s="1" customFormat="1">
      <c r="B4" s="327"/>
      <c r="C4" s="186" t="s">
        <v>1</v>
      </c>
      <c r="D4" s="186" t="s">
        <v>232</v>
      </c>
      <c r="E4" s="294" t="s">
        <v>231</v>
      </c>
      <c r="F4" s="294" t="s">
        <v>230</v>
      </c>
      <c r="G4" s="329"/>
      <c r="H4" s="186" t="s">
        <v>1</v>
      </c>
      <c r="I4" s="186" t="s">
        <v>232</v>
      </c>
      <c r="J4" s="294" t="s">
        <v>231</v>
      </c>
      <c r="K4" s="294" t="s">
        <v>230</v>
      </c>
      <c r="L4" s="329"/>
      <c r="M4" s="186" t="s">
        <v>1</v>
      </c>
      <c r="N4" s="186" t="s">
        <v>232</v>
      </c>
      <c r="O4" s="294" t="s">
        <v>231</v>
      </c>
      <c r="P4" s="294" t="s">
        <v>230</v>
      </c>
      <c r="Q4" s="329"/>
      <c r="R4" s="186" t="s">
        <v>1</v>
      </c>
      <c r="S4" s="186" t="s">
        <v>232</v>
      </c>
      <c r="T4" s="294" t="s">
        <v>231</v>
      </c>
      <c r="U4" s="294" t="s">
        <v>230</v>
      </c>
      <c r="V4" s="325"/>
      <c r="X4" s="324"/>
      <c r="Y4" s="186" t="s">
        <v>1</v>
      </c>
      <c r="Z4" s="186" t="s">
        <v>232</v>
      </c>
      <c r="AA4" s="294" t="s">
        <v>231</v>
      </c>
      <c r="AB4" s="294" t="s">
        <v>230</v>
      </c>
      <c r="AC4" s="328"/>
      <c r="AD4" s="186" t="s">
        <v>1</v>
      </c>
      <c r="AE4" s="186" t="s">
        <v>232</v>
      </c>
      <c r="AF4" s="294" t="s">
        <v>231</v>
      </c>
      <c r="AG4" s="294" t="s">
        <v>230</v>
      </c>
      <c r="AH4" s="328"/>
      <c r="AI4" s="186" t="s">
        <v>1</v>
      </c>
      <c r="AJ4" s="186" t="s">
        <v>232</v>
      </c>
      <c r="AK4" s="294" t="s">
        <v>231</v>
      </c>
      <c r="AL4" s="294" t="s">
        <v>230</v>
      </c>
      <c r="AM4" s="328"/>
      <c r="AN4" s="186" t="s">
        <v>1</v>
      </c>
      <c r="AO4" s="186" t="s">
        <v>232</v>
      </c>
      <c r="AP4" s="294" t="s">
        <v>231</v>
      </c>
      <c r="AQ4" s="294" t="s">
        <v>230</v>
      </c>
      <c r="AR4" s="322"/>
    </row>
    <row r="5" spans="2:44" s="1" customFormat="1">
      <c r="B5" s="327"/>
      <c r="C5" s="299">
        <v>45110</v>
      </c>
      <c r="D5" s="188">
        <v>3</v>
      </c>
      <c r="E5" s="298">
        <v>10.36</v>
      </c>
      <c r="F5" s="294">
        <f t="shared" ref="F5:F16" si="0">E5*D5</f>
        <v>31.08</v>
      </c>
      <c r="G5" s="329"/>
      <c r="H5" s="299">
        <v>45082</v>
      </c>
      <c r="I5" s="188">
        <v>5</v>
      </c>
      <c r="J5" s="298">
        <f>39.95/5</f>
        <v>7.99</v>
      </c>
      <c r="K5" s="294">
        <f t="shared" ref="K5:K16" si="1">J5*I5</f>
        <v>39.950000000000003</v>
      </c>
      <c r="L5" s="329"/>
      <c r="M5" s="299">
        <v>44998</v>
      </c>
      <c r="N5" s="188">
        <v>3</v>
      </c>
      <c r="O5" s="298">
        <v>95.3</v>
      </c>
      <c r="P5" s="294">
        <f t="shared" ref="P5:P16" si="2">O5*N5</f>
        <v>285.89999999999998</v>
      </c>
      <c r="Q5" s="329"/>
      <c r="R5" s="299">
        <v>44951</v>
      </c>
      <c r="S5" s="188">
        <v>5</v>
      </c>
      <c r="T5" s="298">
        <v>9.17</v>
      </c>
      <c r="U5" s="294">
        <f t="shared" ref="U5:U16" si="3">T5*S5</f>
        <v>45.85</v>
      </c>
      <c r="V5" s="325"/>
      <c r="X5" s="324"/>
      <c r="Y5" s="299"/>
      <c r="Z5" s="188"/>
      <c r="AA5" s="298"/>
      <c r="AB5" s="294">
        <f t="shared" ref="AB5:AB16" si="4">AA5*Z5</f>
        <v>0</v>
      </c>
      <c r="AC5" s="328"/>
      <c r="AD5" s="299">
        <v>45022</v>
      </c>
      <c r="AE5" s="188">
        <v>4</v>
      </c>
      <c r="AF5" s="298">
        <v>56.14</v>
      </c>
      <c r="AG5" s="294">
        <f t="shared" ref="AG5:AG16" si="5">AF5*AE5</f>
        <v>224.56</v>
      </c>
      <c r="AH5" s="328"/>
      <c r="AI5" s="299">
        <v>45022</v>
      </c>
      <c r="AJ5" s="188">
        <v>1</v>
      </c>
      <c r="AK5" s="298">
        <v>100.49</v>
      </c>
      <c r="AL5" s="294">
        <f t="shared" ref="AL5:AL16" si="6">AK5*AJ5</f>
        <v>100.49</v>
      </c>
      <c r="AM5" s="328"/>
      <c r="AN5" s="299">
        <v>44927</v>
      </c>
      <c r="AO5" s="188">
        <v>9</v>
      </c>
      <c r="AP5" s="298">
        <v>5.74</v>
      </c>
      <c r="AQ5" s="294">
        <f t="shared" ref="AQ5:AQ16" si="7">AP5*AO5</f>
        <v>51.660000000000004</v>
      </c>
      <c r="AR5" s="322"/>
    </row>
    <row r="6" spans="2:44" s="1" customFormat="1">
      <c r="B6" s="327"/>
      <c r="C6" s="299"/>
      <c r="D6" s="188"/>
      <c r="E6" s="298"/>
      <c r="F6" s="294">
        <f t="shared" si="0"/>
        <v>0</v>
      </c>
      <c r="G6" s="329"/>
      <c r="H6" s="299">
        <v>45117</v>
      </c>
      <c r="I6" s="188">
        <v>-15</v>
      </c>
      <c r="J6" s="298">
        <v>8.67</v>
      </c>
      <c r="K6" s="294">
        <f t="shared" si="1"/>
        <v>-130.05000000000001</v>
      </c>
      <c r="L6" s="329"/>
      <c r="M6" s="299">
        <v>45082</v>
      </c>
      <c r="N6" s="188">
        <v>16</v>
      </c>
      <c r="O6" s="298">
        <f>1509.28/16</f>
        <v>94.33</v>
      </c>
      <c r="P6" s="294">
        <f t="shared" si="2"/>
        <v>1509.28</v>
      </c>
      <c r="Q6" s="329"/>
      <c r="R6" s="299">
        <v>45099</v>
      </c>
      <c r="S6" s="188">
        <v>1</v>
      </c>
      <c r="T6" s="298">
        <v>9.48</v>
      </c>
      <c r="U6" s="294">
        <f t="shared" si="3"/>
        <v>9.48</v>
      </c>
      <c r="V6" s="325"/>
      <c r="X6" s="324"/>
      <c r="Y6" s="299"/>
      <c r="Z6" s="188"/>
      <c r="AA6" s="298"/>
      <c r="AB6" s="294">
        <f t="shared" si="4"/>
        <v>0</v>
      </c>
      <c r="AC6" s="328"/>
      <c r="AD6" s="299">
        <v>45082</v>
      </c>
      <c r="AE6" s="188">
        <v>1</v>
      </c>
      <c r="AF6" s="298">
        <v>64.25</v>
      </c>
      <c r="AG6" s="294">
        <f t="shared" si="5"/>
        <v>64.25</v>
      </c>
      <c r="AH6" s="328"/>
      <c r="AI6" s="299">
        <v>45117</v>
      </c>
      <c r="AJ6" s="188">
        <v>-1</v>
      </c>
      <c r="AK6" s="298">
        <v>123.33</v>
      </c>
      <c r="AL6" s="294">
        <f t="shared" si="6"/>
        <v>-123.33</v>
      </c>
      <c r="AM6" s="328"/>
      <c r="AN6" s="299"/>
      <c r="AO6" s="188"/>
      <c r="AP6" s="298"/>
      <c r="AQ6" s="294">
        <f t="shared" si="7"/>
        <v>0</v>
      </c>
      <c r="AR6" s="322"/>
    </row>
    <row r="7" spans="2:44" s="1" customFormat="1">
      <c r="B7" s="327"/>
      <c r="C7" s="299"/>
      <c r="D7" s="188"/>
      <c r="E7" s="298"/>
      <c r="F7" s="294">
        <f t="shared" si="0"/>
        <v>0</v>
      </c>
      <c r="G7" s="329"/>
      <c r="H7" s="299"/>
      <c r="I7" s="188"/>
      <c r="J7" s="298"/>
      <c r="K7" s="294">
        <f t="shared" si="1"/>
        <v>0</v>
      </c>
      <c r="L7" s="329"/>
      <c r="M7" s="299">
        <v>45099</v>
      </c>
      <c r="N7" s="188">
        <v>1</v>
      </c>
      <c r="O7" s="298">
        <v>93.34</v>
      </c>
      <c r="P7" s="294">
        <f t="shared" si="2"/>
        <v>93.34</v>
      </c>
      <c r="Q7" s="329"/>
      <c r="R7" s="299"/>
      <c r="S7" s="188"/>
      <c r="T7" s="298"/>
      <c r="U7" s="294">
        <f t="shared" si="3"/>
        <v>0</v>
      </c>
      <c r="V7" s="325"/>
      <c r="X7" s="324"/>
      <c r="Y7" s="299"/>
      <c r="Z7" s="188"/>
      <c r="AA7" s="298"/>
      <c r="AB7" s="294">
        <f t="shared" si="4"/>
        <v>0</v>
      </c>
      <c r="AC7" s="328"/>
      <c r="AD7" s="299">
        <v>45119</v>
      </c>
      <c r="AE7" s="188">
        <v>-5</v>
      </c>
      <c r="AF7" s="298">
        <v>62.97</v>
      </c>
      <c r="AG7" s="294">
        <f t="shared" si="5"/>
        <v>-314.85000000000002</v>
      </c>
      <c r="AH7" s="328"/>
      <c r="AI7" s="299"/>
      <c r="AJ7" s="188"/>
      <c r="AK7" s="298"/>
      <c r="AL7" s="294">
        <f t="shared" si="6"/>
        <v>0</v>
      </c>
      <c r="AM7" s="328"/>
      <c r="AN7" s="299"/>
      <c r="AO7" s="188"/>
      <c r="AP7" s="298"/>
      <c r="AQ7" s="294">
        <f t="shared" si="7"/>
        <v>0</v>
      </c>
      <c r="AR7" s="322"/>
    </row>
    <row r="8" spans="2:44" s="1" customFormat="1">
      <c r="B8" s="327"/>
      <c r="C8" s="299"/>
      <c r="D8" s="188"/>
      <c r="E8" s="298"/>
      <c r="F8" s="294">
        <f t="shared" si="0"/>
        <v>0</v>
      </c>
      <c r="G8" s="329"/>
      <c r="H8" s="299"/>
      <c r="I8" s="188"/>
      <c r="J8" s="298"/>
      <c r="K8" s="294">
        <f t="shared" si="1"/>
        <v>0</v>
      </c>
      <c r="L8" s="329"/>
      <c r="M8" s="299">
        <v>45117</v>
      </c>
      <c r="N8" s="188">
        <v>2</v>
      </c>
      <c r="O8" s="298">
        <v>93.74</v>
      </c>
      <c r="P8" s="294">
        <f t="shared" si="2"/>
        <v>187.48</v>
      </c>
      <c r="Q8" s="329"/>
      <c r="R8" s="299"/>
      <c r="S8" s="188"/>
      <c r="T8" s="298"/>
      <c r="U8" s="294">
        <f t="shared" si="3"/>
        <v>0</v>
      </c>
      <c r="V8" s="325"/>
      <c r="X8" s="324"/>
      <c r="Y8" s="299">
        <v>45022</v>
      </c>
      <c r="Z8" s="188">
        <v>-1</v>
      </c>
      <c r="AA8" s="298">
        <v>-93.08</v>
      </c>
      <c r="AB8" s="294">
        <f t="shared" si="4"/>
        <v>93.08</v>
      </c>
      <c r="AC8" s="328"/>
      <c r="AD8" s="299"/>
      <c r="AE8" s="188"/>
      <c r="AF8" s="298"/>
      <c r="AG8" s="294">
        <f t="shared" si="5"/>
        <v>0</v>
      </c>
      <c r="AH8" s="328"/>
      <c r="AI8" s="299"/>
      <c r="AJ8" s="188"/>
      <c r="AK8" s="298"/>
      <c r="AL8" s="294">
        <f t="shared" si="6"/>
        <v>0</v>
      </c>
      <c r="AM8" s="328"/>
      <c r="AN8" s="299"/>
      <c r="AO8" s="188"/>
      <c r="AP8" s="298"/>
      <c r="AQ8" s="294">
        <f t="shared" si="7"/>
        <v>0</v>
      </c>
      <c r="AR8" s="322"/>
    </row>
    <row r="9" spans="2:44" s="1" customFormat="1">
      <c r="B9" s="327"/>
      <c r="C9" s="299"/>
      <c r="D9" s="188"/>
      <c r="E9" s="298"/>
      <c r="F9" s="294">
        <f t="shared" si="0"/>
        <v>0</v>
      </c>
      <c r="G9" s="329"/>
      <c r="H9" s="299"/>
      <c r="I9" s="188"/>
      <c r="J9" s="298"/>
      <c r="K9" s="294">
        <f t="shared" si="1"/>
        <v>0</v>
      </c>
      <c r="L9" s="329"/>
      <c r="M9" s="299">
        <v>45119</v>
      </c>
      <c r="N9" s="188">
        <v>3</v>
      </c>
      <c r="O9" s="298">
        <v>94.72</v>
      </c>
      <c r="P9" s="294">
        <f t="shared" si="2"/>
        <v>284.15999999999997</v>
      </c>
      <c r="Q9" s="329"/>
      <c r="R9" s="299"/>
      <c r="S9" s="188"/>
      <c r="T9" s="298"/>
      <c r="U9" s="294">
        <f t="shared" si="3"/>
        <v>0</v>
      </c>
      <c r="V9" s="325"/>
      <c r="X9" s="324"/>
      <c r="Y9" s="299"/>
      <c r="Z9" s="188"/>
      <c r="AA9" s="298"/>
      <c r="AB9" s="294">
        <f t="shared" si="4"/>
        <v>0</v>
      </c>
      <c r="AC9" s="328"/>
      <c r="AD9" s="299"/>
      <c r="AE9" s="188"/>
      <c r="AF9" s="298"/>
      <c r="AG9" s="294">
        <f t="shared" si="5"/>
        <v>0</v>
      </c>
      <c r="AH9" s="328"/>
      <c r="AI9" s="299"/>
      <c r="AJ9" s="188"/>
      <c r="AK9" s="298"/>
      <c r="AL9" s="294">
        <f t="shared" si="6"/>
        <v>0</v>
      </c>
      <c r="AM9" s="328"/>
      <c r="AN9" s="299"/>
      <c r="AO9" s="188"/>
      <c r="AP9" s="298"/>
      <c r="AQ9" s="294">
        <f t="shared" si="7"/>
        <v>0</v>
      </c>
      <c r="AR9" s="322"/>
    </row>
    <row r="10" spans="2:44" s="1" customFormat="1">
      <c r="B10" s="327"/>
      <c r="C10" s="299"/>
      <c r="D10" s="188"/>
      <c r="E10" s="298"/>
      <c r="F10" s="294">
        <f t="shared" si="0"/>
        <v>0</v>
      </c>
      <c r="G10" s="329"/>
      <c r="H10" s="299"/>
      <c r="I10" s="188"/>
      <c r="J10" s="298"/>
      <c r="K10" s="294">
        <f t="shared" si="1"/>
        <v>0</v>
      </c>
      <c r="L10" s="329"/>
      <c r="M10" s="299">
        <v>45128</v>
      </c>
      <c r="N10" s="188">
        <v>2</v>
      </c>
      <c r="O10" s="298">
        <v>88.79</v>
      </c>
      <c r="P10" s="294">
        <f t="shared" si="2"/>
        <v>177.58</v>
      </c>
      <c r="Q10" s="329"/>
      <c r="R10" s="299"/>
      <c r="S10" s="188"/>
      <c r="T10" s="298"/>
      <c r="U10" s="294">
        <f t="shared" si="3"/>
        <v>0</v>
      </c>
      <c r="V10" s="325"/>
      <c r="X10" s="324"/>
      <c r="Y10" s="299"/>
      <c r="Z10" s="188"/>
      <c r="AA10" s="298"/>
      <c r="AB10" s="294">
        <f t="shared" si="4"/>
        <v>0</v>
      </c>
      <c r="AC10" s="328"/>
      <c r="AD10" s="299"/>
      <c r="AE10" s="188"/>
      <c r="AF10" s="298"/>
      <c r="AG10" s="294">
        <f t="shared" si="5"/>
        <v>0</v>
      </c>
      <c r="AH10" s="328"/>
      <c r="AI10" s="299"/>
      <c r="AJ10" s="188"/>
      <c r="AK10" s="298"/>
      <c r="AL10" s="294">
        <f t="shared" si="6"/>
        <v>0</v>
      </c>
      <c r="AM10" s="328"/>
      <c r="AN10" s="299"/>
      <c r="AO10" s="188"/>
      <c r="AP10" s="298"/>
      <c r="AQ10" s="294">
        <f t="shared" si="7"/>
        <v>0</v>
      </c>
      <c r="AR10" s="322"/>
    </row>
    <row r="11" spans="2:44" s="1" customFormat="1">
      <c r="B11" s="327"/>
      <c r="C11" s="299"/>
      <c r="D11" s="188"/>
      <c r="E11" s="298"/>
      <c r="F11" s="294">
        <f t="shared" si="0"/>
        <v>0</v>
      </c>
      <c r="G11" s="329"/>
      <c r="H11" s="299"/>
      <c r="I11" s="188"/>
      <c r="J11" s="298"/>
      <c r="K11" s="294">
        <f t="shared" si="1"/>
        <v>0</v>
      </c>
      <c r="L11" s="329"/>
      <c r="M11" s="299"/>
      <c r="N11" s="188"/>
      <c r="O11" s="298"/>
      <c r="P11" s="294">
        <f t="shared" si="2"/>
        <v>0</v>
      </c>
      <c r="Q11" s="329"/>
      <c r="R11" s="299"/>
      <c r="S11" s="188"/>
      <c r="T11" s="298"/>
      <c r="U11" s="294">
        <f t="shared" si="3"/>
        <v>0</v>
      </c>
      <c r="V11" s="325"/>
      <c r="X11" s="324"/>
      <c r="Y11" s="299"/>
      <c r="Z11" s="188"/>
      <c r="AA11" s="298"/>
      <c r="AB11" s="294">
        <f t="shared" si="4"/>
        <v>0</v>
      </c>
      <c r="AC11" s="328"/>
      <c r="AD11" s="299"/>
      <c r="AE11" s="188"/>
      <c r="AF11" s="298"/>
      <c r="AG11" s="294">
        <f t="shared" si="5"/>
        <v>0</v>
      </c>
      <c r="AH11" s="328"/>
      <c r="AI11" s="299"/>
      <c r="AJ11" s="188"/>
      <c r="AK11" s="298"/>
      <c r="AL11" s="294">
        <f t="shared" si="6"/>
        <v>0</v>
      </c>
      <c r="AM11" s="328"/>
      <c r="AN11" s="299"/>
      <c r="AO11" s="188"/>
      <c r="AP11" s="298"/>
      <c r="AQ11" s="294">
        <f t="shared" si="7"/>
        <v>0</v>
      </c>
      <c r="AR11" s="322"/>
    </row>
    <row r="12" spans="2:44" s="1" customFormat="1">
      <c r="B12" s="327"/>
      <c r="C12" s="299"/>
      <c r="D12" s="188"/>
      <c r="E12" s="298"/>
      <c r="F12" s="294">
        <f t="shared" si="0"/>
        <v>0</v>
      </c>
      <c r="G12" s="329"/>
      <c r="H12" s="299"/>
      <c r="I12" s="188"/>
      <c r="J12" s="298"/>
      <c r="K12" s="294">
        <f t="shared" si="1"/>
        <v>0</v>
      </c>
      <c r="L12" s="329"/>
      <c r="M12" s="299"/>
      <c r="N12" s="188"/>
      <c r="O12" s="298"/>
      <c r="P12" s="294">
        <f t="shared" si="2"/>
        <v>0</v>
      </c>
      <c r="Q12" s="329"/>
      <c r="R12" s="299"/>
      <c r="S12" s="188"/>
      <c r="T12" s="298"/>
      <c r="U12" s="294">
        <f t="shared" si="3"/>
        <v>0</v>
      </c>
      <c r="V12" s="325"/>
      <c r="X12" s="324"/>
      <c r="Y12" s="299"/>
      <c r="Z12" s="188"/>
      <c r="AA12" s="298"/>
      <c r="AB12" s="294">
        <f t="shared" si="4"/>
        <v>0</v>
      </c>
      <c r="AC12" s="328"/>
      <c r="AD12" s="299"/>
      <c r="AE12" s="188"/>
      <c r="AF12" s="298"/>
      <c r="AG12" s="294">
        <f t="shared" si="5"/>
        <v>0</v>
      </c>
      <c r="AH12" s="328"/>
      <c r="AI12" s="299"/>
      <c r="AJ12" s="188"/>
      <c r="AK12" s="298"/>
      <c r="AL12" s="294">
        <f t="shared" si="6"/>
        <v>0</v>
      </c>
      <c r="AM12" s="328"/>
      <c r="AN12" s="299"/>
      <c r="AO12" s="188"/>
      <c r="AP12" s="298"/>
      <c r="AQ12" s="294">
        <f t="shared" si="7"/>
        <v>0</v>
      </c>
      <c r="AR12" s="322"/>
    </row>
    <row r="13" spans="2:44" s="1" customFormat="1">
      <c r="B13" s="327"/>
      <c r="C13" s="299"/>
      <c r="D13" s="188"/>
      <c r="E13" s="298"/>
      <c r="F13" s="294">
        <f t="shared" si="0"/>
        <v>0</v>
      </c>
      <c r="G13" s="329"/>
      <c r="H13" s="299"/>
      <c r="I13" s="188"/>
      <c r="J13" s="298"/>
      <c r="K13" s="294">
        <f t="shared" si="1"/>
        <v>0</v>
      </c>
      <c r="L13" s="329"/>
      <c r="M13" s="299"/>
      <c r="N13" s="188"/>
      <c r="O13" s="298"/>
      <c r="P13" s="294">
        <f t="shared" si="2"/>
        <v>0</v>
      </c>
      <c r="Q13" s="329"/>
      <c r="R13" s="299"/>
      <c r="S13" s="188"/>
      <c r="T13" s="298"/>
      <c r="U13" s="294">
        <f t="shared" si="3"/>
        <v>0</v>
      </c>
      <c r="V13" s="325"/>
      <c r="X13" s="324"/>
      <c r="Y13" s="299"/>
      <c r="Z13" s="188"/>
      <c r="AA13" s="298"/>
      <c r="AB13" s="294">
        <f t="shared" si="4"/>
        <v>0</v>
      </c>
      <c r="AC13" s="328"/>
      <c r="AD13" s="299"/>
      <c r="AE13" s="188"/>
      <c r="AF13" s="298"/>
      <c r="AG13" s="294">
        <f t="shared" si="5"/>
        <v>0</v>
      </c>
      <c r="AH13" s="328"/>
      <c r="AI13" s="299"/>
      <c r="AJ13" s="188"/>
      <c r="AK13" s="298"/>
      <c r="AL13" s="294">
        <f t="shared" si="6"/>
        <v>0</v>
      </c>
      <c r="AM13" s="328"/>
      <c r="AN13" s="299"/>
      <c r="AO13" s="188"/>
      <c r="AP13" s="298"/>
      <c r="AQ13" s="294">
        <f t="shared" si="7"/>
        <v>0</v>
      </c>
      <c r="AR13" s="322"/>
    </row>
    <row r="14" spans="2:44" s="1" customFormat="1">
      <c r="B14" s="327"/>
      <c r="C14" s="299"/>
      <c r="D14" s="188"/>
      <c r="E14" s="298"/>
      <c r="F14" s="294">
        <f t="shared" si="0"/>
        <v>0</v>
      </c>
      <c r="G14" s="329"/>
      <c r="H14" s="299"/>
      <c r="I14" s="188"/>
      <c r="J14" s="298"/>
      <c r="K14" s="294">
        <f t="shared" si="1"/>
        <v>0</v>
      </c>
      <c r="L14" s="329"/>
      <c r="M14" s="299"/>
      <c r="N14" s="188"/>
      <c r="O14" s="298"/>
      <c r="P14" s="294">
        <f t="shared" si="2"/>
        <v>0</v>
      </c>
      <c r="Q14" s="329"/>
      <c r="R14" s="299"/>
      <c r="S14" s="188"/>
      <c r="T14" s="298"/>
      <c r="U14" s="294">
        <f t="shared" si="3"/>
        <v>0</v>
      </c>
      <c r="V14" s="325"/>
      <c r="X14" s="324"/>
      <c r="Y14" s="299"/>
      <c r="Z14" s="188"/>
      <c r="AA14" s="298"/>
      <c r="AB14" s="294">
        <f t="shared" si="4"/>
        <v>0</v>
      </c>
      <c r="AC14" s="328"/>
      <c r="AD14" s="299"/>
      <c r="AE14" s="188"/>
      <c r="AF14" s="298"/>
      <c r="AG14" s="294">
        <f t="shared" si="5"/>
        <v>0</v>
      </c>
      <c r="AH14" s="328"/>
      <c r="AI14" s="299"/>
      <c r="AJ14" s="188"/>
      <c r="AK14" s="298"/>
      <c r="AL14" s="294">
        <f t="shared" si="6"/>
        <v>0</v>
      </c>
      <c r="AM14" s="328"/>
      <c r="AN14" s="299"/>
      <c r="AO14" s="188"/>
      <c r="AP14" s="298"/>
      <c r="AQ14" s="294">
        <f t="shared" si="7"/>
        <v>0</v>
      </c>
      <c r="AR14" s="322"/>
    </row>
    <row r="15" spans="2:44" s="1" customFormat="1">
      <c r="B15" s="327"/>
      <c r="C15" s="299"/>
      <c r="D15" s="188"/>
      <c r="E15" s="298"/>
      <c r="F15" s="294">
        <f t="shared" si="0"/>
        <v>0</v>
      </c>
      <c r="G15" s="329"/>
      <c r="H15" s="299"/>
      <c r="I15" s="188"/>
      <c r="J15" s="298"/>
      <c r="K15" s="294">
        <f t="shared" si="1"/>
        <v>0</v>
      </c>
      <c r="L15" s="329"/>
      <c r="M15" s="299"/>
      <c r="N15" s="188"/>
      <c r="O15" s="298"/>
      <c r="P15" s="294">
        <f t="shared" si="2"/>
        <v>0</v>
      </c>
      <c r="Q15" s="329"/>
      <c r="R15" s="299"/>
      <c r="S15" s="188"/>
      <c r="T15" s="298"/>
      <c r="U15" s="294">
        <f t="shared" si="3"/>
        <v>0</v>
      </c>
      <c r="V15" s="325"/>
      <c r="X15" s="324"/>
      <c r="Y15" s="299"/>
      <c r="Z15" s="188"/>
      <c r="AA15" s="298"/>
      <c r="AB15" s="294">
        <f t="shared" si="4"/>
        <v>0</v>
      </c>
      <c r="AC15" s="328"/>
      <c r="AD15" s="299"/>
      <c r="AE15" s="188"/>
      <c r="AF15" s="298"/>
      <c r="AG15" s="294">
        <f t="shared" si="5"/>
        <v>0</v>
      </c>
      <c r="AH15" s="328"/>
      <c r="AI15" s="299"/>
      <c r="AJ15" s="188"/>
      <c r="AK15" s="298"/>
      <c r="AL15" s="294">
        <f t="shared" si="6"/>
        <v>0</v>
      </c>
      <c r="AM15" s="328"/>
      <c r="AN15" s="299"/>
      <c r="AO15" s="188"/>
      <c r="AP15" s="298"/>
      <c r="AQ15" s="294">
        <f t="shared" si="7"/>
        <v>0</v>
      </c>
      <c r="AR15" s="322"/>
    </row>
    <row r="16" spans="2:44" s="1" customFormat="1">
      <c r="B16" s="327"/>
      <c r="C16" s="299"/>
      <c r="D16" s="188"/>
      <c r="E16" s="298"/>
      <c r="F16" s="294">
        <f t="shared" si="0"/>
        <v>0</v>
      </c>
      <c r="G16" s="329"/>
      <c r="H16" s="299"/>
      <c r="I16" s="188"/>
      <c r="J16" s="298"/>
      <c r="K16" s="294">
        <f t="shared" si="1"/>
        <v>0</v>
      </c>
      <c r="L16" s="329"/>
      <c r="M16" s="299"/>
      <c r="N16" s="188"/>
      <c r="O16" s="298"/>
      <c r="P16" s="294">
        <f t="shared" si="2"/>
        <v>0</v>
      </c>
      <c r="Q16" s="329"/>
      <c r="R16" s="299"/>
      <c r="S16" s="188"/>
      <c r="T16" s="298"/>
      <c r="U16" s="294">
        <f t="shared" si="3"/>
        <v>0</v>
      </c>
      <c r="V16" s="325"/>
      <c r="X16" s="324"/>
      <c r="Y16" s="299"/>
      <c r="Z16" s="188">
        <v>23</v>
      </c>
      <c r="AA16" s="298">
        <v>9.5</v>
      </c>
      <c r="AB16" s="294">
        <f t="shared" si="4"/>
        <v>218.5</v>
      </c>
      <c r="AC16" s="328"/>
      <c r="AD16" s="299"/>
      <c r="AE16" s="188"/>
      <c r="AF16" s="298"/>
      <c r="AG16" s="294">
        <f t="shared" si="5"/>
        <v>0</v>
      </c>
      <c r="AH16" s="328"/>
      <c r="AI16" s="299"/>
      <c r="AJ16" s="188"/>
      <c r="AK16" s="298"/>
      <c r="AL16" s="294">
        <f t="shared" si="6"/>
        <v>0</v>
      </c>
      <c r="AM16" s="328"/>
      <c r="AN16" s="299"/>
      <c r="AO16" s="188"/>
      <c r="AP16" s="298"/>
      <c r="AQ16" s="294">
        <f t="shared" si="7"/>
        <v>0</v>
      </c>
      <c r="AR16" s="322"/>
    </row>
    <row r="17" spans="2:44" s="1" customFormat="1">
      <c r="B17" s="327"/>
      <c r="C17" s="186" t="s">
        <v>229</v>
      </c>
      <c r="D17" s="186">
        <f>SUM(D5:D16)+D18</f>
        <v>18</v>
      </c>
      <c r="E17" s="294"/>
      <c r="F17" s="294">
        <f>SUM(F5:F16)</f>
        <v>31.08</v>
      </c>
      <c r="G17" s="326"/>
      <c r="H17" s="186" t="s">
        <v>229</v>
      </c>
      <c r="I17" s="186">
        <f>SUM(I5:I16)+I18</f>
        <v>0</v>
      </c>
      <c r="J17" s="294"/>
      <c r="K17" s="294">
        <f>SUM(K5:K16)</f>
        <v>-90.100000000000009</v>
      </c>
      <c r="L17" s="326"/>
      <c r="M17" s="186" t="s">
        <v>229</v>
      </c>
      <c r="N17" s="186">
        <f>SUM(N5:N16)+N18</f>
        <v>28</v>
      </c>
      <c r="O17" s="294"/>
      <c r="P17" s="294">
        <f>SUM(P5:P16)</f>
        <v>2537.7399999999993</v>
      </c>
      <c r="Q17" s="326"/>
      <c r="R17" s="186" t="s">
        <v>229</v>
      </c>
      <c r="S17" s="186">
        <f>SUM(S5:S16)+S18</f>
        <v>18</v>
      </c>
      <c r="T17" s="294"/>
      <c r="U17" s="294">
        <f>SUM(U5:U16)</f>
        <v>55.33</v>
      </c>
      <c r="V17" s="325"/>
      <c r="X17" s="324"/>
      <c r="Y17" s="186" t="s">
        <v>229</v>
      </c>
      <c r="Z17" s="186">
        <f>SUM(Z5:Z16)+Z18</f>
        <v>23</v>
      </c>
      <c r="AA17" s="294"/>
      <c r="AB17" s="294">
        <v>-93.08</v>
      </c>
      <c r="AC17" s="323"/>
      <c r="AD17" s="186" t="s">
        <v>229</v>
      </c>
      <c r="AE17" s="186">
        <f>SUM(AE5:AE16)+AE18</f>
        <v>0</v>
      </c>
      <c r="AF17" s="294"/>
      <c r="AG17" s="294">
        <f>SUM(AG5:AG16)</f>
        <v>-26.04000000000002</v>
      </c>
      <c r="AH17" s="323"/>
      <c r="AI17" s="186" t="s">
        <v>229</v>
      </c>
      <c r="AJ17" s="186">
        <f>SUM(AJ5:AJ16)+AJ18</f>
        <v>0</v>
      </c>
      <c r="AK17" s="294"/>
      <c r="AL17" s="294">
        <f>SUM(AL5:AL16)</f>
        <v>-22.840000000000003</v>
      </c>
      <c r="AM17" s="323"/>
      <c r="AN17" s="186" t="s">
        <v>229</v>
      </c>
      <c r="AO17" s="186">
        <f>SUM(AO5:AO16)+AO18</f>
        <v>9</v>
      </c>
      <c r="AP17" s="294"/>
      <c r="AQ17" s="294">
        <f>SUM(AQ5:AQ16)</f>
        <v>51.660000000000004</v>
      </c>
      <c r="AR17" s="322"/>
    </row>
    <row r="18" spans="2:44" s="1" customFormat="1">
      <c r="B18" s="321"/>
      <c r="C18" s="320"/>
      <c r="D18" s="317">
        <v>15</v>
      </c>
      <c r="E18" s="319"/>
      <c r="F18" s="319"/>
      <c r="G18" s="318"/>
      <c r="H18" s="317"/>
      <c r="I18" s="317">
        <v>10</v>
      </c>
      <c r="J18" s="319"/>
      <c r="K18" s="319"/>
      <c r="L18" s="318"/>
      <c r="M18" s="317"/>
      <c r="N18" s="317">
        <v>1</v>
      </c>
      <c r="O18" s="319"/>
      <c r="P18" s="319"/>
      <c r="Q18" s="318"/>
      <c r="R18" s="317"/>
      <c r="S18" s="317">
        <v>12</v>
      </c>
      <c r="T18" s="316"/>
      <c r="U18" s="316"/>
      <c r="V18" s="315"/>
      <c r="X18" s="314"/>
      <c r="Y18" s="311"/>
      <c r="Z18" s="311">
        <v>1</v>
      </c>
      <c r="AA18" s="313"/>
      <c r="AB18" s="313"/>
      <c r="AC18" s="312"/>
      <c r="AD18" s="311"/>
      <c r="AE18" s="311">
        <v>0</v>
      </c>
      <c r="AF18" s="313"/>
      <c r="AG18" s="313"/>
      <c r="AH18" s="312"/>
      <c r="AI18" s="311"/>
      <c r="AJ18" s="311">
        <v>0</v>
      </c>
      <c r="AK18" s="313"/>
      <c r="AL18" s="313"/>
      <c r="AM18" s="312"/>
      <c r="AN18" s="311"/>
      <c r="AO18" s="311">
        <v>0</v>
      </c>
      <c r="AP18" s="310"/>
      <c r="AQ18" s="310"/>
      <c r="AR18" s="309"/>
    </row>
    <row r="19" spans="2:44" s="275" customFormat="1">
      <c r="C19" s="308"/>
      <c r="D19" s="308"/>
      <c r="E19" s="307"/>
      <c r="F19" s="307"/>
      <c r="H19" s="308"/>
      <c r="I19" s="308"/>
      <c r="J19" s="307"/>
      <c r="K19" s="307"/>
      <c r="M19" s="308"/>
      <c r="N19" s="308"/>
      <c r="O19" s="307"/>
      <c r="P19" s="307"/>
      <c r="R19" s="308"/>
      <c r="S19" s="308"/>
      <c r="T19" s="307"/>
      <c r="U19" s="307"/>
      <c r="Y19" s="308"/>
      <c r="Z19" s="308"/>
      <c r="AA19" s="307"/>
      <c r="AB19" s="307"/>
      <c r="AD19" s="308"/>
      <c r="AE19" s="308"/>
      <c r="AF19" s="307"/>
      <c r="AG19" s="307"/>
      <c r="AI19" s="308"/>
      <c r="AJ19" s="308"/>
      <c r="AK19" s="307"/>
      <c r="AL19" s="307"/>
      <c r="AN19" s="308"/>
      <c r="AO19" s="308"/>
      <c r="AP19" s="307"/>
      <c r="AQ19" s="307"/>
    </row>
    <row r="20" spans="2:44" s="1" customFormat="1" ht="15.75">
      <c r="B20" s="306"/>
      <c r="C20" s="923" t="s">
        <v>203</v>
      </c>
      <c r="D20" s="924"/>
      <c r="E20" s="924"/>
      <c r="F20" s="924"/>
      <c r="G20" s="925"/>
      <c r="H20" s="924"/>
      <c r="I20" s="924"/>
      <c r="J20" s="924"/>
      <c r="K20" s="924"/>
      <c r="L20" s="925"/>
      <c r="M20" s="924"/>
      <c r="N20" s="924"/>
      <c r="O20" s="924"/>
      <c r="P20" s="924"/>
      <c r="Q20" s="925"/>
      <c r="R20" s="924"/>
      <c r="S20" s="924"/>
      <c r="T20" s="924"/>
      <c r="U20" s="926"/>
      <c r="V20" s="305"/>
      <c r="X20" s="304"/>
      <c r="Y20" s="919" t="s">
        <v>204</v>
      </c>
      <c r="Z20" s="920"/>
      <c r="AA20" s="920"/>
      <c r="AB20" s="920"/>
      <c r="AC20" s="921"/>
      <c r="AD20" s="920"/>
      <c r="AE20" s="920"/>
      <c r="AF20" s="920"/>
      <c r="AG20" s="920"/>
      <c r="AH20" s="921"/>
      <c r="AI20" s="920"/>
      <c r="AJ20" s="920"/>
      <c r="AK20" s="920"/>
      <c r="AL20" s="920"/>
      <c r="AM20" s="921"/>
      <c r="AN20" s="920"/>
      <c r="AO20" s="920"/>
      <c r="AP20" s="920"/>
      <c r="AQ20" s="922"/>
      <c r="AR20" s="303"/>
    </row>
    <row r="21" spans="2:44" s="1" customFormat="1">
      <c r="B21" s="297"/>
      <c r="C21" s="912" t="s">
        <v>342</v>
      </c>
      <c r="D21" s="912"/>
      <c r="E21" s="912"/>
      <c r="F21" s="912"/>
      <c r="G21" s="301"/>
      <c r="H21" s="912" t="s">
        <v>238</v>
      </c>
      <c r="I21" s="912"/>
      <c r="J21" s="912"/>
      <c r="K21" s="912"/>
      <c r="L21" s="302" t="str">
        <f>M21</f>
        <v>TGAR11</v>
      </c>
      <c r="M21" s="912" t="s">
        <v>292</v>
      </c>
      <c r="N21" s="912"/>
      <c r="O21" s="912"/>
      <c r="P21" s="912"/>
      <c r="Q21" s="302" t="str">
        <f>R21</f>
        <v>XPCA11</v>
      </c>
      <c r="R21" s="912" t="s">
        <v>345</v>
      </c>
      <c r="S21" s="912"/>
      <c r="T21" s="912"/>
      <c r="U21" s="912"/>
      <c r="V21" s="296"/>
      <c r="X21" s="295"/>
      <c r="Y21" s="912" t="s">
        <v>237</v>
      </c>
      <c r="Z21" s="912"/>
      <c r="AA21" s="912"/>
      <c r="AB21" s="912"/>
      <c r="AC21" s="300"/>
      <c r="AD21" s="912" t="s">
        <v>236</v>
      </c>
      <c r="AE21" s="912"/>
      <c r="AF21" s="913"/>
      <c r="AG21" s="912"/>
      <c r="AH21" s="300"/>
      <c r="AI21" s="912" t="s">
        <v>235</v>
      </c>
      <c r="AJ21" s="912"/>
      <c r="AK21" s="913"/>
      <c r="AL21" s="912"/>
      <c r="AM21" s="300"/>
      <c r="AN21" s="912" t="s">
        <v>234</v>
      </c>
      <c r="AO21" s="912"/>
      <c r="AP21" s="913"/>
      <c r="AQ21" s="912"/>
      <c r="AR21" s="293"/>
    </row>
    <row r="22" spans="2:44" s="1" customFormat="1">
      <c r="B22" s="297"/>
      <c r="C22" s="186" t="s">
        <v>1</v>
      </c>
      <c r="D22" s="186" t="s">
        <v>232</v>
      </c>
      <c r="E22" s="294" t="s">
        <v>231</v>
      </c>
      <c r="F22" s="294" t="s">
        <v>230</v>
      </c>
      <c r="G22" s="301"/>
      <c r="H22" s="186" t="s">
        <v>1</v>
      </c>
      <c r="I22" s="186" t="s">
        <v>232</v>
      </c>
      <c r="J22" s="294" t="s">
        <v>231</v>
      </c>
      <c r="K22" s="294" t="s">
        <v>230</v>
      </c>
      <c r="L22" s="301"/>
      <c r="M22" s="186" t="s">
        <v>1</v>
      </c>
      <c r="N22" s="186" t="s">
        <v>232</v>
      </c>
      <c r="O22" s="294" t="s">
        <v>231</v>
      </c>
      <c r="P22" s="294" t="s">
        <v>233</v>
      </c>
      <c r="Q22" s="301"/>
      <c r="R22" s="186" t="s">
        <v>1</v>
      </c>
      <c r="S22" s="186" t="s">
        <v>232</v>
      </c>
      <c r="T22" s="294" t="s">
        <v>231</v>
      </c>
      <c r="U22" s="294" t="s">
        <v>230</v>
      </c>
      <c r="V22" s="296"/>
      <c r="X22" s="295"/>
      <c r="Y22" s="186" t="s">
        <v>1</v>
      </c>
      <c r="Z22" s="186" t="s">
        <v>232</v>
      </c>
      <c r="AA22" s="294" t="s">
        <v>231</v>
      </c>
      <c r="AB22" s="294" t="s">
        <v>230</v>
      </c>
      <c r="AC22" s="300"/>
      <c r="AD22" s="186" t="s">
        <v>1</v>
      </c>
      <c r="AE22" s="186" t="s">
        <v>232</v>
      </c>
      <c r="AF22" s="294" t="s">
        <v>231</v>
      </c>
      <c r="AG22" s="294" t="s">
        <v>230</v>
      </c>
      <c r="AH22" s="300"/>
      <c r="AI22" s="186" t="s">
        <v>1</v>
      </c>
      <c r="AJ22" s="186" t="s">
        <v>232</v>
      </c>
      <c r="AK22" s="294" t="s">
        <v>231</v>
      </c>
      <c r="AL22" s="294" t="s">
        <v>230</v>
      </c>
      <c r="AM22" s="300"/>
      <c r="AN22" s="186" t="s">
        <v>1</v>
      </c>
      <c r="AO22" s="186" t="s">
        <v>232</v>
      </c>
      <c r="AP22" s="294" t="s">
        <v>231</v>
      </c>
      <c r="AQ22" s="294" t="s">
        <v>230</v>
      </c>
      <c r="AR22" s="293"/>
    </row>
    <row r="23" spans="2:44" s="1" customFormat="1">
      <c r="B23" s="297"/>
      <c r="C23" s="299">
        <v>45013</v>
      </c>
      <c r="D23" s="188">
        <v>2</v>
      </c>
      <c r="E23" s="298">
        <v>60.67</v>
      </c>
      <c r="F23" s="294">
        <f t="shared" ref="F23:F34" si="8">E23*D23</f>
        <v>121.34</v>
      </c>
      <c r="G23" s="301"/>
      <c r="H23" s="299">
        <v>44951</v>
      </c>
      <c r="I23" s="188">
        <v>1</v>
      </c>
      <c r="J23" s="298">
        <v>86.3</v>
      </c>
      <c r="K23" s="294">
        <f t="shared" ref="K23:K34" si="9">J23*I23</f>
        <v>86.3</v>
      </c>
      <c r="L23" s="301"/>
      <c r="M23" s="299">
        <v>45013</v>
      </c>
      <c r="N23" s="188">
        <v>1</v>
      </c>
      <c r="O23" s="298">
        <v>115.99</v>
      </c>
      <c r="P23" s="294">
        <f t="shared" ref="P23:P34" si="10">O23*N23</f>
        <v>115.99</v>
      </c>
      <c r="Q23" s="301"/>
      <c r="R23" s="299">
        <v>45022</v>
      </c>
      <c r="S23" s="188">
        <v>30</v>
      </c>
      <c r="T23" s="298">
        <v>9.74</v>
      </c>
      <c r="U23" s="294">
        <f t="shared" ref="U23:U34" si="11">T23*S23</f>
        <v>292.2</v>
      </c>
      <c r="V23" s="296"/>
      <c r="X23" s="295"/>
      <c r="Y23" s="299"/>
      <c r="Z23" s="188"/>
      <c r="AA23" s="298"/>
      <c r="AB23" s="294">
        <f t="shared" ref="AB23:AB34" si="12">AA23*Z23</f>
        <v>0</v>
      </c>
      <c r="AC23" s="300"/>
      <c r="AD23" s="299">
        <v>44998</v>
      </c>
      <c r="AE23" s="188">
        <v>9</v>
      </c>
      <c r="AF23" s="298">
        <f>7</f>
        <v>7</v>
      </c>
      <c r="AG23" s="294">
        <f t="shared" ref="AG23:AG34" si="13">AF23*AE23</f>
        <v>63</v>
      </c>
      <c r="AH23" s="300"/>
      <c r="AI23" s="299">
        <v>44998</v>
      </c>
      <c r="AJ23" s="188">
        <v>4</v>
      </c>
      <c r="AK23" s="298">
        <v>76.44</v>
      </c>
      <c r="AL23" s="294">
        <f t="shared" ref="AL23:AL34" si="14">AK23*AJ23</f>
        <v>305.76</v>
      </c>
      <c r="AM23" s="300"/>
      <c r="AN23" s="299">
        <v>44998</v>
      </c>
      <c r="AO23" s="188">
        <v>4</v>
      </c>
      <c r="AP23" s="298">
        <v>93.4</v>
      </c>
      <c r="AQ23" s="294">
        <f t="shared" ref="AQ23:AQ34" si="15">AP23*AO23</f>
        <v>373.6</v>
      </c>
      <c r="AR23" s="293"/>
    </row>
    <row r="24" spans="2:44" s="1" customFormat="1">
      <c r="B24" s="297"/>
      <c r="C24" s="299">
        <v>45057</v>
      </c>
      <c r="D24" s="188">
        <v>5</v>
      </c>
      <c r="E24" s="298">
        <v>59.82</v>
      </c>
      <c r="F24" s="294">
        <f t="shared" si="8"/>
        <v>299.10000000000002</v>
      </c>
      <c r="G24" s="301"/>
      <c r="H24" s="299">
        <v>45117</v>
      </c>
      <c r="I24" s="188">
        <v>-2</v>
      </c>
      <c r="J24" s="298">
        <v>97.44</v>
      </c>
      <c r="K24" s="294">
        <f t="shared" si="9"/>
        <v>-194.88</v>
      </c>
      <c r="L24" s="301"/>
      <c r="M24" s="299">
        <v>45082</v>
      </c>
      <c r="N24" s="188">
        <v>5</v>
      </c>
      <c r="O24" s="298">
        <v>119.25</v>
      </c>
      <c r="P24" s="294">
        <f t="shared" si="10"/>
        <v>596.25</v>
      </c>
      <c r="Q24" s="301"/>
      <c r="R24" s="299">
        <v>45082</v>
      </c>
      <c r="S24" s="188">
        <v>103</v>
      </c>
      <c r="T24" s="298">
        <v>9.74</v>
      </c>
      <c r="U24" s="294">
        <f t="shared" si="11"/>
        <v>1003.22</v>
      </c>
      <c r="V24" s="296"/>
      <c r="X24" s="295"/>
      <c r="Y24" s="299"/>
      <c r="Z24" s="188"/>
      <c r="AA24" s="298"/>
      <c r="AB24" s="294">
        <f t="shared" si="12"/>
        <v>0</v>
      </c>
      <c r="AC24" s="300"/>
      <c r="AD24" s="299">
        <v>45013</v>
      </c>
      <c r="AE24" s="188">
        <v>16</v>
      </c>
      <c r="AF24" s="298">
        <v>6.78</v>
      </c>
      <c r="AG24" s="294">
        <f t="shared" si="13"/>
        <v>108.48</v>
      </c>
      <c r="AH24" s="300"/>
      <c r="AI24" s="299"/>
      <c r="AJ24" s="188"/>
      <c r="AK24" s="298"/>
      <c r="AL24" s="294">
        <f t="shared" si="14"/>
        <v>0</v>
      </c>
      <c r="AM24" s="300"/>
      <c r="AN24" s="299">
        <v>45057</v>
      </c>
      <c r="AO24" s="188">
        <v>3</v>
      </c>
      <c r="AP24" s="298">
        <v>89.9</v>
      </c>
      <c r="AQ24" s="294">
        <f t="shared" si="15"/>
        <v>269.70000000000005</v>
      </c>
      <c r="AR24" s="293"/>
    </row>
    <row r="25" spans="2:44" s="1" customFormat="1">
      <c r="B25" s="297"/>
      <c r="C25" s="299">
        <v>45082</v>
      </c>
      <c r="D25" s="188">
        <v>6</v>
      </c>
      <c r="E25" s="298">
        <f>387.06/6</f>
        <v>64.510000000000005</v>
      </c>
      <c r="F25" s="294">
        <f t="shared" si="8"/>
        <v>387.06000000000006</v>
      </c>
      <c r="G25" s="301"/>
      <c r="H25" s="299"/>
      <c r="I25" s="188"/>
      <c r="J25" s="298"/>
      <c r="K25" s="294">
        <f t="shared" si="9"/>
        <v>0</v>
      </c>
      <c r="L25" s="301"/>
      <c r="M25" s="299">
        <v>45119</v>
      </c>
      <c r="N25" s="188">
        <v>1</v>
      </c>
      <c r="O25" s="298">
        <v>122.23</v>
      </c>
      <c r="P25" s="294">
        <f t="shared" si="10"/>
        <v>122.23</v>
      </c>
      <c r="Q25" s="301"/>
      <c r="R25" s="299">
        <v>45099</v>
      </c>
      <c r="S25" s="188">
        <v>2</v>
      </c>
      <c r="T25" s="298">
        <v>9.57</v>
      </c>
      <c r="U25" s="294">
        <f t="shared" si="11"/>
        <v>19.14</v>
      </c>
      <c r="V25" s="296"/>
      <c r="X25" s="295"/>
      <c r="Y25" s="299"/>
      <c r="Z25" s="188"/>
      <c r="AA25" s="298"/>
      <c r="AB25" s="294">
        <f t="shared" si="12"/>
        <v>0</v>
      </c>
      <c r="AC25" s="300"/>
      <c r="AD25" s="299">
        <v>45057</v>
      </c>
      <c r="AE25" s="188">
        <f>4+3</f>
        <v>7</v>
      </c>
      <c r="AF25" s="298">
        <f>6.98+6.99</f>
        <v>13.97</v>
      </c>
      <c r="AG25" s="294">
        <f t="shared" si="13"/>
        <v>97.79</v>
      </c>
      <c r="AH25" s="300"/>
      <c r="AI25" s="299"/>
      <c r="AJ25" s="188"/>
      <c r="AK25" s="298"/>
      <c r="AL25" s="294">
        <f t="shared" si="14"/>
        <v>0</v>
      </c>
      <c r="AM25" s="300"/>
      <c r="AN25" s="299">
        <v>45082</v>
      </c>
      <c r="AO25" s="188">
        <v>11</v>
      </c>
      <c r="AP25" s="298">
        <f>1053.03/11</f>
        <v>95.73</v>
      </c>
      <c r="AQ25" s="294">
        <f t="shared" si="15"/>
        <v>1053.03</v>
      </c>
      <c r="AR25" s="293"/>
    </row>
    <row r="26" spans="2:44" s="1" customFormat="1">
      <c r="B26" s="297"/>
      <c r="C26" s="299">
        <v>45099</v>
      </c>
      <c r="D26" s="188">
        <v>2</v>
      </c>
      <c r="E26" s="298">
        <v>68.22</v>
      </c>
      <c r="F26" s="294">
        <f t="shared" si="8"/>
        <v>136.44</v>
      </c>
      <c r="G26" s="301"/>
      <c r="H26" s="299"/>
      <c r="I26" s="188"/>
      <c r="J26" s="298"/>
      <c r="K26" s="294">
        <f t="shared" si="9"/>
        <v>0</v>
      </c>
      <c r="L26" s="301"/>
      <c r="M26" s="299"/>
      <c r="N26" s="188"/>
      <c r="O26" s="298"/>
      <c r="P26" s="294">
        <f t="shared" si="10"/>
        <v>0</v>
      </c>
      <c r="Q26" s="301"/>
      <c r="R26" s="299">
        <v>45128</v>
      </c>
      <c r="S26" s="188">
        <v>8</v>
      </c>
      <c r="T26" s="298">
        <v>9.33</v>
      </c>
      <c r="U26" s="294">
        <f t="shared" si="11"/>
        <v>74.64</v>
      </c>
      <c r="V26" s="296"/>
      <c r="X26" s="295"/>
      <c r="Y26" s="299"/>
      <c r="Z26" s="188"/>
      <c r="AA26" s="298"/>
      <c r="AB26" s="294">
        <f t="shared" si="12"/>
        <v>0</v>
      </c>
      <c r="AC26" s="300"/>
      <c r="AD26" s="299">
        <v>45082</v>
      </c>
      <c r="AE26" s="188">
        <v>54</v>
      </c>
      <c r="AF26" s="298">
        <f>399.06/54</f>
        <v>7.39</v>
      </c>
      <c r="AG26" s="294">
        <f t="shared" si="13"/>
        <v>399.06</v>
      </c>
      <c r="AH26" s="300"/>
      <c r="AI26" s="299"/>
      <c r="AJ26" s="188"/>
      <c r="AK26" s="298"/>
      <c r="AL26" s="294">
        <f t="shared" si="14"/>
        <v>0</v>
      </c>
      <c r="AM26" s="300"/>
      <c r="AN26" s="299">
        <v>45119</v>
      </c>
      <c r="AO26" s="188">
        <v>1</v>
      </c>
      <c r="AP26" s="298">
        <v>97.72</v>
      </c>
      <c r="AQ26" s="294">
        <f t="shared" si="15"/>
        <v>97.72</v>
      </c>
      <c r="AR26" s="293"/>
    </row>
    <row r="27" spans="2:44" s="1" customFormat="1">
      <c r="B27" s="297"/>
      <c r="C27" s="299"/>
      <c r="D27" s="188"/>
      <c r="E27" s="298"/>
      <c r="F27" s="294">
        <f t="shared" si="8"/>
        <v>0</v>
      </c>
      <c r="G27" s="301"/>
      <c r="H27" s="299"/>
      <c r="I27" s="188"/>
      <c r="J27" s="298"/>
      <c r="K27" s="294">
        <f t="shared" si="9"/>
        <v>0</v>
      </c>
      <c r="L27" s="301"/>
      <c r="M27" s="299"/>
      <c r="N27" s="188"/>
      <c r="O27" s="298"/>
      <c r="P27" s="294">
        <f t="shared" si="10"/>
        <v>0</v>
      </c>
      <c r="Q27" s="301"/>
      <c r="R27" s="299"/>
      <c r="S27" s="188"/>
      <c r="T27" s="298"/>
      <c r="U27" s="294">
        <f t="shared" si="11"/>
        <v>0</v>
      </c>
      <c r="V27" s="296"/>
      <c r="X27" s="295"/>
      <c r="Y27" s="299"/>
      <c r="Z27" s="188"/>
      <c r="AA27" s="298"/>
      <c r="AB27" s="294">
        <f t="shared" si="12"/>
        <v>0</v>
      </c>
      <c r="AC27" s="300"/>
      <c r="AD27" s="299">
        <v>45099</v>
      </c>
      <c r="AE27" s="188">
        <v>15</v>
      </c>
      <c r="AF27" s="298">
        <v>7.43</v>
      </c>
      <c r="AG27" s="294">
        <f t="shared" si="13"/>
        <v>111.44999999999999</v>
      </c>
      <c r="AH27" s="300"/>
      <c r="AI27" s="299"/>
      <c r="AJ27" s="188"/>
      <c r="AK27" s="298"/>
      <c r="AL27" s="294">
        <f t="shared" si="14"/>
        <v>0</v>
      </c>
      <c r="AM27" s="300"/>
      <c r="AN27" s="299"/>
      <c r="AO27" s="188"/>
      <c r="AP27" s="298"/>
      <c r="AQ27" s="294">
        <f t="shared" si="15"/>
        <v>0</v>
      </c>
      <c r="AR27" s="293"/>
    </row>
    <row r="28" spans="2:44" s="1" customFormat="1">
      <c r="B28" s="297"/>
      <c r="C28" s="299"/>
      <c r="D28" s="188"/>
      <c r="E28" s="298"/>
      <c r="F28" s="294">
        <f t="shared" si="8"/>
        <v>0</v>
      </c>
      <c r="G28" s="301"/>
      <c r="H28" s="299"/>
      <c r="I28" s="188"/>
      <c r="J28" s="298"/>
      <c r="K28" s="294">
        <f t="shared" si="9"/>
        <v>0</v>
      </c>
      <c r="L28" s="301"/>
      <c r="M28" s="299"/>
      <c r="N28" s="188"/>
      <c r="O28" s="298"/>
      <c r="P28" s="294">
        <f t="shared" si="10"/>
        <v>0</v>
      </c>
      <c r="Q28" s="301"/>
      <c r="R28" s="299"/>
      <c r="S28" s="188"/>
      <c r="T28" s="298"/>
      <c r="U28" s="294">
        <f t="shared" si="11"/>
        <v>0</v>
      </c>
      <c r="V28" s="296"/>
      <c r="X28" s="295"/>
      <c r="Y28" s="299"/>
      <c r="Z28" s="188"/>
      <c r="AA28" s="298"/>
      <c r="AB28" s="294">
        <f t="shared" si="12"/>
        <v>0</v>
      </c>
      <c r="AC28" s="300"/>
      <c r="AD28" s="299"/>
      <c r="AE28" s="188"/>
      <c r="AF28" s="298"/>
      <c r="AG28" s="294">
        <f t="shared" si="13"/>
        <v>0</v>
      </c>
      <c r="AH28" s="300"/>
      <c r="AI28" s="299"/>
      <c r="AJ28" s="188"/>
      <c r="AK28" s="298"/>
      <c r="AL28" s="294">
        <f t="shared" si="14"/>
        <v>0</v>
      </c>
      <c r="AM28" s="300"/>
      <c r="AN28" s="299"/>
      <c r="AO28" s="188"/>
      <c r="AP28" s="298"/>
      <c r="AQ28" s="294">
        <f t="shared" si="15"/>
        <v>0</v>
      </c>
      <c r="AR28" s="293"/>
    </row>
    <row r="29" spans="2:44" s="1" customFormat="1">
      <c r="B29" s="297"/>
      <c r="C29" s="299"/>
      <c r="D29" s="188"/>
      <c r="E29" s="298"/>
      <c r="F29" s="294">
        <f t="shared" si="8"/>
        <v>0</v>
      </c>
      <c r="G29" s="301"/>
      <c r="H29" s="299"/>
      <c r="I29" s="188"/>
      <c r="J29" s="298"/>
      <c r="K29" s="294">
        <f t="shared" si="9"/>
        <v>0</v>
      </c>
      <c r="L29" s="301"/>
      <c r="M29" s="299"/>
      <c r="N29" s="188"/>
      <c r="O29" s="298"/>
      <c r="P29" s="294">
        <f t="shared" si="10"/>
        <v>0</v>
      </c>
      <c r="Q29" s="301"/>
      <c r="R29" s="299"/>
      <c r="S29" s="188"/>
      <c r="T29" s="298"/>
      <c r="U29" s="294">
        <f t="shared" si="11"/>
        <v>0</v>
      </c>
      <c r="V29" s="296"/>
      <c r="X29" s="295"/>
      <c r="Y29" s="299"/>
      <c r="Z29" s="188"/>
      <c r="AA29" s="298"/>
      <c r="AB29" s="294">
        <f t="shared" si="12"/>
        <v>0</v>
      </c>
      <c r="AC29" s="300"/>
      <c r="AD29" s="299"/>
      <c r="AE29" s="188"/>
      <c r="AF29" s="298"/>
      <c r="AG29" s="294">
        <f t="shared" si="13"/>
        <v>0</v>
      </c>
      <c r="AH29" s="300"/>
      <c r="AI29" s="299"/>
      <c r="AJ29" s="188"/>
      <c r="AK29" s="298"/>
      <c r="AL29" s="294">
        <f t="shared" si="14"/>
        <v>0</v>
      </c>
      <c r="AM29" s="300"/>
      <c r="AN29" s="299"/>
      <c r="AO29" s="188"/>
      <c r="AP29" s="298"/>
      <c r="AQ29" s="294">
        <f t="shared" si="15"/>
        <v>0</v>
      </c>
      <c r="AR29" s="293"/>
    </row>
    <row r="30" spans="2:44" s="1" customFormat="1">
      <c r="B30" s="297"/>
      <c r="C30" s="299"/>
      <c r="D30" s="188"/>
      <c r="E30" s="298"/>
      <c r="F30" s="294">
        <f t="shared" si="8"/>
        <v>0</v>
      </c>
      <c r="G30" s="301"/>
      <c r="H30" s="299"/>
      <c r="I30" s="188"/>
      <c r="J30" s="298"/>
      <c r="K30" s="294">
        <f t="shared" si="9"/>
        <v>0</v>
      </c>
      <c r="L30" s="301"/>
      <c r="M30" s="299"/>
      <c r="N30" s="188"/>
      <c r="O30" s="298"/>
      <c r="P30" s="294">
        <f t="shared" si="10"/>
        <v>0</v>
      </c>
      <c r="Q30" s="301"/>
      <c r="R30" s="299"/>
      <c r="S30" s="188"/>
      <c r="T30" s="298"/>
      <c r="U30" s="294">
        <f t="shared" si="11"/>
        <v>0</v>
      </c>
      <c r="V30" s="296"/>
      <c r="X30" s="295"/>
      <c r="Y30" s="299"/>
      <c r="Z30" s="188"/>
      <c r="AA30" s="298"/>
      <c r="AB30" s="294">
        <f t="shared" si="12"/>
        <v>0</v>
      </c>
      <c r="AC30" s="300"/>
      <c r="AD30" s="299"/>
      <c r="AE30" s="188"/>
      <c r="AF30" s="298"/>
      <c r="AG30" s="294">
        <f t="shared" si="13"/>
        <v>0</v>
      </c>
      <c r="AH30" s="300"/>
      <c r="AI30" s="299"/>
      <c r="AJ30" s="188"/>
      <c r="AK30" s="298"/>
      <c r="AL30" s="294">
        <f t="shared" si="14"/>
        <v>0</v>
      </c>
      <c r="AM30" s="300"/>
      <c r="AN30" s="299"/>
      <c r="AO30" s="188"/>
      <c r="AP30" s="298"/>
      <c r="AQ30" s="294">
        <f t="shared" si="15"/>
        <v>0</v>
      </c>
      <c r="AR30" s="293"/>
    </row>
    <row r="31" spans="2:44" s="1" customFormat="1">
      <c r="B31" s="297"/>
      <c r="C31" s="299"/>
      <c r="D31" s="188"/>
      <c r="E31" s="298"/>
      <c r="F31" s="294">
        <f t="shared" si="8"/>
        <v>0</v>
      </c>
      <c r="G31" s="301"/>
      <c r="H31" s="299"/>
      <c r="I31" s="188"/>
      <c r="J31" s="298"/>
      <c r="K31" s="294">
        <f t="shared" si="9"/>
        <v>0</v>
      </c>
      <c r="L31" s="301"/>
      <c r="M31" s="299"/>
      <c r="N31" s="188"/>
      <c r="O31" s="298"/>
      <c r="P31" s="294">
        <f t="shared" si="10"/>
        <v>0</v>
      </c>
      <c r="Q31" s="301"/>
      <c r="R31" s="299"/>
      <c r="S31" s="188"/>
      <c r="T31" s="298"/>
      <c r="U31" s="294">
        <f t="shared" si="11"/>
        <v>0</v>
      </c>
      <c r="V31" s="296"/>
      <c r="X31" s="295"/>
      <c r="Y31" s="299"/>
      <c r="Z31" s="188"/>
      <c r="AA31" s="298"/>
      <c r="AB31" s="294">
        <f t="shared" si="12"/>
        <v>0</v>
      </c>
      <c r="AC31" s="300"/>
      <c r="AD31" s="299"/>
      <c r="AE31" s="188"/>
      <c r="AF31" s="298"/>
      <c r="AG31" s="294">
        <f t="shared" si="13"/>
        <v>0</v>
      </c>
      <c r="AH31" s="300"/>
      <c r="AI31" s="299"/>
      <c r="AJ31" s="188"/>
      <c r="AK31" s="298"/>
      <c r="AL31" s="294">
        <f t="shared" si="14"/>
        <v>0</v>
      </c>
      <c r="AM31" s="300"/>
      <c r="AN31" s="299"/>
      <c r="AO31" s="188"/>
      <c r="AP31" s="298"/>
      <c r="AQ31" s="294">
        <f t="shared" si="15"/>
        <v>0</v>
      </c>
      <c r="AR31" s="293"/>
    </row>
    <row r="32" spans="2:44" s="1" customFormat="1">
      <c r="B32" s="297"/>
      <c r="C32" s="299"/>
      <c r="D32" s="188"/>
      <c r="E32" s="298"/>
      <c r="F32" s="294">
        <f t="shared" si="8"/>
        <v>0</v>
      </c>
      <c r="G32" s="301"/>
      <c r="H32" s="299"/>
      <c r="I32" s="188"/>
      <c r="J32" s="298"/>
      <c r="K32" s="294">
        <f t="shared" si="9"/>
        <v>0</v>
      </c>
      <c r="L32" s="301"/>
      <c r="M32" s="299"/>
      <c r="N32" s="188"/>
      <c r="O32" s="298"/>
      <c r="P32" s="294">
        <f t="shared" si="10"/>
        <v>0</v>
      </c>
      <c r="Q32" s="301"/>
      <c r="R32" s="299"/>
      <c r="S32" s="188"/>
      <c r="T32" s="298"/>
      <c r="U32" s="294">
        <f t="shared" si="11"/>
        <v>0</v>
      </c>
      <c r="V32" s="296"/>
      <c r="X32" s="295"/>
      <c r="Y32" s="299"/>
      <c r="Z32" s="188"/>
      <c r="AA32" s="298"/>
      <c r="AB32" s="294">
        <f t="shared" si="12"/>
        <v>0</v>
      </c>
      <c r="AC32" s="300"/>
      <c r="AD32" s="299"/>
      <c r="AE32" s="188"/>
      <c r="AF32" s="298"/>
      <c r="AG32" s="294">
        <f t="shared" si="13"/>
        <v>0</v>
      </c>
      <c r="AH32" s="300"/>
      <c r="AI32" s="299"/>
      <c r="AJ32" s="188"/>
      <c r="AK32" s="298"/>
      <c r="AL32" s="294">
        <f t="shared" si="14"/>
        <v>0</v>
      </c>
      <c r="AM32" s="300"/>
      <c r="AN32" s="299"/>
      <c r="AO32" s="188"/>
      <c r="AP32" s="298"/>
      <c r="AQ32" s="294">
        <f t="shared" si="15"/>
        <v>0</v>
      </c>
      <c r="AR32" s="293"/>
    </row>
    <row r="33" spans="2:44" s="1" customFormat="1">
      <c r="B33" s="297"/>
      <c r="C33" s="299"/>
      <c r="D33" s="188"/>
      <c r="E33" s="298"/>
      <c r="F33" s="294">
        <f t="shared" si="8"/>
        <v>0</v>
      </c>
      <c r="G33" s="301"/>
      <c r="H33" s="299"/>
      <c r="I33" s="188"/>
      <c r="J33" s="298"/>
      <c r="K33" s="294">
        <f t="shared" si="9"/>
        <v>0</v>
      </c>
      <c r="L33" s="301"/>
      <c r="M33" s="299"/>
      <c r="N33" s="188"/>
      <c r="O33" s="298"/>
      <c r="P33" s="294">
        <f t="shared" si="10"/>
        <v>0</v>
      </c>
      <c r="Q33" s="301"/>
      <c r="R33" s="299"/>
      <c r="S33" s="188"/>
      <c r="T33" s="298"/>
      <c r="U33" s="294">
        <f t="shared" si="11"/>
        <v>0</v>
      </c>
      <c r="V33" s="296"/>
      <c r="X33" s="295"/>
      <c r="Y33" s="299"/>
      <c r="Z33" s="188"/>
      <c r="AA33" s="298"/>
      <c r="AB33" s="294">
        <f t="shared" si="12"/>
        <v>0</v>
      </c>
      <c r="AC33" s="300"/>
      <c r="AD33" s="299"/>
      <c r="AE33" s="188"/>
      <c r="AF33" s="298"/>
      <c r="AG33" s="294">
        <f t="shared" si="13"/>
        <v>0</v>
      </c>
      <c r="AH33" s="300"/>
      <c r="AI33" s="299"/>
      <c r="AJ33" s="188"/>
      <c r="AK33" s="298"/>
      <c r="AL33" s="294">
        <f t="shared" si="14"/>
        <v>0</v>
      </c>
      <c r="AM33" s="300"/>
      <c r="AN33" s="299"/>
      <c r="AO33" s="188"/>
      <c r="AP33" s="298"/>
      <c r="AQ33" s="294">
        <f t="shared" si="15"/>
        <v>0</v>
      </c>
      <c r="AR33" s="293"/>
    </row>
    <row r="34" spans="2:44" s="1" customFormat="1">
      <c r="B34" s="297"/>
      <c r="C34" s="299"/>
      <c r="D34" s="188"/>
      <c r="E34" s="298"/>
      <c r="F34" s="294">
        <f t="shared" si="8"/>
        <v>0</v>
      </c>
      <c r="G34" s="301"/>
      <c r="H34" s="299"/>
      <c r="I34" s="188"/>
      <c r="J34" s="298"/>
      <c r="K34" s="294">
        <f t="shared" si="9"/>
        <v>0</v>
      </c>
      <c r="L34" s="301"/>
      <c r="M34" s="299"/>
      <c r="N34" s="188"/>
      <c r="O34" s="298"/>
      <c r="P34" s="294">
        <f t="shared" si="10"/>
        <v>0</v>
      </c>
      <c r="Q34" s="301"/>
      <c r="R34" s="299"/>
      <c r="S34" s="188"/>
      <c r="T34" s="298"/>
      <c r="U34" s="294">
        <f t="shared" si="11"/>
        <v>0</v>
      </c>
      <c r="V34" s="296"/>
      <c r="X34" s="295"/>
      <c r="Y34" s="299"/>
      <c r="Z34" s="188"/>
      <c r="AA34" s="298"/>
      <c r="AB34" s="294">
        <f t="shared" si="12"/>
        <v>0</v>
      </c>
      <c r="AC34" s="300"/>
      <c r="AD34" s="299"/>
      <c r="AE34" s="188"/>
      <c r="AF34" s="298"/>
      <c r="AG34" s="294">
        <f t="shared" si="13"/>
        <v>0</v>
      </c>
      <c r="AH34" s="300"/>
      <c r="AI34" s="299"/>
      <c r="AJ34" s="188"/>
      <c r="AK34" s="298"/>
      <c r="AL34" s="294">
        <f t="shared" si="14"/>
        <v>0</v>
      </c>
      <c r="AM34" s="300"/>
      <c r="AN34" s="299"/>
      <c r="AO34" s="188"/>
      <c r="AP34" s="298"/>
      <c r="AQ34" s="294">
        <f t="shared" si="15"/>
        <v>0</v>
      </c>
      <c r="AR34" s="293"/>
    </row>
    <row r="35" spans="2:44" s="1" customFormat="1">
      <c r="B35" s="297"/>
      <c r="C35" s="186" t="s">
        <v>229</v>
      </c>
      <c r="D35" s="186">
        <f>SUM(D23:D34)+D36</f>
        <v>15</v>
      </c>
      <c r="E35" s="294"/>
      <c r="F35" s="294">
        <f>SUM(F23:F34)</f>
        <v>943.94</v>
      </c>
      <c r="G35" s="291"/>
      <c r="H35" s="186" t="s">
        <v>229</v>
      </c>
      <c r="I35" s="186">
        <f>SUM(I23:I34)+I36</f>
        <v>0</v>
      </c>
      <c r="J35" s="294"/>
      <c r="K35" s="294">
        <f>SUM(K23:K34)</f>
        <v>-108.58</v>
      </c>
      <c r="L35" s="291"/>
      <c r="M35" s="186" t="s">
        <v>229</v>
      </c>
      <c r="N35" s="186">
        <f>SUM(N23:N34)+N36</f>
        <v>7</v>
      </c>
      <c r="O35" s="294"/>
      <c r="P35" s="294">
        <f>SUM(P23:P34)</f>
        <v>834.47</v>
      </c>
      <c r="Q35" s="291"/>
      <c r="R35" s="186" t="s">
        <v>229</v>
      </c>
      <c r="S35" s="186">
        <f>SUM(S23:S34)+S36</f>
        <v>143</v>
      </c>
      <c r="T35" s="294"/>
      <c r="U35" s="294">
        <f>SUM(U23:U34)</f>
        <v>1389.2000000000003</v>
      </c>
      <c r="V35" s="296"/>
      <c r="X35" s="295"/>
      <c r="Y35" s="186" t="s">
        <v>229</v>
      </c>
      <c r="Z35" s="186">
        <f>SUM(Z23:Z34)+Z36</f>
        <v>1</v>
      </c>
      <c r="AA35" s="294"/>
      <c r="AB35" s="294">
        <f>SUM(AB23:AB34)</f>
        <v>0</v>
      </c>
      <c r="AC35" s="285"/>
      <c r="AD35" s="186" t="s">
        <v>229</v>
      </c>
      <c r="AE35" s="186">
        <f>SUM(AE23:AE34)+AE36</f>
        <v>111</v>
      </c>
      <c r="AF35" s="294"/>
      <c r="AG35" s="294">
        <f>SUM(AG23:AG34)</f>
        <v>779.78</v>
      </c>
      <c r="AH35" s="285"/>
      <c r="AI35" s="186" t="s">
        <v>229</v>
      </c>
      <c r="AJ35" s="186">
        <f>SUM(AJ23:AJ34)+AJ36</f>
        <v>5</v>
      </c>
      <c r="AK35" s="294"/>
      <c r="AL35" s="294">
        <f>SUM(AL23:AL34)</f>
        <v>305.76</v>
      </c>
      <c r="AM35" s="285"/>
      <c r="AN35" s="186" t="s">
        <v>229</v>
      </c>
      <c r="AO35" s="186">
        <f>SUM(AO23:AO34)+AO36</f>
        <v>20</v>
      </c>
      <c r="AP35" s="294"/>
      <c r="AQ35" s="294">
        <f>SUM(AQ23:AQ34)</f>
        <v>1794.05</v>
      </c>
      <c r="AR35" s="293"/>
    </row>
    <row r="36" spans="2:44" s="1" customFormat="1">
      <c r="B36" s="292"/>
      <c r="C36" s="291"/>
      <c r="D36" s="289"/>
      <c r="E36" s="290"/>
      <c r="F36" s="290"/>
      <c r="G36" s="289"/>
      <c r="H36" s="289"/>
      <c r="I36" s="289">
        <v>1</v>
      </c>
      <c r="J36" s="290"/>
      <c r="K36" s="290"/>
      <c r="L36" s="289"/>
      <c r="M36" s="289"/>
      <c r="N36" s="289">
        <v>0</v>
      </c>
      <c r="O36" s="290"/>
      <c r="P36" s="290"/>
      <c r="Q36" s="289"/>
      <c r="R36" s="289"/>
      <c r="S36" s="289">
        <v>0</v>
      </c>
      <c r="T36" s="288"/>
      <c r="U36" s="288"/>
      <c r="V36" s="287"/>
      <c r="X36" s="286"/>
      <c r="Y36" s="285"/>
      <c r="Z36" s="283">
        <v>1</v>
      </c>
      <c r="AA36" s="284"/>
      <c r="AB36" s="284"/>
      <c r="AC36" s="283"/>
      <c r="AD36" s="283"/>
      <c r="AE36" s="283">
        <v>10</v>
      </c>
      <c r="AF36" s="284"/>
      <c r="AG36" s="284"/>
      <c r="AH36" s="283"/>
      <c r="AI36" s="283"/>
      <c r="AJ36" s="283">
        <v>1</v>
      </c>
      <c r="AK36" s="284"/>
      <c r="AL36" s="284"/>
      <c r="AM36" s="283"/>
      <c r="AN36" s="283"/>
      <c r="AO36" s="283">
        <v>1</v>
      </c>
      <c r="AP36" s="282"/>
      <c r="AQ36" s="282"/>
      <c r="AR36" s="281"/>
    </row>
    <row r="37" spans="2:44" s="275" customFormat="1" ht="6" customHeight="1">
      <c r="E37" s="276"/>
      <c r="F37" s="276"/>
      <c r="J37" s="276"/>
      <c r="K37" s="276"/>
      <c r="O37" s="276"/>
      <c r="P37" s="276"/>
      <c r="T37" s="276"/>
      <c r="U37" s="276"/>
      <c r="AA37" s="276"/>
      <c r="AB37" s="276"/>
      <c r="AF37" s="276"/>
      <c r="AG37" s="276"/>
      <c r="AK37" s="276"/>
      <c r="AL37" s="276"/>
      <c r="AP37" s="276"/>
      <c r="AQ37" s="276"/>
    </row>
    <row r="38" spans="2:44" s="275" customFormat="1" ht="15" customHeight="1">
      <c r="C38" s="928">
        <v>2022</v>
      </c>
      <c r="D38" s="928"/>
      <c r="E38" s="933">
        <v>1081.6300000000001</v>
      </c>
      <c r="F38" s="933"/>
      <c r="G38" s="542"/>
      <c r="J38" s="276"/>
      <c r="K38" s="276"/>
      <c r="O38" s="276"/>
      <c r="P38" s="276"/>
      <c r="T38" s="276"/>
      <c r="U38" s="276"/>
      <c r="AA38" s="276"/>
      <c r="AB38" s="276"/>
      <c r="AF38" s="276"/>
      <c r="AG38" s="276"/>
      <c r="AK38" s="276"/>
      <c r="AL38" s="276"/>
      <c r="AP38" s="276"/>
      <c r="AQ38" s="276"/>
    </row>
    <row r="39" spans="2:44" s="275" customFormat="1" ht="15" customHeight="1">
      <c r="C39" s="928"/>
      <c r="D39" s="928"/>
      <c r="E39" s="933"/>
      <c r="F39" s="933"/>
      <c r="G39" s="542"/>
      <c r="J39" s="276"/>
      <c r="K39" s="276"/>
      <c r="O39" s="276"/>
      <c r="P39" s="276"/>
      <c r="T39" s="276"/>
      <c r="U39" s="276"/>
      <c r="AA39" s="276"/>
      <c r="AB39" s="276"/>
      <c r="AF39" s="276"/>
      <c r="AG39" s="276"/>
      <c r="AK39" s="276"/>
      <c r="AL39" s="276"/>
      <c r="AP39" s="276"/>
      <c r="AQ39" s="276"/>
    </row>
    <row r="40" spans="2:44" s="275" customFormat="1" ht="15" customHeight="1">
      <c r="C40" s="929">
        <v>2023</v>
      </c>
      <c r="D40" s="929"/>
      <c r="E40" s="932">
        <f>F35+K35+P35+U35+U17+P17+K17+F17+AB17+AG17+AG35+AB35+AL17+AL35+AQ35+AQ17</f>
        <v>8382.369999999999</v>
      </c>
      <c r="F40" s="932"/>
      <c r="G40" s="542"/>
      <c r="H40" s="279"/>
      <c r="J40" s="276"/>
      <c r="K40" s="276"/>
      <c r="O40" s="276"/>
      <c r="P40" s="276"/>
      <c r="T40" s="276"/>
      <c r="U40" s="276"/>
      <c r="AA40" s="276"/>
      <c r="AB40" s="276"/>
      <c r="AF40" s="276"/>
      <c r="AG40" s="276"/>
      <c r="AK40" s="276"/>
      <c r="AL40" s="276"/>
      <c r="AP40" s="276"/>
      <c r="AQ40" s="276"/>
    </row>
    <row r="41" spans="2:44" s="275" customFormat="1" ht="15" customHeight="1">
      <c r="C41" s="929"/>
      <c r="D41" s="929"/>
      <c r="E41" s="932"/>
      <c r="F41" s="932"/>
      <c r="G41" s="542"/>
      <c r="J41" s="276"/>
      <c r="K41" s="276"/>
      <c r="O41" s="276"/>
      <c r="P41" s="276"/>
      <c r="T41" s="276"/>
      <c r="U41" s="276"/>
      <c r="AA41" s="276"/>
      <c r="AB41" s="276"/>
      <c r="AF41" s="276"/>
      <c r="AG41" s="276"/>
      <c r="AK41" s="276"/>
      <c r="AL41" s="276"/>
      <c r="AP41" s="276"/>
      <c r="AQ41" s="276"/>
    </row>
    <row r="42" spans="2:44" s="275" customFormat="1" ht="15" customHeight="1">
      <c r="C42" s="930" t="s">
        <v>45</v>
      </c>
      <c r="D42" s="930"/>
      <c r="E42" s="931">
        <f>SUM(E38:F41)</f>
        <v>9464</v>
      </c>
      <c r="F42" s="931"/>
      <c r="G42" s="542"/>
      <c r="J42" s="276"/>
      <c r="K42" s="276"/>
      <c r="O42" s="276"/>
      <c r="P42" s="276"/>
      <c r="T42" s="276"/>
      <c r="U42" s="276"/>
      <c r="AA42" s="276"/>
      <c r="AB42" s="276"/>
      <c r="AF42" s="276"/>
      <c r="AG42" s="276"/>
      <c r="AK42" s="276"/>
      <c r="AL42" s="276"/>
      <c r="AP42" s="276"/>
      <c r="AQ42" s="276"/>
    </row>
    <row r="43" spans="2:44" s="275" customFormat="1" ht="15" customHeight="1">
      <c r="C43" s="930"/>
      <c r="D43" s="930"/>
      <c r="E43" s="931"/>
      <c r="F43" s="931"/>
      <c r="G43" s="542"/>
      <c r="J43" s="276"/>
      <c r="K43" s="276"/>
      <c r="O43" s="276"/>
      <c r="P43" s="276"/>
      <c r="T43" s="276"/>
      <c r="U43" s="276"/>
      <c r="AA43" s="276"/>
      <c r="AB43" s="276"/>
      <c r="AF43" s="276"/>
      <c r="AG43" s="276"/>
      <c r="AK43" s="276"/>
      <c r="AL43" s="276"/>
      <c r="AP43" s="276"/>
      <c r="AQ43" s="276"/>
    </row>
    <row r="44" spans="2:44" s="275" customFormat="1">
      <c r="E44" s="277"/>
      <c r="F44" s="276"/>
      <c r="J44" s="276"/>
      <c r="K44" s="276"/>
      <c r="O44" s="276"/>
      <c r="P44" s="276"/>
      <c r="T44" s="276"/>
      <c r="U44" s="276"/>
      <c r="AA44" s="276"/>
      <c r="AB44" s="276"/>
      <c r="AF44" s="276"/>
      <c r="AG44" s="276"/>
      <c r="AK44" s="276"/>
      <c r="AL44" s="276"/>
      <c r="AP44" s="276"/>
      <c r="AQ44" s="276"/>
    </row>
    <row r="45" spans="2:44" s="275" customFormat="1">
      <c r="E45" s="277"/>
      <c r="F45" s="276"/>
      <c r="J45" s="276"/>
      <c r="K45" s="276"/>
      <c r="O45" s="276"/>
      <c r="P45" s="276"/>
      <c r="T45" s="276"/>
      <c r="U45" s="276"/>
      <c r="AA45" s="276"/>
      <c r="AB45" s="276"/>
      <c r="AF45" s="276"/>
      <c r="AG45" s="276"/>
      <c r="AK45" s="276"/>
      <c r="AL45" s="276"/>
      <c r="AP45" s="276"/>
      <c r="AQ45" s="276"/>
    </row>
    <row r="46" spans="2:44" s="275" customFormat="1">
      <c r="D46" s="278"/>
      <c r="E46" s="277"/>
      <c r="F46" s="276"/>
      <c r="J46" s="276"/>
      <c r="K46" s="276"/>
      <c r="O46" s="276"/>
      <c r="P46" s="276"/>
      <c r="T46" s="276"/>
      <c r="U46" s="276"/>
      <c r="Y46" s="927" t="s">
        <v>556</v>
      </c>
      <c r="Z46" s="927"/>
      <c r="AA46" s="927"/>
      <c r="AB46" s="927"/>
      <c r="AD46" s="927" t="s">
        <v>557</v>
      </c>
      <c r="AE46" s="927"/>
      <c r="AF46" s="927"/>
      <c r="AG46" s="927"/>
      <c r="AJ46" s="275" t="s">
        <v>574</v>
      </c>
      <c r="AK46" s="276"/>
      <c r="AL46" s="276"/>
      <c r="AP46" s="276"/>
      <c r="AQ46" s="276"/>
    </row>
    <row r="47" spans="2:44" s="275" customFormat="1">
      <c r="D47" s="278"/>
      <c r="E47" s="277"/>
      <c r="F47" s="276"/>
      <c r="J47" s="276"/>
      <c r="K47" s="276"/>
      <c r="O47" s="276"/>
      <c r="P47" s="276"/>
      <c r="T47" s="276"/>
      <c r="U47" s="276"/>
      <c r="Y47" s="278">
        <v>45119</v>
      </c>
      <c r="Z47" s="275">
        <v>23</v>
      </c>
      <c r="AA47" s="276">
        <v>9.5</v>
      </c>
      <c r="AB47" s="276">
        <f>AA47*Z47</f>
        <v>218.5</v>
      </c>
      <c r="AD47" s="278">
        <v>45119</v>
      </c>
      <c r="AE47" s="275">
        <v>1</v>
      </c>
      <c r="AF47" s="276">
        <v>83.15</v>
      </c>
      <c r="AG47" s="276">
        <f>AF47*AE47</f>
        <v>83.15</v>
      </c>
      <c r="AI47" s="278">
        <v>45128</v>
      </c>
      <c r="AJ47" s="275">
        <v>0</v>
      </c>
      <c r="AK47" s="276">
        <v>0</v>
      </c>
      <c r="AL47" s="276">
        <f>AK47*AJ47</f>
        <v>0</v>
      </c>
      <c r="AP47" s="276"/>
      <c r="AQ47" s="276"/>
    </row>
    <row r="48" spans="2:44" s="275" customFormat="1">
      <c r="E48" s="277"/>
      <c r="F48" s="276"/>
      <c r="J48" s="276"/>
      <c r="K48" s="276"/>
      <c r="O48" s="276"/>
      <c r="P48" s="276"/>
      <c r="T48" s="276"/>
      <c r="U48" s="276"/>
      <c r="Y48" s="278">
        <v>45128</v>
      </c>
      <c r="Z48" s="275">
        <v>57</v>
      </c>
      <c r="AA48" s="276">
        <v>9.42</v>
      </c>
      <c r="AB48" s="276">
        <f>AA48*Z48</f>
        <v>536.93999999999994</v>
      </c>
      <c r="AF48" s="276"/>
      <c r="AG48" s="276"/>
      <c r="AK48" s="276"/>
      <c r="AL48" s="276"/>
      <c r="AP48" s="276"/>
      <c r="AQ48" s="276"/>
    </row>
    <row r="49" spans="5:43" s="275" customFormat="1">
      <c r="E49" s="277"/>
      <c r="F49" s="276"/>
      <c r="J49" s="276"/>
      <c r="K49" s="276"/>
      <c r="O49" s="276"/>
      <c r="P49" s="276"/>
      <c r="T49" s="276"/>
      <c r="U49" s="276"/>
      <c r="AA49" s="276"/>
      <c r="AB49" s="276"/>
      <c r="AF49" s="276"/>
      <c r="AG49" s="276"/>
      <c r="AK49" s="276"/>
      <c r="AL49" s="276"/>
      <c r="AP49" s="276"/>
      <c r="AQ49" s="276"/>
    </row>
    <row r="50" spans="5:43" s="275" customFormat="1">
      <c r="E50" s="277"/>
      <c r="F50" s="276"/>
      <c r="J50" s="276"/>
      <c r="K50" s="276"/>
      <c r="O50" s="276"/>
      <c r="P50" s="276"/>
      <c r="T50" s="276"/>
      <c r="U50" s="276"/>
      <c r="AA50" s="276"/>
      <c r="AB50" s="276"/>
      <c r="AF50" s="276"/>
      <c r="AG50" s="276"/>
      <c r="AK50" s="276"/>
      <c r="AL50" s="276"/>
      <c r="AP50" s="276"/>
      <c r="AQ50" s="276"/>
    </row>
    <row r="51" spans="5:43" s="275" customFormat="1">
      <c r="E51" s="277"/>
      <c r="F51" s="276"/>
      <c r="J51" s="276"/>
      <c r="K51" s="276"/>
      <c r="O51" s="276"/>
      <c r="P51" s="276"/>
      <c r="T51" s="276"/>
      <c r="U51" s="276"/>
      <c r="AA51" s="276"/>
      <c r="AB51" s="276"/>
      <c r="AF51" s="276"/>
      <c r="AG51" s="276"/>
      <c r="AK51" s="276"/>
      <c r="AL51" s="276"/>
      <c r="AP51" s="276"/>
      <c r="AQ51" s="276"/>
    </row>
    <row r="52" spans="5:43" s="275" customFormat="1">
      <c r="E52" s="277"/>
      <c r="F52" s="276"/>
      <c r="J52" s="276"/>
      <c r="K52" s="276"/>
      <c r="O52" s="276"/>
      <c r="P52" s="276"/>
      <c r="T52" s="276"/>
      <c r="U52" s="276"/>
      <c r="AA52" s="276"/>
      <c r="AB52" s="276"/>
      <c r="AF52" s="276"/>
      <c r="AG52" s="276"/>
      <c r="AK52" s="276"/>
      <c r="AL52" s="276"/>
      <c r="AP52" s="276"/>
      <c r="AQ52" s="276"/>
    </row>
    <row r="53" spans="5:43" s="275" customFormat="1">
      <c r="E53" s="277"/>
      <c r="F53" s="276"/>
      <c r="J53" s="276"/>
      <c r="K53" s="276"/>
      <c r="O53" s="276"/>
      <c r="P53" s="276"/>
      <c r="T53" s="276"/>
      <c r="U53" s="276"/>
      <c r="AA53" s="276"/>
      <c r="AB53" s="276"/>
      <c r="AF53" s="276"/>
      <c r="AG53" s="276"/>
      <c r="AK53" s="276"/>
      <c r="AL53" s="276"/>
      <c r="AP53" s="276"/>
      <c r="AQ53" s="276"/>
    </row>
    <row r="54" spans="5:43" s="275" customFormat="1">
      <c r="E54" s="277"/>
      <c r="F54" s="276"/>
      <c r="J54" s="276"/>
      <c r="K54" s="276"/>
      <c r="O54" s="276"/>
      <c r="P54" s="276"/>
      <c r="T54" s="276"/>
      <c r="U54" s="276"/>
      <c r="AA54" s="276"/>
      <c r="AB54" s="276"/>
      <c r="AF54" s="276"/>
      <c r="AG54" s="276"/>
      <c r="AK54" s="276"/>
      <c r="AL54" s="276"/>
      <c r="AP54" s="276"/>
      <c r="AQ54" s="276"/>
    </row>
    <row r="55" spans="5:43" s="275" customFormat="1">
      <c r="E55" s="277"/>
      <c r="F55" s="276"/>
      <c r="J55" s="276"/>
      <c r="K55" s="276"/>
      <c r="O55" s="276"/>
      <c r="P55" s="276"/>
      <c r="T55" s="276"/>
      <c r="U55" s="276"/>
      <c r="AA55" s="276"/>
      <c r="AB55" s="276"/>
      <c r="AF55" s="276"/>
      <c r="AG55" s="276"/>
      <c r="AK55" s="276"/>
      <c r="AL55" s="276"/>
      <c r="AP55" s="276"/>
      <c r="AQ55" s="276"/>
    </row>
    <row r="56" spans="5:43" s="275" customFormat="1">
      <c r="E56" s="277"/>
      <c r="F56" s="276"/>
      <c r="J56" s="276"/>
      <c r="K56" s="276"/>
      <c r="O56" s="276"/>
      <c r="P56" s="276"/>
      <c r="T56" s="276"/>
      <c r="U56" s="276"/>
      <c r="AA56" s="276"/>
      <c r="AB56" s="276"/>
      <c r="AF56" s="276"/>
      <c r="AG56" s="276"/>
      <c r="AK56" s="276"/>
      <c r="AL56" s="276"/>
      <c r="AP56" s="276"/>
      <c r="AQ56" s="276"/>
    </row>
    <row r="57" spans="5:43" s="275" customFormat="1">
      <c r="E57" s="277"/>
      <c r="F57" s="276"/>
      <c r="J57" s="276"/>
      <c r="K57" s="276"/>
      <c r="O57" s="276"/>
      <c r="P57" s="276"/>
      <c r="T57" s="276"/>
      <c r="U57" s="276"/>
      <c r="AA57" s="276"/>
      <c r="AB57" s="276"/>
      <c r="AF57" s="276"/>
      <c r="AG57" s="276"/>
      <c r="AK57" s="276"/>
      <c r="AL57" s="276"/>
      <c r="AP57" s="276"/>
      <c r="AQ57" s="276"/>
    </row>
    <row r="58" spans="5:43" s="275" customFormat="1">
      <c r="E58" s="277"/>
      <c r="F58" s="276"/>
      <c r="J58" s="276"/>
      <c r="K58" s="276"/>
      <c r="O58" s="276"/>
      <c r="P58" s="276"/>
      <c r="T58" s="276"/>
      <c r="U58" s="276"/>
      <c r="AA58" s="276"/>
      <c r="AB58" s="276"/>
      <c r="AF58" s="276"/>
      <c r="AG58" s="276"/>
      <c r="AK58" s="276"/>
      <c r="AL58" s="276"/>
      <c r="AP58" s="276"/>
      <c r="AQ58" s="276"/>
    </row>
    <row r="59" spans="5:43" s="275" customFormat="1">
      <c r="E59" s="277"/>
      <c r="F59" s="276"/>
      <c r="J59" s="276"/>
      <c r="K59" s="276"/>
      <c r="O59" s="276"/>
      <c r="P59" s="276"/>
      <c r="T59" s="276"/>
      <c r="U59" s="276"/>
      <c r="AA59" s="276"/>
      <c r="AB59" s="276"/>
      <c r="AF59" s="276"/>
      <c r="AG59" s="276"/>
      <c r="AK59" s="276"/>
      <c r="AL59" s="276"/>
      <c r="AP59" s="276"/>
      <c r="AQ59" s="276"/>
    </row>
    <row r="60" spans="5:43" s="275" customFormat="1">
      <c r="E60" s="277"/>
      <c r="F60" s="276"/>
      <c r="J60" s="276"/>
      <c r="K60" s="276"/>
      <c r="O60" s="276"/>
      <c r="P60" s="276"/>
      <c r="T60" s="276"/>
      <c r="U60" s="276"/>
      <c r="AA60" s="276"/>
      <c r="AB60" s="276"/>
      <c r="AF60" s="276"/>
      <c r="AG60" s="276"/>
      <c r="AK60" s="276"/>
      <c r="AL60" s="276"/>
      <c r="AP60" s="276"/>
      <c r="AQ60" s="276"/>
    </row>
    <row r="61" spans="5:43" s="275" customFormat="1">
      <c r="E61" s="277"/>
      <c r="F61" s="276"/>
      <c r="J61" s="276"/>
      <c r="K61" s="276"/>
      <c r="O61" s="276"/>
      <c r="P61" s="276"/>
      <c r="T61" s="276"/>
      <c r="U61" s="276"/>
      <c r="AA61" s="276"/>
      <c r="AB61" s="276"/>
      <c r="AF61" s="276"/>
      <c r="AG61" s="276"/>
      <c r="AK61" s="276"/>
      <c r="AL61" s="276"/>
      <c r="AP61" s="276"/>
      <c r="AQ61" s="276"/>
    </row>
    <row r="62" spans="5:43" s="275" customFormat="1">
      <c r="E62" s="277"/>
      <c r="F62" s="276"/>
      <c r="J62" s="276"/>
      <c r="K62" s="276"/>
      <c r="O62" s="276"/>
      <c r="P62" s="276"/>
      <c r="T62" s="276"/>
      <c r="U62" s="276"/>
      <c r="AA62" s="276"/>
      <c r="AB62" s="276"/>
      <c r="AF62" s="276"/>
      <c r="AG62" s="276"/>
      <c r="AK62" s="276"/>
      <c r="AL62" s="276"/>
      <c r="AP62" s="276"/>
      <c r="AQ62" s="276"/>
    </row>
    <row r="63" spans="5:43" s="275" customFormat="1">
      <c r="E63" s="277"/>
      <c r="F63" s="276"/>
      <c r="J63" s="276"/>
      <c r="K63" s="276"/>
      <c r="O63" s="276"/>
      <c r="P63" s="276"/>
      <c r="T63" s="276"/>
      <c r="U63" s="276"/>
      <c r="AA63" s="276"/>
      <c r="AB63" s="276"/>
      <c r="AF63" s="276"/>
      <c r="AG63" s="276"/>
      <c r="AK63" s="276"/>
      <c r="AL63" s="276"/>
      <c r="AP63" s="276"/>
      <c r="AQ63" s="276"/>
    </row>
    <row r="64" spans="5:43" s="275" customFormat="1">
      <c r="E64" s="277"/>
      <c r="F64" s="276"/>
      <c r="J64" s="276"/>
      <c r="K64" s="276"/>
      <c r="O64" s="276"/>
      <c r="P64" s="276"/>
      <c r="T64" s="276"/>
      <c r="U64" s="276"/>
      <c r="AA64" s="276"/>
      <c r="AB64" s="276"/>
      <c r="AF64" s="276"/>
      <c r="AG64" s="276"/>
      <c r="AK64" s="276"/>
      <c r="AL64" s="276"/>
      <c r="AP64" s="276"/>
      <c r="AQ64" s="276"/>
    </row>
    <row r="65" spans="5:43" s="275" customFormat="1">
      <c r="E65" s="277"/>
      <c r="F65" s="276"/>
      <c r="J65" s="276"/>
      <c r="K65" s="276"/>
      <c r="O65" s="276"/>
      <c r="P65" s="276"/>
      <c r="T65" s="276"/>
      <c r="U65" s="276"/>
      <c r="AA65" s="276"/>
      <c r="AB65" s="276"/>
      <c r="AF65" s="276"/>
      <c r="AG65" s="276"/>
      <c r="AK65" s="276"/>
      <c r="AL65" s="276"/>
      <c r="AP65" s="276"/>
      <c r="AQ65" s="276"/>
    </row>
    <row r="66" spans="5:43" s="275" customFormat="1">
      <c r="E66" s="277"/>
      <c r="F66" s="276"/>
      <c r="J66" s="276"/>
      <c r="K66" s="276"/>
      <c r="O66" s="276"/>
      <c r="P66" s="276"/>
      <c r="T66" s="276"/>
      <c r="U66" s="276"/>
      <c r="AA66" s="276"/>
      <c r="AB66" s="276"/>
      <c r="AF66" s="276"/>
      <c r="AG66" s="276"/>
      <c r="AK66" s="276"/>
      <c r="AL66" s="276"/>
      <c r="AP66" s="276"/>
      <c r="AQ66" s="276"/>
    </row>
    <row r="67" spans="5:43" s="275" customFormat="1">
      <c r="E67" s="277"/>
      <c r="F67" s="276"/>
      <c r="J67" s="276"/>
      <c r="K67" s="276"/>
      <c r="O67" s="276"/>
      <c r="P67" s="276"/>
      <c r="T67" s="276"/>
      <c r="U67" s="276"/>
      <c r="AA67" s="276"/>
      <c r="AB67" s="276"/>
      <c r="AF67" s="276"/>
      <c r="AG67" s="276"/>
      <c r="AK67" s="276"/>
      <c r="AL67" s="276"/>
      <c r="AP67" s="276"/>
      <c r="AQ67" s="276"/>
    </row>
    <row r="68" spans="5:43" s="275" customFormat="1">
      <c r="E68" s="277"/>
      <c r="F68" s="276"/>
      <c r="J68" s="276"/>
      <c r="K68" s="276"/>
      <c r="O68" s="276"/>
      <c r="P68" s="276"/>
      <c r="T68" s="276"/>
      <c r="U68" s="276"/>
      <c r="AA68" s="276"/>
      <c r="AB68" s="276"/>
      <c r="AF68" s="276"/>
      <c r="AG68" s="276"/>
      <c r="AK68" s="276"/>
      <c r="AL68" s="276"/>
      <c r="AP68" s="276"/>
      <c r="AQ68" s="276"/>
    </row>
    <row r="69" spans="5:43" s="275" customFormat="1">
      <c r="E69" s="277"/>
      <c r="F69" s="276"/>
      <c r="J69" s="276"/>
      <c r="K69" s="276"/>
      <c r="O69" s="276"/>
      <c r="P69" s="276"/>
      <c r="T69" s="276"/>
      <c r="U69" s="276"/>
      <c r="AA69" s="276"/>
      <c r="AB69" s="276"/>
      <c r="AF69" s="276"/>
      <c r="AG69" s="276"/>
      <c r="AK69" s="276"/>
      <c r="AL69" s="276"/>
      <c r="AP69" s="276"/>
      <c r="AQ69" s="276"/>
    </row>
    <row r="70" spans="5:43" s="275" customFormat="1">
      <c r="E70" s="277"/>
      <c r="F70" s="276"/>
      <c r="J70" s="276"/>
      <c r="K70" s="276"/>
      <c r="O70" s="276"/>
      <c r="P70" s="276"/>
      <c r="T70" s="276"/>
      <c r="U70" s="276"/>
      <c r="AA70" s="276"/>
      <c r="AB70" s="276"/>
      <c r="AF70" s="276"/>
      <c r="AG70" s="276"/>
      <c r="AK70" s="276"/>
      <c r="AL70" s="276"/>
      <c r="AP70" s="276"/>
      <c r="AQ70" s="276"/>
    </row>
    <row r="71" spans="5:43" s="275" customFormat="1">
      <c r="E71" s="277"/>
      <c r="F71" s="276"/>
      <c r="J71" s="276"/>
      <c r="K71" s="276"/>
      <c r="O71" s="276"/>
      <c r="P71" s="276"/>
      <c r="T71" s="276"/>
      <c r="U71" s="276"/>
      <c r="AA71" s="276"/>
      <c r="AB71" s="276"/>
      <c r="AF71" s="276"/>
      <c r="AG71" s="276"/>
      <c r="AK71" s="276"/>
      <c r="AL71" s="276"/>
      <c r="AP71" s="276"/>
      <c r="AQ71" s="276"/>
    </row>
    <row r="72" spans="5:43" s="275" customFormat="1">
      <c r="E72" s="277"/>
      <c r="F72" s="276"/>
      <c r="J72" s="276"/>
      <c r="K72" s="276"/>
      <c r="O72" s="276"/>
      <c r="P72" s="276"/>
      <c r="T72" s="276"/>
      <c r="U72" s="276"/>
      <c r="AA72" s="276"/>
      <c r="AB72" s="276"/>
      <c r="AF72" s="276"/>
      <c r="AG72" s="276"/>
      <c r="AK72" s="276"/>
      <c r="AL72" s="276"/>
      <c r="AP72" s="276"/>
      <c r="AQ72" s="276"/>
    </row>
    <row r="73" spans="5:43" s="275" customFormat="1">
      <c r="E73" s="277"/>
      <c r="F73" s="276"/>
      <c r="J73" s="276"/>
      <c r="K73" s="276"/>
      <c r="O73" s="276"/>
      <c r="P73" s="276"/>
      <c r="T73" s="276"/>
      <c r="U73" s="276"/>
      <c r="AA73" s="276"/>
      <c r="AB73" s="276"/>
      <c r="AF73" s="276"/>
      <c r="AG73" s="276"/>
      <c r="AK73" s="276"/>
      <c r="AL73" s="276"/>
      <c r="AP73" s="276"/>
      <c r="AQ73" s="276"/>
    </row>
    <row r="74" spans="5:43" s="275" customFormat="1">
      <c r="E74" s="277"/>
      <c r="F74" s="276"/>
      <c r="J74" s="276"/>
      <c r="K74" s="276"/>
      <c r="O74" s="276"/>
      <c r="P74" s="276"/>
      <c r="T74" s="276"/>
      <c r="U74" s="276"/>
      <c r="AA74" s="276"/>
      <c r="AB74" s="276"/>
      <c r="AF74" s="276"/>
      <c r="AG74" s="276"/>
      <c r="AK74" s="276"/>
      <c r="AL74" s="276"/>
      <c r="AP74" s="276"/>
      <c r="AQ74" s="276"/>
    </row>
    <row r="75" spans="5:43" s="275" customFormat="1">
      <c r="E75" s="277"/>
      <c r="F75" s="276"/>
      <c r="J75" s="276"/>
      <c r="K75" s="276"/>
      <c r="O75" s="276"/>
      <c r="P75" s="276"/>
      <c r="T75" s="276"/>
      <c r="U75" s="276"/>
      <c r="AA75" s="276"/>
      <c r="AB75" s="276"/>
      <c r="AF75" s="276"/>
      <c r="AG75" s="276"/>
      <c r="AK75" s="276"/>
      <c r="AL75" s="276"/>
      <c r="AP75" s="276"/>
      <c r="AQ75" s="276"/>
    </row>
    <row r="76" spans="5:43" s="275" customFormat="1">
      <c r="E76" s="277"/>
      <c r="F76" s="276"/>
      <c r="J76" s="276"/>
      <c r="K76" s="276"/>
      <c r="O76" s="276"/>
      <c r="P76" s="276"/>
      <c r="T76" s="276"/>
      <c r="U76" s="276"/>
      <c r="AA76" s="276"/>
      <c r="AB76" s="276"/>
      <c r="AF76" s="276"/>
      <c r="AG76" s="276"/>
      <c r="AK76" s="276"/>
      <c r="AL76" s="276"/>
      <c r="AP76" s="276"/>
      <c r="AQ76" s="276"/>
    </row>
    <row r="77" spans="5:43" s="275" customFormat="1">
      <c r="E77" s="276"/>
      <c r="F77" s="276"/>
      <c r="J77" s="276"/>
      <c r="K77" s="276"/>
      <c r="O77" s="276"/>
      <c r="P77" s="276"/>
      <c r="T77" s="276"/>
      <c r="U77" s="276"/>
      <c r="AA77" s="276"/>
      <c r="AB77" s="276"/>
      <c r="AF77" s="276"/>
      <c r="AG77" s="276"/>
      <c r="AK77" s="276"/>
      <c r="AL77" s="276"/>
      <c r="AP77" s="276"/>
      <c r="AQ77" s="276"/>
    </row>
    <row r="78" spans="5:43" s="275" customFormat="1">
      <c r="E78" s="276"/>
      <c r="F78" s="276"/>
      <c r="J78" s="276"/>
      <c r="K78" s="276"/>
      <c r="O78" s="276"/>
      <c r="P78" s="276"/>
      <c r="T78" s="276"/>
      <c r="U78" s="276"/>
      <c r="AA78" s="276"/>
      <c r="AB78" s="276"/>
      <c r="AF78" s="276"/>
      <c r="AG78" s="276"/>
      <c r="AK78" s="276"/>
      <c r="AL78" s="276"/>
      <c r="AP78" s="276"/>
      <c r="AQ78" s="276"/>
    </row>
    <row r="79" spans="5:43" s="275" customFormat="1">
      <c r="E79" s="276"/>
      <c r="F79" s="276"/>
      <c r="J79" s="276"/>
      <c r="K79" s="276"/>
      <c r="O79" s="276"/>
      <c r="P79" s="276"/>
      <c r="T79" s="276"/>
      <c r="U79" s="276"/>
      <c r="AA79" s="276"/>
      <c r="AB79" s="276"/>
      <c r="AF79" s="276"/>
      <c r="AG79" s="276"/>
      <c r="AK79" s="276"/>
      <c r="AL79" s="276"/>
      <c r="AP79" s="276"/>
      <c r="AQ79" s="276"/>
    </row>
    <row r="80" spans="5:43" s="275" customFormat="1">
      <c r="E80" s="276"/>
      <c r="F80" s="276"/>
      <c r="J80" s="276"/>
      <c r="K80" s="276"/>
      <c r="O80" s="276"/>
      <c r="P80" s="276"/>
      <c r="T80" s="276"/>
      <c r="U80" s="276"/>
      <c r="AA80" s="276"/>
      <c r="AB80" s="276"/>
      <c r="AF80" s="276"/>
      <c r="AG80" s="276"/>
      <c r="AK80" s="276"/>
      <c r="AL80" s="276"/>
      <c r="AP80" s="276"/>
      <c r="AQ80" s="276"/>
    </row>
    <row r="81" spans="5:43" s="275" customFormat="1">
      <c r="E81" s="276"/>
      <c r="F81" s="276"/>
      <c r="J81" s="276"/>
      <c r="K81" s="276"/>
      <c r="O81" s="276"/>
      <c r="P81" s="276"/>
      <c r="T81" s="276"/>
      <c r="U81" s="276"/>
      <c r="AA81" s="276"/>
      <c r="AB81" s="276"/>
      <c r="AF81" s="276"/>
      <c r="AG81" s="276"/>
      <c r="AK81" s="276"/>
      <c r="AL81" s="276"/>
      <c r="AP81" s="276"/>
      <c r="AQ81" s="276"/>
    </row>
    <row r="82" spans="5:43" s="275" customFormat="1">
      <c r="E82" s="276"/>
      <c r="F82" s="276"/>
      <c r="J82" s="276"/>
      <c r="K82" s="276"/>
      <c r="O82" s="276"/>
      <c r="P82" s="276"/>
      <c r="T82" s="276"/>
      <c r="U82" s="276"/>
      <c r="AA82" s="276"/>
      <c r="AB82" s="276"/>
      <c r="AF82" s="276"/>
      <c r="AG82" s="276"/>
      <c r="AK82" s="276"/>
      <c r="AL82" s="276"/>
      <c r="AP82" s="276"/>
      <c r="AQ82" s="276"/>
    </row>
    <row r="83" spans="5:43" s="275" customFormat="1">
      <c r="E83" s="276"/>
      <c r="F83" s="276"/>
      <c r="J83" s="276"/>
      <c r="K83" s="276"/>
      <c r="O83" s="276"/>
      <c r="P83" s="276"/>
      <c r="T83" s="276"/>
      <c r="U83" s="276"/>
      <c r="AA83" s="276"/>
      <c r="AB83" s="276"/>
      <c r="AF83" s="276"/>
      <c r="AG83" s="276"/>
      <c r="AK83" s="276"/>
      <c r="AL83" s="276"/>
      <c r="AP83" s="276"/>
      <c r="AQ83" s="276"/>
    </row>
    <row r="84" spans="5:43" s="275" customFormat="1">
      <c r="E84" s="276"/>
      <c r="F84" s="276"/>
      <c r="J84" s="276"/>
      <c r="K84" s="276"/>
      <c r="O84" s="276"/>
      <c r="P84" s="276"/>
      <c r="T84" s="276"/>
      <c r="U84" s="276"/>
      <c r="AA84" s="276"/>
      <c r="AB84" s="276"/>
      <c r="AF84" s="276"/>
      <c r="AG84" s="276"/>
      <c r="AK84" s="276"/>
      <c r="AL84" s="276"/>
      <c r="AP84" s="276"/>
      <c r="AQ84" s="276"/>
    </row>
    <row r="85" spans="5:43" s="275" customFormat="1">
      <c r="E85" s="276"/>
      <c r="F85" s="276"/>
      <c r="J85" s="276"/>
      <c r="K85" s="276"/>
      <c r="O85" s="276"/>
      <c r="P85" s="276"/>
      <c r="T85" s="276"/>
      <c r="U85" s="276"/>
      <c r="AA85" s="276"/>
      <c r="AB85" s="276"/>
      <c r="AF85" s="276"/>
      <c r="AG85" s="276"/>
      <c r="AK85" s="276"/>
      <c r="AL85" s="276"/>
      <c r="AP85" s="276"/>
      <c r="AQ85" s="276"/>
    </row>
    <row r="86" spans="5:43" s="275" customFormat="1">
      <c r="E86" s="276"/>
      <c r="F86" s="276"/>
      <c r="J86" s="276"/>
      <c r="K86" s="276"/>
      <c r="O86" s="276"/>
      <c r="P86" s="276"/>
      <c r="T86" s="276"/>
      <c r="U86" s="276"/>
      <c r="AA86" s="276"/>
      <c r="AB86" s="276"/>
      <c r="AF86" s="276"/>
      <c r="AG86" s="276"/>
      <c r="AK86" s="276"/>
      <c r="AL86" s="276"/>
      <c r="AP86" s="276"/>
      <c r="AQ86" s="276"/>
    </row>
    <row r="87" spans="5:43" s="275" customFormat="1">
      <c r="E87" s="276"/>
      <c r="F87" s="276"/>
      <c r="J87" s="276"/>
      <c r="K87" s="276"/>
      <c r="O87" s="276"/>
      <c r="P87" s="276"/>
      <c r="T87" s="276"/>
      <c r="U87" s="276"/>
      <c r="AA87" s="276"/>
      <c r="AB87" s="276"/>
      <c r="AF87" s="276"/>
      <c r="AG87" s="276"/>
      <c r="AK87" s="276"/>
      <c r="AL87" s="276"/>
      <c r="AP87" s="276"/>
      <c r="AQ87" s="276"/>
    </row>
    <row r="88" spans="5:43" s="275" customFormat="1">
      <c r="E88" s="276"/>
      <c r="F88" s="276"/>
      <c r="J88" s="276"/>
      <c r="K88" s="276"/>
      <c r="O88" s="276"/>
      <c r="P88" s="276"/>
      <c r="T88" s="276"/>
      <c r="U88" s="276"/>
      <c r="AA88" s="276"/>
      <c r="AB88" s="276"/>
      <c r="AF88" s="276"/>
      <c r="AG88" s="276"/>
      <c r="AK88" s="276"/>
      <c r="AL88" s="276"/>
      <c r="AP88" s="276"/>
      <c r="AQ88" s="276"/>
    </row>
    <row r="89" spans="5:43" s="275" customFormat="1">
      <c r="E89" s="276"/>
      <c r="F89" s="276"/>
      <c r="J89" s="276"/>
      <c r="K89" s="276"/>
      <c r="O89" s="276"/>
      <c r="P89" s="276"/>
      <c r="T89" s="276"/>
      <c r="U89" s="276"/>
      <c r="AA89" s="276"/>
      <c r="AB89" s="276"/>
      <c r="AF89" s="276"/>
      <c r="AG89" s="276"/>
      <c r="AK89" s="276"/>
      <c r="AL89" s="276"/>
      <c r="AP89" s="276"/>
      <c r="AQ89" s="276"/>
    </row>
    <row r="90" spans="5:43" s="275" customFormat="1">
      <c r="E90" s="276"/>
      <c r="F90" s="276"/>
      <c r="J90" s="276"/>
      <c r="K90" s="276"/>
      <c r="O90" s="276"/>
      <c r="P90" s="276"/>
      <c r="T90" s="276"/>
      <c r="U90" s="276"/>
      <c r="AA90" s="276"/>
      <c r="AB90" s="276"/>
      <c r="AF90" s="276"/>
      <c r="AG90" s="276"/>
      <c r="AK90" s="276"/>
      <c r="AL90" s="276"/>
      <c r="AP90" s="276"/>
      <c r="AQ90" s="276"/>
    </row>
    <row r="91" spans="5:43" s="275" customFormat="1">
      <c r="E91" s="276"/>
      <c r="F91" s="276"/>
      <c r="J91" s="276"/>
      <c r="K91" s="276"/>
      <c r="O91" s="276"/>
      <c r="P91" s="276"/>
      <c r="T91" s="276"/>
      <c r="U91" s="276"/>
      <c r="AA91" s="276"/>
      <c r="AB91" s="276"/>
      <c r="AF91" s="276"/>
      <c r="AG91" s="276"/>
      <c r="AK91" s="276"/>
      <c r="AL91" s="276"/>
      <c r="AP91" s="276"/>
      <c r="AQ91" s="276"/>
    </row>
    <row r="92" spans="5:43" s="275" customFormat="1">
      <c r="E92" s="276"/>
      <c r="F92" s="276"/>
      <c r="J92" s="276"/>
      <c r="K92" s="276"/>
      <c r="O92" s="276"/>
      <c r="P92" s="276"/>
      <c r="T92" s="276"/>
      <c r="U92" s="276"/>
      <c r="AA92" s="276"/>
      <c r="AB92" s="276"/>
      <c r="AF92" s="276"/>
      <c r="AG92" s="276"/>
      <c r="AK92" s="276"/>
      <c r="AL92" s="276"/>
      <c r="AP92" s="276"/>
      <c r="AQ92" s="276"/>
    </row>
    <row r="93" spans="5:43" s="275" customFormat="1">
      <c r="E93" s="276"/>
      <c r="F93" s="276"/>
      <c r="J93" s="276"/>
      <c r="K93" s="276"/>
      <c r="O93" s="276"/>
      <c r="P93" s="276"/>
      <c r="T93" s="276"/>
      <c r="U93" s="276"/>
      <c r="AA93" s="276"/>
      <c r="AB93" s="276"/>
      <c r="AF93" s="276"/>
      <c r="AG93" s="276"/>
      <c r="AK93" s="276"/>
      <c r="AL93" s="276"/>
      <c r="AP93" s="276"/>
      <c r="AQ93" s="276"/>
    </row>
    <row r="94" spans="5:43" s="275" customFormat="1">
      <c r="E94" s="276"/>
      <c r="F94" s="276"/>
      <c r="J94" s="276"/>
      <c r="K94" s="276"/>
      <c r="O94" s="276"/>
      <c r="P94" s="276"/>
      <c r="T94" s="276"/>
      <c r="U94" s="276"/>
      <c r="AA94" s="276"/>
      <c r="AB94" s="276"/>
      <c r="AF94" s="276"/>
      <c r="AG94" s="276"/>
      <c r="AK94" s="276"/>
      <c r="AL94" s="276"/>
      <c r="AP94" s="276"/>
      <c r="AQ94" s="276"/>
    </row>
    <row r="95" spans="5:43" s="275" customFormat="1">
      <c r="E95" s="276"/>
      <c r="F95" s="276"/>
      <c r="J95" s="276"/>
      <c r="K95" s="276"/>
      <c r="O95" s="276"/>
      <c r="P95" s="276"/>
      <c r="T95" s="276"/>
      <c r="U95" s="276"/>
      <c r="AA95" s="276"/>
      <c r="AB95" s="276"/>
      <c r="AF95" s="276"/>
      <c r="AG95" s="276"/>
      <c r="AK95" s="276"/>
      <c r="AL95" s="276"/>
      <c r="AP95" s="276"/>
      <c r="AQ95" s="276"/>
    </row>
    <row r="96" spans="5:43" s="275" customFormat="1">
      <c r="E96" s="276"/>
      <c r="F96" s="276"/>
      <c r="J96" s="276"/>
      <c r="K96" s="276"/>
      <c r="O96" s="276"/>
      <c r="P96" s="276"/>
      <c r="T96" s="276"/>
      <c r="U96" s="276"/>
      <c r="AA96" s="276"/>
      <c r="AB96" s="276"/>
      <c r="AF96" s="276"/>
      <c r="AG96" s="276"/>
      <c r="AK96" s="276"/>
      <c r="AL96" s="276"/>
      <c r="AP96" s="276"/>
      <c r="AQ96" s="276"/>
    </row>
    <row r="97" spans="5:43" s="275" customFormat="1">
      <c r="E97" s="276"/>
      <c r="F97" s="276"/>
      <c r="J97" s="276"/>
      <c r="K97" s="276"/>
      <c r="O97" s="276"/>
      <c r="P97" s="276"/>
      <c r="T97" s="276"/>
      <c r="U97" s="276"/>
      <c r="AA97" s="276"/>
      <c r="AB97" s="276"/>
      <c r="AF97" s="276"/>
      <c r="AG97" s="276"/>
      <c r="AK97" s="276"/>
      <c r="AL97" s="276"/>
      <c r="AP97" s="276"/>
      <c r="AQ97" s="276"/>
    </row>
    <row r="98" spans="5:43" s="275" customFormat="1">
      <c r="E98" s="276"/>
      <c r="F98" s="276"/>
      <c r="J98" s="276"/>
      <c r="K98" s="276"/>
      <c r="O98" s="276"/>
      <c r="P98" s="276"/>
      <c r="T98" s="276"/>
      <c r="U98" s="276"/>
      <c r="AA98" s="276"/>
      <c r="AB98" s="276"/>
      <c r="AF98" s="276"/>
      <c r="AG98" s="276"/>
      <c r="AK98" s="276"/>
      <c r="AL98" s="276"/>
      <c r="AP98" s="276"/>
      <c r="AQ98" s="276"/>
    </row>
    <row r="99" spans="5:43" s="275" customFormat="1">
      <c r="E99" s="276"/>
      <c r="F99" s="276"/>
      <c r="J99" s="276"/>
      <c r="K99" s="276"/>
      <c r="O99" s="276"/>
      <c r="P99" s="276"/>
      <c r="T99" s="276"/>
      <c r="U99" s="276"/>
      <c r="AA99" s="276"/>
      <c r="AB99" s="276"/>
      <c r="AF99" s="276"/>
      <c r="AG99" s="276"/>
      <c r="AK99" s="276"/>
      <c r="AL99" s="276"/>
      <c r="AP99" s="276"/>
      <c r="AQ99" s="276"/>
    </row>
    <row r="100" spans="5:43" s="275" customFormat="1">
      <c r="E100" s="276"/>
      <c r="F100" s="276"/>
      <c r="J100" s="276"/>
      <c r="K100" s="276"/>
      <c r="O100" s="276"/>
      <c r="P100" s="276"/>
      <c r="T100" s="276"/>
      <c r="U100" s="276"/>
      <c r="AA100" s="276"/>
      <c r="AB100" s="276"/>
      <c r="AF100" s="276"/>
      <c r="AG100" s="276"/>
      <c r="AK100" s="276"/>
      <c r="AL100" s="276"/>
      <c r="AP100" s="276"/>
      <c r="AQ100" s="276"/>
    </row>
    <row r="101" spans="5:43" s="275" customFormat="1">
      <c r="E101" s="276"/>
      <c r="F101" s="276"/>
      <c r="J101" s="276"/>
      <c r="K101" s="276"/>
      <c r="O101" s="276"/>
      <c r="P101" s="276"/>
      <c r="T101" s="276"/>
      <c r="U101" s="276"/>
      <c r="AA101" s="276"/>
      <c r="AB101" s="276"/>
      <c r="AF101" s="276"/>
      <c r="AG101" s="276"/>
      <c r="AK101" s="276"/>
      <c r="AL101" s="276"/>
      <c r="AP101" s="276"/>
      <c r="AQ101" s="276"/>
    </row>
    <row r="102" spans="5:43" s="275" customFormat="1">
      <c r="E102" s="276"/>
      <c r="F102" s="276"/>
      <c r="J102" s="276"/>
      <c r="K102" s="276"/>
      <c r="O102" s="276"/>
      <c r="P102" s="276"/>
      <c r="T102" s="276"/>
      <c r="U102" s="276"/>
      <c r="AA102" s="276"/>
      <c r="AB102" s="276"/>
      <c r="AF102" s="276"/>
      <c r="AG102" s="276"/>
      <c r="AK102" s="276"/>
      <c r="AL102" s="276"/>
      <c r="AP102" s="276"/>
      <c r="AQ102" s="276"/>
    </row>
    <row r="103" spans="5:43" s="275" customFormat="1">
      <c r="E103" s="276"/>
      <c r="F103" s="276"/>
      <c r="J103" s="276"/>
      <c r="K103" s="276"/>
      <c r="O103" s="276"/>
      <c r="P103" s="276"/>
      <c r="T103" s="276"/>
      <c r="U103" s="276"/>
      <c r="AA103" s="276"/>
      <c r="AB103" s="276"/>
      <c r="AF103" s="276"/>
      <c r="AG103" s="276"/>
      <c r="AK103" s="276"/>
      <c r="AL103" s="276"/>
      <c r="AP103" s="276"/>
      <c r="AQ103" s="276"/>
    </row>
    <row r="104" spans="5:43" s="275" customFormat="1">
      <c r="E104" s="276"/>
      <c r="F104" s="276"/>
      <c r="J104" s="276"/>
      <c r="K104" s="276"/>
      <c r="O104" s="276"/>
      <c r="P104" s="276"/>
      <c r="T104" s="276"/>
      <c r="U104" s="276"/>
      <c r="AA104" s="276"/>
      <c r="AB104" s="276"/>
      <c r="AF104" s="276"/>
      <c r="AG104" s="276"/>
      <c r="AK104" s="276"/>
      <c r="AL104" s="276"/>
      <c r="AP104" s="276"/>
      <c r="AQ104" s="276"/>
    </row>
    <row r="105" spans="5:43" s="275" customFormat="1">
      <c r="E105" s="276"/>
      <c r="F105" s="276"/>
      <c r="J105" s="276"/>
      <c r="K105" s="276"/>
      <c r="O105" s="276"/>
      <c r="P105" s="276"/>
      <c r="T105" s="276"/>
      <c r="U105" s="276"/>
      <c r="AA105" s="276"/>
      <c r="AB105" s="276"/>
      <c r="AF105" s="276"/>
      <c r="AG105" s="276"/>
      <c r="AK105" s="276"/>
      <c r="AL105" s="276"/>
      <c r="AP105" s="276"/>
      <c r="AQ105" s="276"/>
    </row>
    <row r="106" spans="5:43" s="275" customFormat="1">
      <c r="E106" s="276"/>
      <c r="F106" s="276"/>
      <c r="J106" s="276"/>
      <c r="K106" s="276"/>
      <c r="O106" s="276"/>
      <c r="P106" s="276"/>
      <c r="T106" s="276"/>
      <c r="U106" s="276"/>
      <c r="AA106" s="276"/>
      <c r="AB106" s="276"/>
      <c r="AF106" s="276"/>
      <c r="AG106" s="276"/>
      <c r="AK106" s="276"/>
      <c r="AL106" s="276"/>
      <c r="AP106" s="276"/>
      <c r="AQ106" s="276"/>
    </row>
    <row r="107" spans="5:43" s="275" customFormat="1">
      <c r="E107" s="276"/>
      <c r="F107" s="276"/>
      <c r="J107" s="276"/>
      <c r="K107" s="276"/>
      <c r="O107" s="276"/>
      <c r="P107" s="276"/>
      <c r="T107" s="276"/>
      <c r="U107" s="276"/>
      <c r="AA107" s="276"/>
      <c r="AB107" s="276"/>
      <c r="AF107" s="276"/>
      <c r="AG107" s="276"/>
      <c r="AK107" s="276"/>
      <c r="AL107" s="276"/>
      <c r="AP107" s="276"/>
      <c r="AQ107" s="276"/>
    </row>
    <row r="108" spans="5:43" s="275" customFormat="1">
      <c r="E108" s="276"/>
      <c r="F108" s="276"/>
      <c r="J108" s="276"/>
      <c r="K108" s="276"/>
      <c r="O108" s="276"/>
      <c r="P108" s="276"/>
      <c r="T108" s="276"/>
      <c r="U108" s="276"/>
      <c r="AA108" s="276"/>
      <c r="AB108" s="276"/>
      <c r="AF108" s="276"/>
      <c r="AG108" s="276"/>
      <c r="AK108" s="276"/>
      <c r="AL108" s="276"/>
      <c r="AP108" s="276"/>
      <c r="AQ108" s="276"/>
    </row>
    <row r="109" spans="5:43" s="275" customFormat="1">
      <c r="E109" s="276"/>
      <c r="F109" s="276"/>
      <c r="J109" s="276"/>
      <c r="K109" s="276"/>
      <c r="O109" s="276"/>
      <c r="P109" s="276"/>
      <c r="T109" s="276"/>
      <c r="U109" s="276"/>
      <c r="AA109" s="276"/>
      <c r="AB109" s="276"/>
      <c r="AF109" s="276"/>
      <c r="AG109" s="276"/>
      <c r="AK109" s="276"/>
      <c r="AL109" s="276"/>
      <c r="AP109" s="276"/>
      <c r="AQ109" s="276"/>
    </row>
    <row r="110" spans="5:43" s="275" customFormat="1">
      <c r="E110" s="276"/>
      <c r="F110" s="276"/>
      <c r="J110" s="276"/>
      <c r="K110" s="276"/>
      <c r="O110" s="276"/>
      <c r="P110" s="276"/>
      <c r="T110" s="276"/>
      <c r="U110" s="276"/>
      <c r="AA110" s="276"/>
      <c r="AB110" s="276"/>
      <c r="AF110" s="276"/>
      <c r="AG110" s="276"/>
      <c r="AK110" s="276"/>
      <c r="AL110" s="276"/>
      <c r="AP110" s="276"/>
      <c r="AQ110" s="276"/>
    </row>
    <row r="111" spans="5:43" s="275" customFormat="1">
      <c r="E111" s="276"/>
      <c r="F111" s="276"/>
      <c r="J111" s="276"/>
      <c r="K111" s="276"/>
      <c r="O111" s="276"/>
      <c r="P111" s="276"/>
      <c r="T111" s="276"/>
      <c r="U111" s="276"/>
      <c r="AA111" s="276"/>
      <c r="AB111" s="276"/>
      <c r="AF111" s="276"/>
      <c r="AG111" s="276"/>
      <c r="AK111" s="276"/>
      <c r="AL111" s="276"/>
      <c r="AP111" s="276"/>
      <c r="AQ111" s="276"/>
    </row>
    <row r="112" spans="5:43" s="275" customFormat="1">
      <c r="E112" s="276"/>
      <c r="F112" s="276"/>
      <c r="J112" s="276"/>
      <c r="K112" s="276"/>
      <c r="O112" s="276"/>
      <c r="P112" s="276"/>
      <c r="T112" s="276"/>
      <c r="U112" s="276"/>
      <c r="AA112" s="276"/>
      <c r="AB112" s="276"/>
      <c r="AF112" s="276"/>
      <c r="AG112" s="276"/>
      <c r="AK112" s="276"/>
      <c r="AL112" s="276"/>
      <c r="AP112" s="276"/>
      <c r="AQ112" s="276"/>
    </row>
    <row r="113" spans="5:43" s="275" customFormat="1">
      <c r="E113" s="276"/>
      <c r="F113" s="276"/>
      <c r="J113" s="276"/>
      <c r="K113" s="276"/>
      <c r="O113" s="276"/>
      <c r="P113" s="276"/>
      <c r="T113" s="276"/>
      <c r="U113" s="276"/>
      <c r="AA113" s="276"/>
      <c r="AB113" s="276"/>
      <c r="AF113" s="276"/>
      <c r="AG113" s="276"/>
      <c r="AK113" s="276"/>
      <c r="AL113" s="276"/>
      <c r="AP113" s="276"/>
      <c r="AQ113" s="276"/>
    </row>
    <row r="114" spans="5:43" s="275" customFormat="1">
      <c r="E114" s="276"/>
      <c r="F114" s="276"/>
      <c r="J114" s="276"/>
      <c r="K114" s="276"/>
      <c r="O114" s="276"/>
      <c r="P114" s="276"/>
      <c r="T114" s="276"/>
      <c r="U114" s="276"/>
      <c r="AA114" s="276"/>
      <c r="AB114" s="276"/>
      <c r="AF114" s="276"/>
      <c r="AG114" s="276"/>
      <c r="AK114" s="276"/>
      <c r="AL114" s="276"/>
      <c r="AP114" s="276"/>
      <c r="AQ114" s="276"/>
    </row>
    <row r="115" spans="5:43" s="275" customFormat="1">
      <c r="E115" s="276"/>
      <c r="F115" s="276"/>
      <c r="J115" s="276"/>
      <c r="K115" s="276"/>
      <c r="O115" s="276"/>
      <c r="P115" s="276"/>
      <c r="T115" s="276"/>
      <c r="U115" s="276"/>
      <c r="AA115" s="276"/>
      <c r="AB115" s="276"/>
      <c r="AF115" s="276"/>
      <c r="AG115" s="276"/>
      <c r="AK115" s="276"/>
      <c r="AL115" s="276"/>
      <c r="AP115" s="276"/>
      <c r="AQ115" s="276"/>
    </row>
    <row r="116" spans="5:43" s="275" customFormat="1">
      <c r="E116" s="276"/>
      <c r="F116" s="276"/>
      <c r="J116" s="276"/>
      <c r="K116" s="276"/>
      <c r="O116" s="276"/>
      <c r="P116" s="276"/>
      <c r="T116" s="276"/>
      <c r="U116" s="276"/>
      <c r="AA116" s="276"/>
      <c r="AB116" s="276"/>
      <c r="AF116" s="276"/>
      <c r="AG116" s="276"/>
      <c r="AK116" s="276"/>
      <c r="AL116" s="276"/>
      <c r="AP116" s="276"/>
      <c r="AQ116" s="276"/>
    </row>
    <row r="117" spans="5:43" s="275" customFormat="1">
      <c r="E117" s="276"/>
      <c r="F117" s="276"/>
      <c r="J117" s="276"/>
      <c r="K117" s="276"/>
      <c r="O117" s="276"/>
      <c r="P117" s="276"/>
      <c r="T117" s="276"/>
      <c r="U117" s="276"/>
      <c r="AA117" s="276"/>
      <c r="AB117" s="276"/>
      <c r="AF117" s="276"/>
      <c r="AG117" s="276"/>
      <c r="AK117" s="276"/>
      <c r="AL117" s="276"/>
      <c r="AP117" s="276"/>
      <c r="AQ117" s="276"/>
    </row>
    <row r="118" spans="5:43" s="275" customFormat="1">
      <c r="E118" s="276"/>
      <c r="F118" s="276"/>
      <c r="J118" s="276"/>
      <c r="K118" s="276"/>
      <c r="O118" s="276"/>
      <c r="P118" s="276"/>
      <c r="T118" s="276"/>
      <c r="U118" s="276"/>
      <c r="AA118" s="276"/>
      <c r="AB118" s="276"/>
      <c r="AF118" s="276"/>
      <c r="AG118" s="276"/>
      <c r="AK118" s="276"/>
      <c r="AL118" s="276"/>
      <c r="AP118" s="276"/>
      <c r="AQ118" s="276"/>
    </row>
    <row r="119" spans="5:43" s="275" customFormat="1">
      <c r="E119" s="276"/>
      <c r="F119" s="276"/>
      <c r="J119" s="276"/>
      <c r="K119" s="276"/>
      <c r="O119" s="276"/>
      <c r="P119" s="276"/>
      <c r="T119" s="276"/>
      <c r="U119" s="276"/>
      <c r="AA119" s="276"/>
      <c r="AB119" s="276"/>
      <c r="AF119" s="276"/>
      <c r="AG119" s="276"/>
      <c r="AK119" s="276"/>
      <c r="AL119" s="276"/>
      <c r="AP119" s="276"/>
      <c r="AQ119" s="276"/>
    </row>
    <row r="120" spans="5:43" s="275" customFormat="1">
      <c r="E120" s="276"/>
      <c r="F120" s="276"/>
      <c r="J120" s="276"/>
      <c r="K120" s="276"/>
      <c r="O120" s="276"/>
      <c r="P120" s="276"/>
      <c r="T120" s="276"/>
      <c r="U120" s="276"/>
      <c r="AA120" s="276"/>
      <c r="AB120" s="276"/>
      <c r="AF120" s="276"/>
      <c r="AG120" s="276"/>
      <c r="AK120" s="276"/>
      <c r="AL120" s="276"/>
      <c r="AP120" s="276"/>
      <c r="AQ120" s="276"/>
    </row>
    <row r="121" spans="5:43" s="275" customFormat="1">
      <c r="E121" s="276"/>
      <c r="F121" s="276"/>
      <c r="J121" s="276"/>
      <c r="K121" s="276"/>
      <c r="O121" s="276"/>
      <c r="P121" s="276"/>
      <c r="T121" s="276"/>
      <c r="U121" s="276"/>
      <c r="AA121" s="276"/>
      <c r="AB121" s="276"/>
      <c r="AF121" s="276"/>
      <c r="AG121" s="276"/>
      <c r="AK121" s="276"/>
      <c r="AL121" s="276"/>
      <c r="AP121" s="276"/>
      <c r="AQ121" s="276"/>
    </row>
    <row r="122" spans="5:43" s="275" customFormat="1">
      <c r="E122" s="276"/>
      <c r="F122" s="276"/>
      <c r="J122" s="276"/>
      <c r="K122" s="276"/>
      <c r="O122" s="276"/>
      <c r="P122" s="276"/>
      <c r="T122" s="276"/>
      <c r="U122" s="276"/>
      <c r="AA122" s="276"/>
      <c r="AB122" s="276"/>
      <c r="AF122" s="276"/>
      <c r="AG122" s="276"/>
      <c r="AK122" s="276"/>
      <c r="AL122" s="276"/>
      <c r="AP122" s="276"/>
      <c r="AQ122" s="276"/>
    </row>
    <row r="123" spans="5:43" s="275" customFormat="1">
      <c r="E123" s="276"/>
      <c r="F123" s="276"/>
      <c r="J123" s="276"/>
      <c r="K123" s="276"/>
      <c r="O123" s="276"/>
      <c r="P123" s="276"/>
      <c r="T123" s="276"/>
      <c r="U123" s="276"/>
      <c r="AA123" s="276"/>
      <c r="AB123" s="276"/>
      <c r="AF123" s="276"/>
      <c r="AG123" s="276"/>
      <c r="AK123" s="276"/>
      <c r="AL123" s="276"/>
      <c r="AP123" s="276"/>
      <c r="AQ123" s="276"/>
    </row>
    <row r="124" spans="5:43" s="275" customFormat="1">
      <c r="E124" s="276"/>
      <c r="F124" s="276"/>
      <c r="J124" s="276"/>
      <c r="K124" s="276"/>
      <c r="O124" s="276"/>
      <c r="P124" s="276"/>
      <c r="T124" s="276"/>
      <c r="U124" s="276"/>
      <c r="AA124" s="276"/>
      <c r="AB124" s="276"/>
      <c r="AF124" s="276"/>
      <c r="AG124" s="276"/>
      <c r="AK124" s="276"/>
      <c r="AL124" s="276"/>
      <c r="AP124" s="276"/>
      <c r="AQ124" s="276"/>
    </row>
    <row r="125" spans="5:43" s="275" customFormat="1">
      <c r="E125" s="276"/>
      <c r="F125" s="276"/>
      <c r="J125" s="276"/>
      <c r="K125" s="276"/>
      <c r="O125" s="276"/>
      <c r="P125" s="276"/>
      <c r="T125" s="276"/>
      <c r="U125" s="276"/>
      <c r="AA125" s="276"/>
      <c r="AB125" s="276"/>
      <c r="AF125" s="276"/>
      <c r="AG125" s="276"/>
      <c r="AK125" s="276"/>
      <c r="AL125" s="276"/>
      <c r="AP125" s="276"/>
      <c r="AQ125" s="276"/>
    </row>
    <row r="126" spans="5:43" s="275" customFormat="1">
      <c r="E126" s="276"/>
      <c r="F126" s="276"/>
      <c r="J126" s="276"/>
      <c r="K126" s="276"/>
      <c r="O126" s="276"/>
      <c r="P126" s="276"/>
      <c r="T126" s="276"/>
      <c r="U126" s="276"/>
      <c r="AA126" s="276"/>
      <c r="AB126" s="276"/>
      <c r="AF126" s="276"/>
      <c r="AG126" s="276"/>
      <c r="AK126" s="276"/>
      <c r="AL126" s="276"/>
      <c r="AP126" s="276"/>
      <c r="AQ126" s="276"/>
    </row>
    <row r="127" spans="5:43" s="275" customFormat="1">
      <c r="E127" s="276"/>
      <c r="F127" s="276"/>
      <c r="J127" s="276"/>
      <c r="K127" s="276"/>
      <c r="O127" s="276"/>
      <c r="P127" s="276"/>
      <c r="T127" s="276"/>
      <c r="U127" s="276"/>
      <c r="AA127" s="276"/>
      <c r="AB127" s="276"/>
      <c r="AF127" s="276"/>
      <c r="AG127" s="276"/>
      <c r="AK127" s="276"/>
      <c r="AL127" s="276"/>
      <c r="AP127" s="276"/>
      <c r="AQ127" s="276"/>
    </row>
    <row r="128" spans="5:43" s="275" customFormat="1">
      <c r="E128" s="276"/>
      <c r="F128" s="276"/>
      <c r="J128" s="276"/>
      <c r="K128" s="276"/>
      <c r="O128" s="276"/>
      <c r="P128" s="276"/>
      <c r="T128" s="276"/>
      <c r="U128" s="276"/>
      <c r="AA128" s="276"/>
      <c r="AB128" s="276"/>
      <c r="AF128" s="276"/>
      <c r="AG128" s="276"/>
      <c r="AK128" s="276"/>
      <c r="AL128" s="276"/>
      <c r="AP128" s="276"/>
      <c r="AQ128" s="276"/>
    </row>
    <row r="129" spans="5:43" s="275" customFormat="1">
      <c r="E129" s="276"/>
      <c r="F129" s="276"/>
      <c r="J129" s="276"/>
      <c r="K129" s="276"/>
      <c r="O129" s="276"/>
      <c r="P129" s="276"/>
      <c r="T129" s="276"/>
      <c r="U129" s="276"/>
      <c r="AA129" s="276"/>
      <c r="AB129" s="276"/>
      <c r="AF129" s="276"/>
      <c r="AG129" s="276"/>
      <c r="AK129" s="276"/>
      <c r="AL129" s="276"/>
      <c r="AP129" s="276"/>
      <c r="AQ129" s="276"/>
    </row>
    <row r="130" spans="5:43" s="275" customFormat="1">
      <c r="E130" s="276"/>
      <c r="F130" s="276"/>
      <c r="J130" s="276"/>
      <c r="K130" s="276"/>
      <c r="O130" s="276"/>
      <c r="P130" s="276"/>
      <c r="T130" s="276"/>
      <c r="U130" s="276"/>
      <c r="AA130" s="276"/>
      <c r="AB130" s="276"/>
      <c r="AF130" s="276"/>
      <c r="AG130" s="276"/>
      <c r="AK130" s="276"/>
      <c r="AL130" s="276"/>
      <c r="AP130" s="276"/>
      <c r="AQ130" s="276"/>
    </row>
    <row r="131" spans="5:43" s="275" customFormat="1">
      <c r="E131" s="276"/>
      <c r="F131" s="276"/>
      <c r="J131" s="276"/>
      <c r="K131" s="276"/>
      <c r="O131" s="276"/>
      <c r="P131" s="276"/>
      <c r="T131" s="276"/>
      <c r="U131" s="276"/>
      <c r="AA131" s="276"/>
      <c r="AB131" s="276"/>
      <c r="AF131" s="276"/>
      <c r="AG131" s="276"/>
      <c r="AK131" s="276"/>
      <c r="AL131" s="276"/>
      <c r="AP131" s="276"/>
      <c r="AQ131" s="276"/>
    </row>
    <row r="132" spans="5:43" s="275" customFormat="1">
      <c r="E132" s="276"/>
      <c r="F132" s="276"/>
      <c r="J132" s="276"/>
      <c r="K132" s="276"/>
      <c r="O132" s="276"/>
      <c r="P132" s="276"/>
      <c r="T132" s="276"/>
      <c r="U132" s="276"/>
      <c r="AA132" s="276"/>
      <c r="AB132" s="276"/>
      <c r="AF132" s="276"/>
      <c r="AG132" s="276"/>
      <c r="AK132" s="276"/>
      <c r="AL132" s="276"/>
      <c r="AP132" s="276"/>
      <c r="AQ132" s="276"/>
    </row>
    <row r="133" spans="5:43" s="275" customFormat="1">
      <c r="E133" s="276"/>
      <c r="F133" s="276"/>
      <c r="J133" s="276"/>
      <c r="K133" s="276"/>
      <c r="O133" s="276"/>
      <c r="P133" s="276"/>
      <c r="T133" s="276"/>
      <c r="U133" s="276"/>
      <c r="AA133" s="276"/>
      <c r="AB133" s="276"/>
      <c r="AF133" s="276"/>
      <c r="AG133" s="276"/>
      <c r="AK133" s="276"/>
      <c r="AL133" s="276"/>
      <c r="AP133" s="276"/>
      <c r="AQ133" s="276"/>
    </row>
    <row r="134" spans="5:43" s="275" customFormat="1">
      <c r="E134" s="276"/>
      <c r="F134" s="276"/>
      <c r="J134" s="276"/>
      <c r="K134" s="276"/>
      <c r="O134" s="276"/>
      <c r="P134" s="276"/>
      <c r="T134" s="276"/>
      <c r="U134" s="276"/>
      <c r="AA134" s="276"/>
      <c r="AB134" s="276"/>
      <c r="AF134" s="276"/>
      <c r="AG134" s="276"/>
      <c r="AK134" s="276"/>
      <c r="AL134" s="276"/>
      <c r="AP134" s="276"/>
      <c r="AQ134" s="276"/>
    </row>
    <row r="135" spans="5:43" s="275" customFormat="1">
      <c r="E135" s="276"/>
      <c r="F135" s="276"/>
      <c r="J135" s="276"/>
      <c r="K135" s="276"/>
      <c r="O135" s="276"/>
      <c r="P135" s="276"/>
      <c r="T135" s="276"/>
      <c r="U135" s="276"/>
      <c r="AA135" s="276"/>
      <c r="AB135" s="276"/>
      <c r="AF135" s="276"/>
      <c r="AG135" s="276"/>
      <c r="AK135" s="276"/>
      <c r="AL135" s="276"/>
      <c r="AP135" s="276"/>
      <c r="AQ135" s="276"/>
    </row>
    <row r="136" spans="5:43" s="275" customFormat="1">
      <c r="E136" s="276"/>
      <c r="F136" s="276"/>
      <c r="J136" s="276"/>
      <c r="K136" s="276"/>
      <c r="O136" s="276"/>
      <c r="P136" s="276"/>
      <c r="T136" s="276"/>
      <c r="U136" s="276"/>
      <c r="AA136" s="276"/>
      <c r="AB136" s="276"/>
      <c r="AF136" s="276"/>
      <c r="AG136" s="276"/>
      <c r="AK136" s="276"/>
      <c r="AL136" s="276"/>
      <c r="AP136" s="276"/>
      <c r="AQ136" s="276"/>
    </row>
    <row r="137" spans="5:43" s="275" customFormat="1">
      <c r="E137" s="276"/>
      <c r="F137" s="276"/>
      <c r="J137" s="276"/>
      <c r="K137" s="276"/>
      <c r="O137" s="276"/>
      <c r="P137" s="276"/>
      <c r="T137" s="276"/>
      <c r="U137" s="276"/>
      <c r="AA137" s="276"/>
      <c r="AB137" s="276"/>
      <c r="AF137" s="276"/>
      <c r="AG137" s="276"/>
      <c r="AK137" s="276"/>
      <c r="AL137" s="276"/>
      <c r="AP137" s="276"/>
      <c r="AQ137" s="276"/>
    </row>
    <row r="138" spans="5:43" s="275" customFormat="1">
      <c r="E138" s="276"/>
      <c r="F138" s="276"/>
      <c r="J138" s="276"/>
      <c r="K138" s="276"/>
      <c r="O138" s="276"/>
      <c r="P138" s="276"/>
      <c r="T138" s="276"/>
      <c r="U138" s="276"/>
      <c r="AA138" s="276"/>
      <c r="AB138" s="276"/>
      <c r="AF138" s="276"/>
      <c r="AG138" s="276"/>
      <c r="AK138" s="276"/>
      <c r="AL138" s="276"/>
      <c r="AP138" s="276"/>
      <c r="AQ138" s="276"/>
    </row>
    <row r="139" spans="5:43" s="275" customFormat="1">
      <c r="E139" s="276"/>
      <c r="F139" s="276"/>
      <c r="J139" s="276"/>
      <c r="K139" s="276"/>
      <c r="O139" s="276"/>
      <c r="P139" s="276"/>
      <c r="T139" s="276"/>
      <c r="U139" s="276"/>
      <c r="AA139" s="276"/>
      <c r="AB139" s="276"/>
      <c r="AF139" s="276"/>
      <c r="AG139" s="276"/>
      <c r="AK139" s="276"/>
      <c r="AL139" s="276"/>
      <c r="AP139" s="276"/>
      <c r="AQ139" s="276"/>
    </row>
    <row r="140" spans="5:43" s="275" customFormat="1">
      <c r="E140" s="276"/>
      <c r="F140" s="276"/>
      <c r="J140" s="276"/>
      <c r="K140" s="276"/>
      <c r="O140" s="276"/>
      <c r="P140" s="276"/>
      <c r="T140" s="276"/>
      <c r="U140" s="276"/>
      <c r="AA140" s="276"/>
      <c r="AB140" s="276"/>
      <c r="AF140" s="276"/>
      <c r="AG140" s="276"/>
      <c r="AK140" s="276"/>
      <c r="AL140" s="276"/>
      <c r="AP140" s="276"/>
      <c r="AQ140" s="276"/>
    </row>
    <row r="141" spans="5:43" s="275" customFormat="1">
      <c r="E141" s="276"/>
      <c r="F141" s="276"/>
      <c r="J141" s="276"/>
      <c r="K141" s="276"/>
      <c r="O141" s="276"/>
      <c r="P141" s="276"/>
      <c r="T141" s="276"/>
      <c r="U141" s="276"/>
      <c r="AA141" s="276"/>
      <c r="AB141" s="276"/>
      <c r="AF141" s="276"/>
      <c r="AG141" s="276"/>
      <c r="AK141" s="276"/>
      <c r="AL141" s="276"/>
      <c r="AP141" s="276"/>
      <c r="AQ141" s="276"/>
    </row>
    <row r="142" spans="5:43" s="275" customFormat="1">
      <c r="E142" s="276"/>
      <c r="F142" s="276"/>
      <c r="J142" s="276"/>
      <c r="K142" s="276"/>
      <c r="O142" s="276"/>
      <c r="P142" s="276"/>
      <c r="T142" s="276"/>
      <c r="U142" s="276"/>
      <c r="AA142" s="276"/>
      <c r="AB142" s="276"/>
      <c r="AF142" s="276"/>
      <c r="AG142" s="276"/>
      <c r="AK142" s="276"/>
      <c r="AL142" s="276"/>
      <c r="AP142" s="276"/>
      <c r="AQ142" s="276"/>
    </row>
    <row r="143" spans="5:43" s="275" customFormat="1">
      <c r="E143" s="276"/>
      <c r="F143" s="276"/>
      <c r="J143" s="276"/>
      <c r="K143" s="276"/>
      <c r="O143" s="276"/>
      <c r="P143" s="276"/>
      <c r="T143" s="276"/>
      <c r="U143" s="276"/>
      <c r="AA143" s="276"/>
      <c r="AB143" s="276"/>
      <c r="AF143" s="276"/>
      <c r="AG143" s="276"/>
      <c r="AK143" s="276"/>
      <c r="AL143" s="276"/>
      <c r="AP143" s="276"/>
      <c r="AQ143" s="276"/>
    </row>
    <row r="144" spans="5:43" s="275" customFormat="1">
      <c r="E144" s="276"/>
      <c r="F144" s="276"/>
      <c r="J144" s="276"/>
      <c r="K144" s="276"/>
      <c r="O144" s="276"/>
      <c r="P144" s="276"/>
      <c r="T144" s="276"/>
      <c r="U144" s="276"/>
      <c r="AA144" s="276"/>
      <c r="AB144" s="276"/>
      <c r="AF144" s="276"/>
      <c r="AG144" s="276"/>
      <c r="AK144" s="276"/>
      <c r="AL144" s="276"/>
      <c r="AP144" s="276"/>
      <c r="AQ144" s="276"/>
    </row>
    <row r="145" spans="5:43" s="275" customFormat="1">
      <c r="E145" s="276"/>
      <c r="F145" s="276"/>
      <c r="J145" s="276"/>
      <c r="K145" s="276"/>
      <c r="O145" s="276"/>
      <c r="P145" s="276"/>
      <c r="T145" s="276"/>
      <c r="U145" s="276"/>
      <c r="AA145" s="276"/>
      <c r="AB145" s="276"/>
      <c r="AF145" s="276"/>
      <c r="AG145" s="276"/>
      <c r="AK145" s="276"/>
      <c r="AL145" s="276"/>
      <c r="AP145" s="276"/>
      <c r="AQ145" s="276"/>
    </row>
    <row r="146" spans="5:43" s="275" customFormat="1">
      <c r="E146" s="276"/>
      <c r="F146" s="276"/>
      <c r="J146" s="276"/>
      <c r="K146" s="276"/>
      <c r="O146" s="276"/>
      <c r="P146" s="276"/>
      <c r="T146" s="276"/>
      <c r="U146" s="276"/>
      <c r="AA146" s="276"/>
      <c r="AB146" s="276"/>
      <c r="AF146" s="276"/>
      <c r="AG146" s="276"/>
      <c r="AK146" s="276"/>
      <c r="AL146" s="276"/>
      <c r="AP146" s="276"/>
      <c r="AQ146" s="276"/>
    </row>
    <row r="147" spans="5:43" s="275" customFormat="1">
      <c r="E147" s="276"/>
      <c r="F147" s="276"/>
      <c r="J147" s="276"/>
      <c r="K147" s="276"/>
      <c r="O147" s="276"/>
      <c r="P147" s="276"/>
      <c r="T147" s="276"/>
      <c r="U147" s="276"/>
      <c r="AA147" s="276"/>
      <c r="AB147" s="276"/>
      <c r="AF147" s="276"/>
      <c r="AG147" s="276"/>
      <c r="AK147" s="276"/>
      <c r="AL147" s="276"/>
      <c r="AP147" s="276"/>
      <c r="AQ147" s="276"/>
    </row>
    <row r="148" spans="5:43" s="275" customFormat="1">
      <c r="E148" s="276"/>
      <c r="F148" s="276"/>
      <c r="J148" s="276"/>
      <c r="K148" s="276"/>
      <c r="O148" s="276"/>
      <c r="P148" s="276"/>
      <c r="T148" s="276"/>
      <c r="U148" s="276"/>
      <c r="AA148" s="276"/>
      <c r="AB148" s="276"/>
      <c r="AF148" s="276"/>
      <c r="AG148" s="276"/>
      <c r="AK148" s="276"/>
      <c r="AL148" s="276"/>
      <c r="AP148" s="276"/>
      <c r="AQ148" s="276"/>
    </row>
    <row r="149" spans="5:43" s="275" customFormat="1">
      <c r="E149" s="276"/>
      <c r="F149" s="276"/>
      <c r="J149" s="276"/>
      <c r="K149" s="276"/>
      <c r="O149" s="276"/>
      <c r="P149" s="276"/>
      <c r="T149" s="276"/>
      <c r="U149" s="276"/>
      <c r="AA149" s="276"/>
      <c r="AB149" s="276"/>
      <c r="AF149" s="276"/>
      <c r="AG149" s="276"/>
      <c r="AK149" s="276"/>
      <c r="AL149" s="276"/>
      <c r="AP149" s="276"/>
      <c r="AQ149" s="276"/>
    </row>
    <row r="150" spans="5:43" s="275" customFormat="1">
      <c r="E150" s="276"/>
      <c r="F150" s="276"/>
      <c r="J150" s="276"/>
      <c r="K150" s="276"/>
      <c r="O150" s="276"/>
      <c r="P150" s="276"/>
      <c r="T150" s="276"/>
      <c r="U150" s="276"/>
      <c r="AA150" s="276"/>
      <c r="AB150" s="276"/>
      <c r="AF150" s="276"/>
      <c r="AG150" s="276"/>
      <c r="AK150" s="276"/>
      <c r="AL150" s="276"/>
      <c r="AP150" s="276"/>
      <c r="AQ150" s="276"/>
    </row>
    <row r="151" spans="5:43" s="275" customFormat="1">
      <c r="E151" s="276"/>
      <c r="F151" s="276"/>
      <c r="J151" s="276"/>
      <c r="K151" s="276"/>
      <c r="O151" s="276"/>
      <c r="P151" s="276"/>
      <c r="T151" s="276"/>
      <c r="U151" s="276"/>
      <c r="AA151" s="276"/>
      <c r="AB151" s="276"/>
      <c r="AF151" s="276"/>
      <c r="AG151" s="276"/>
      <c r="AK151" s="276"/>
      <c r="AL151" s="276"/>
      <c r="AP151" s="276"/>
      <c r="AQ151" s="276"/>
    </row>
    <row r="152" spans="5:43" s="275" customFormat="1">
      <c r="E152" s="276"/>
      <c r="F152" s="276"/>
      <c r="J152" s="276"/>
      <c r="K152" s="276"/>
      <c r="O152" s="276"/>
      <c r="P152" s="276"/>
      <c r="T152" s="276"/>
      <c r="U152" s="276"/>
      <c r="AA152" s="276"/>
      <c r="AB152" s="276"/>
      <c r="AF152" s="276"/>
      <c r="AG152" s="276"/>
      <c r="AK152" s="276"/>
      <c r="AL152" s="276"/>
      <c r="AP152" s="276"/>
      <c r="AQ152" s="276"/>
    </row>
    <row r="153" spans="5:43" s="275" customFormat="1">
      <c r="E153" s="276"/>
      <c r="F153" s="276"/>
      <c r="J153" s="276"/>
      <c r="K153" s="276"/>
      <c r="O153" s="276"/>
      <c r="P153" s="276"/>
      <c r="T153" s="276"/>
      <c r="U153" s="276"/>
      <c r="AA153" s="276"/>
      <c r="AB153" s="276"/>
      <c r="AF153" s="276"/>
      <c r="AG153" s="276"/>
      <c r="AK153" s="276"/>
      <c r="AL153" s="276"/>
      <c r="AP153" s="276"/>
      <c r="AQ153" s="276"/>
    </row>
    <row r="154" spans="5:43" s="275" customFormat="1">
      <c r="E154" s="276"/>
      <c r="F154" s="276"/>
      <c r="J154" s="276"/>
      <c r="K154" s="276"/>
      <c r="O154" s="276"/>
      <c r="P154" s="276"/>
      <c r="T154" s="276"/>
      <c r="U154" s="276"/>
      <c r="AA154" s="276"/>
      <c r="AB154" s="276"/>
      <c r="AF154" s="276"/>
      <c r="AG154" s="276"/>
      <c r="AK154" s="276"/>
      <c r="AL154" s="276"/>
      <c r="AP154" s="276"/>
      <c r="AQ154" s="276"/>
    </row>
    <row r="155" spans="5:43" s="275" customFormat="1">
      <c r="E155" s="276"/>
      <c r="F155" s="276"/>
      <c r="J155" s="276"/>
      <c r="K155" s="276"/>
      <c r="O155" s="276"/>
      <c r="P155" s="276"/>
      <c r="T155" s="276"/>
      <c r="U155" s="276"/>
      <c r="AA155" s="276"/>
      <c r="AB155" s="276"/>
      <c r="AF155" s="276"/>
      <c r="AG155" s="276"/>
      <c r="AK155" s="276"/>
      <c r="AL155" s="276"/>
      <c r="AP155" s="276"/>
      <c r="AQ155" s="276"/>
    </row>
    <row r="156" spans="5:43" s="275" customFormat="1">
      <c r="E156" s="276"/>
      <c r="F156" s="276"/>
      <c r="J156" s="276"/>
      <c r="K156" s="276"/>
      <c r="O156" s="276"/>
      <c r="P156" s="276"/>
      <c r="T156" s="276"/>
      <c r="U156" s="276"/>
      <c r="AA156" s="276"/>
      <c r="AB156" s="276"/>
      <c r="AF156" s="276"/>
      <c r="AG156" s="276"/>
      <c r="AK156" s="276"/>
      <c r="AL156" s="276"/>
      <c r="AP156" s="276"/>
      <c r="AQ156" s="276"/>
    </row>
    <row r="157" spans="5:43" s="275" customFormat="1">
      <c r="E157" s="276"/>
      <c r="F157" s="276"/>
      <c r="J157" s="276"/>
      <c r="K157" s="276"/>
      <c r="O157" s="276"/>
      <c r="P157" s="276"/>
      <c r="T157" s="276"/>
      <c r="U157" s="276"/>
      <c r="AA157" s="276"/>
      <c r="AB157" s="276"/>
      <c r="AF157" s="276"/>
      <c r="AG157" s="276"/>
      <c r="AK157" s="276"/>
      <c r="AL157" s="276"/>
      <c r="AP157" s="276"/>
      <c r="AQ157" s="276"/>
    </row>
    <row r="158" spans="5:43" s="275" customFormat="1">
      <c r="E158" s="276"/>
      <c r="F158" s="276"/>
      <c r="J158" s="276"/>
      <c r="K158" s="276"/>
      <c r="O158" s="276"/>
      <c r="P158" s="276"/>
      <c r="T158" s="276"/>
      <c r="U158" s="276"/>
      <c r="AA158" s="276"/>
      <c r="AB158" s="276"/>
      <c r="AF158" s="276"/>
      <c r="AG158" s="276"/>
      <c r="AK158" s="276"/>
      <c r="AL158" s="276"/>
      <c r="AP158" s="276"/>
      <c r="AQ158" s="276"/>
    </row>
    <row r="159" spans="5:43" s="275" customFormat="1">
      <c r="E159" s="276"/>
      <c r="F159" s="276"/>
      <c r="J159" s="276"/>
      <c r="K159" s="276"/>
      <c r="O159" s="276"/>
      <c r="P159" s="276"/>
      <c r="T159" s="276"/>
      <c r="U159" s="276"/>
      <c r="AA159" s="276"/>
      <c r="AB159" s="276"/>
      <c r="AF159" s="276"/>
      <c r="AG159" s="276"/>
      <c r="AK159" s="276"/>
      <c r="AL159" s="276"/>
      <c r="AP159" s="276"/>
      <c r="AQ159" s="276"/>
    </row>
    <row r="160" spans="5:43" s="275" customFormat="1">
      <c r="E160" s="276"/>
      <c r="F160" s="276"/>
      <c r="J160" s="276"/>
      <c r="K160" s="276"/>
      <c r="O160" s="276"/>
      <c r="P160" s="276"/>
      <c r="T160" s="276"/>
      <c r="U160" s="276"/>
      <c r="AA160" s="276"/>
      <c r="AB160" s="276"/>
      <c r="AF160" s="276"/>
      <c r="AG160" s="276"/>
      <c r="AK160" s="276"/>
      <c r="AL160" s="276"/>
      <c r="AP160" s="276"/>
      <c r="AQ160" s="276"/>
    </row>
    <row r="161" spans="5:43" s="275" customFormat="1">
      <c r="E161" s="276"/>
      <c r="F161" s="276"/>
      <c r="J161" s="276"/>
      <c r="K161" s="276"/>
      <c r="O161" s="276"/>
      <c r="P161" s="276"/>
      <c r="T161" s="276"/>
      <c r="U161" s="276"/>
      <c r="AA161" s="276"/>
      <c r="AB161" s="276"/>
      <c r="AF161" s="276"/>
      <c r="AG161" s="276"/>
      <c r="AK161" s="276"/>
      <c r="AL161" s="276"/>
      <c r="AP161" s="276"/>
      <c r="AQ161" s="276"/>
    </row>
    <row r="162" spans="5:43" s="275" customFormat="1">
      <c r="E162" s="276"/>
      <c r="F162" s="276"/>
      <c r="J162" s="276"/>
      <c r="K162" s="276"/>
      <c r="O162" s="276"/>
      <c r="P162" s="276"/>
      <c r="T162" s="276"/>
      <c r="U162" s="276"/>
      <c r="AA162" s="276"/>
      <c r="AB162" s="276"/>
      <c r="AF162" s="276"/>
      <c r="AG162" s="276"/>
      <c r="AK162" s="276"/>
      <c r="AL162" s="276"/>
      <c r="AP162" s="276"/>
      <c r="AQ162" s="276"/>
    </row>
    <row r="163" spans="5:43" s="275" customFormat="1">
      <c r="E163" s="276"/>
      <c r="F163" s="276"/>
      <c r="J163" s="276"/>
      <c r="K163" s="276"/>
      <c r="O163" s="276"/>
      <c r="P163" s="276"/>
      <c r="T163" s="276"/>
      <c r="U163" s="276"/>
      <c r="AA163" s="276"/>
      <c r="AB163" s="276"/>
      <c r="AF163" s="276"/>
      <c r="AG163" s="276"/>
      <c r="AK163" s="276"/>
      <c r="AL163" s="276"/>
      <c r="AP163" s="276"/>
      <c r="AQ163" s="276"/>
    </row>
    <row r="164" spans="5:43" s="275" customFormat="1">
      <c r="E164" s="276"/>
      <c r="F164" s="276"/>
      <c r="J164" s="276"/>
      <c r="K164" s="276"/>
      <c r="O164" s="276"/>
      <c r="P164" s="276"/>
      <c r="T164" s="276"/>
      <c r="U164" s="276"/>
      <c r="AA164" s="276"/>
      <c r="AB164" s="276"/>
      <c r="AF164" s="276"/>
      <c r="AG164" s="276"/>
      <c r="AK164" s="276"/>
      <c r="AL164" s="276"/>
      <c r="AP164" s="276"/>
      <c r="AQ164" s="276"/>
    </row>
    <row r="165" spans="5:43" s="275" customFormat="1">
      <c r="E165" s="276"/>
      <c r="F165" s="276"/>
      <c r="J165" s="276"/>
      <c r="K165" s="276"/>
      <c r="O165" s="276"/>
      <c r="P165" s="276"/>
      <c r="T165" s="276"/>
      <c r="U165" s="276"/>
      <c r="AA165" s="276"/>
      <c r="AB165" s="276"/>
      <c r="AF165" s="276"/>
      <c r="AG165" s="276"/>
      <c r="AK165" s="276"/>
      <c r="AL165" s="276"/>
      <c r="AP165" s="276"/>
      <c r="AQ165" s="276"/>
    </row>
    <row r="166" spans="5:43" s="275" customFormat="1">
      <c r="E166" s="276"/>
      <c r="F166" s="276"/>
      <c r="J166" s="276"/>
      <c r="K166" s="276"/>
      <c r="O166" s="276"/>
      <c r="P166" s="276"/>
      <c r="T166" s="276"/>
      <c r="U166" s="276"/>
      <c r="AA166" s="276"/>
      <c r="AB166" s="276"/>
      <c r="AF166" s="276"/>
      <c r="AG166" s="276"/>
      <c r="AK166" s="276"/>
      <c r="AL166" s="276"/>
      <c r="AP166" s="276"/>
      <c r="AQ166" s="276"/>
    </row>
    <row r="167" spans="5:43" s="275" customFormat="1">
      <c r="E167" s="276"/>
      <c r="F167" s="276"/>
      <c r="J167" s="276"/>
      <c r="K167" s="276"/>
      <c r="O167" s="276"/>
      <c r="P167" s="276"/>
      <c r="T167" s="276"/>
      <c r="U167" s="276"/>
      <c r="AA167" s="276"/>
      <c r="AB167" s="276"/>
      <c r="AF167" s="276"/>
      <c r="AG167" s="276"/>
      <c r="AK167" s="276"/>
      <c r="AL167" s="276"/>
      <c r="AP167" s="276"/>
      <c r="AQ167" s="276"/>
    </row>
    <row r="168" spans="5:43" s="275" customFormat="1">
      <c r="E168" s="276"/>
      <c r="F168" s="276"/>
      <c r="J168" s="276"/>
      <c r="K168" s="276"/>
      <c r="O168" s="276"/>
      <c r="P168" s="276"/>
      <c r="T168" s="276"/>
      <c r="U168" s="276"/>
      <c r="AA168" s="276"/>
      <c r="AB168" s="276"/>
      <c r="AF168" s="276"/>
      <c r="AG168" s="276"/>
      <c r="AK168" s="276"/>
      <c r="AL168" s="276"/>
      <c r="AP168" s="276"/>
      <c r="AQ168" s="276"/>
    </row>
    <row r="169" spans="5:43" s="275" customFormat="1">
      <c r="E169" s="276"/>
      <c r="F169" s="276"/>
      <c r="J169" s="276"/>
      <c r="K169" s="276"/>
      <c r="O169" s="276"/>
      <c r="P169" s="276"/>
      <c r="T169" s="276"/>
      <c r="U169" s="276"/>
      <c r="AA169" s="276"/>
      <c r="AB169" s="276"/>
      <c r="AF169" s="276"/>
      <c r="AG169" s="276"/>
      <c r="AK169" s="276"/>
      <c r="AL169" s="276"/>
      <c r="AP169" s="276"/>
      <c r="AQ169" s="276"/>
    </row>
    <row r="170" spans="5:43" s="275" customFormat="1">
      <c r="E170" s="276"/>
      <c r="F170" s="276"/>
      <c r="J170" s="276"/>
      <c r="K170" s="276"/>
      <c r="O170" s="276"/>
      <c r="P170" s="276"/>
      <c r="T170" s="276"/>
      <c r="U170" s="276"/>
      <c r="AA170" s="276"/>
      <c r="AB170" s="276"/>
      <c r="AF170" s="276"/>
      <c r="AG170" s="276"/>
      <c r="AK170" s="276"/>
      <c r="AL170" s="276"/>
      <c r="AP170" s="276"/>
      <c r="AQ170" s="276"/>
    </row>
    <row r="171" spans="5:43" s="275" customFormat="1">
      <c r="E171" s="276"/>
      <c r="F171" s="276"/>
      <c r="J171" s="276"/>
      <c r="K171" s="276"/>
      <c r="O171" s="276"/>
      <c r="P171" s="276"/>
      <c r="T171" s="276"/>
      <c r="U171" s="276"/>
      <c r="AA171" s="276"/>
      <c r="AB171" s="276"/>
      <c r="AF171" s="276"/>
      <c r="AG171" s="276"/>
      <c r="AK171" s="276"/>
      <c r="AL171" s="276"/>
      <c r="AP171" s="276"/>
      <c r="AQ171" s="276"/>
    </row>
    <row r="172" spans="5:43" s="275" customFormat="1">
      <c r="E172" s="276"/>
      <c r="F172" s="276"/>
      <c r="J172" s="276"/>
      <c r="K172" s="276"/>
      <c r="O172" s="276"/>
      <c r="P172" s="276"/>
      <c r="T172" s="276"/>
      <c r="U172" s="276"/>
      <c r="AA172" s="276"/>
      <c r="AB172" s="276"/>
      <c r="AF172" s="276"/>
      <c r="AG172" s="276"/>
      <c r="AK172" s="276"/>
      <c r="AL172" s="276"/>
      <c r="AP172" s="276"/>
      <c r="AQ172" s="276"/>
    </row>
    <row r="173" spans="5:43" s="275" customFormat="1">
      <c r="E173" s="276"/>
      <c r="F173" s="276"/>
      <c r="J173" s="276"/>
      <c r="K173" s="276"/>
      <c r="O173" s="276"/>
      <c r="P173" s="276"/>
      <c r="T173" s="276"/>
      <c r="U173" s="276"/>
      <c r="AA173" s="276"/>
      <c r="AB173" s="276"/>
      <c r="AF173" s="276"/>
      <c r="AG173" s="276"/>
      <c r="AK173" s="276"/>
      <c r="AL173" s="276"/>
      <c r="AP173" s="276"/>
      <c r="AQ173" s="276"/>
    </row>
    <row r="174" spans="5:43" s="275" customFormat="1">
      <c r="E174" s="276"/>
      <c r="F174" s="276"/>
      <c r="J174" s="276"/>
      <c r="K174" s="276"/>
      <c r="O174" s="276"/>
      <c r="P174" s="276"/>
      <c r="T174" s="276"/>
      <c r="U174" s="276"/>
      <c r="AA174" s="276"/>
      <c r="AB174" s="276"/>
      <c r="AF174" s="276"/>
      <c r="AG174" s="276"/>
      <c r="AK174" s="276"/>
      <c r="AL174" s="276"/>
      <c r="AP174" s="276"/>
      <c r="AQ174" s="276"/>
    </row>
    <row r="175" spans="5:43" s="275" customFormat="1">
      <c r="E175" s="276"/>
      <c r="F175" s="276"/>
      <c r="J175" s="276"/>
      <c r="K175" s="276"/>
      <c r="O175" s="276"/>
      <c r="P175" s="276"/>
      <c r="T175" s="276"/>
      <c r="U175" s="276"/>
      <c r="AA175" s="276"/>
      <c r="AB175" s="276"/>
      <c r="AF175" s="276"/>
      <c r="AG175" s="276"/>
      <c r="AK175" s="276"/>
      <c r="AL175" s="276"/>
      <c r="AP175" s="276"/>
      <c r="AQ175" s="276"/>
    </row>
    <row r="176" spans="5:43" s="275" customFormat="1">
      <c r="E176" s="276"/>
      <c r="F176" s="276"/>
      <c r="J176" s="276"/>
      <c r="K176" s="276"/>
      <c r="O176" s="276"/>
      <c r="P176" s="276"/>
      <c r="T176" s="276"/>
      <c r="U176" s="276"/>
      <c r="AA176" s="276"/>
      <c r="AB176" s="276"/>
      <c r="AF176" s="276"/>
      <c r="AG176" s="276"/>
      <c r="AK176" s="276"/>
      <c r="AL176" s="276"/>
      <c r="AP176" s="276"/>
      <c r="AQ176" s="276"/>
    </row>
    <row r="177" spans="5:43" s="275" customFormat="1">
      <c r="E177" s="276"/>
      <c r="F177" s="276"/>
      <c r="J177" s="276"/>
      <c r="K177" s="276"/>
      <c r="O177" s="276"/>
      <c r="P177" s="276"/>
      <c r="T177" s="276"/>
      <c r="U177" s="276"/>
      <c r="AA177" s="276"/>
      <c r="AB177" s="276"/>
      <c r="AF177" s="276"/>
      <c r="AG177" s="276"/>
      <c r="AK177" s="276"/>
      <c r="AL177" s="276"/>
      <c r="AP177" s="276"/>
      <c r="AQ177" s="276"/>
    </row>
    <row r="178" spans="5:43" s="275" customFormat="1">
      <c r="E178" s="276"/>
      <c r="F178" s="276"/>
      <c r="J178" s="276"/>
      <c r="K178" s="276"/>
      <c r="O178" s="276"/>
      <c r="P178" s="276"/>
      <c r="T178" s="276"/>
      <c r="U178" s="276"/>
      <c r="AA178" s="276"/>
      <c r="AB178" s="276"/>
      <c r="AF178" s="276"/>
      <c r="AG178" s="276"/>
      <c r="AK178" s="276"/>
      <c r="AL178" s="276"/>
      <c r="AP178" s="276"/>
      <c r="AQ178" s="276"/>
    </row>
    <row r="179" spans="5:43" s="275" customFormat="1">
      <c r="E179" s="276"/>
      <c r="F179" s="276"/>
      <c r="J179" s="276"/>
      <c r="K179" s="276"/>
      <c r="O179" s="276"/>
      <c r="P179" s="276"/>
      <c r="T179" s="276"/>
      <c r="U179" s="276"/>
      <c r="AA179" s="276"/>
      <c r="AB179" s="276"/>
      <c r="AF179" s="276"/>
      <c r="AG179" s="276"/>
      <c r="AK179" s="276"/>
      <c r="AL179" s="276"/>
      <c r="AP179" s="276"/>
      <c r="AQ179" s="276"/>
    </row>
    <row r="180" spans="5:43" s="275" customFormat="1">
      <c r="E180" s="276"/>
      <c r="F180" s="276"/>
      <c r="J180" s="276"/>
      <c r="K180" s="276"/>
      <c r="O180" s="276"/>
      <c r="P180" s="276"/>
      <c r="T180" s="276"/>
      <c r="U180" s="276"/>
      <c r="AA180" s="276"/>
      <c r="AB180" s="276"/>
      <c r="AF180" s="276"/>
      <c r="AG180" s="276"/>
      <c r="AK180" s="276"/>
      <c r="AL180" s="276"/>
      <c r="AP180" s="276"/>
      <c r="AQ180" s="276"/>
    </row>
    <row r="181" spans="5:43" s="275" customFormat="1">
      <c r="E181" s="276"/>
      <c r="F181" s="276"/>
      <c r="J181" s="276"/>
      <c r="K181" s="276"/>
      <c r="O181" s="276"/>
      <c r="P181" s="276"/>
      <c r="T181" s="276"/>
      <c r="U181" s="276"/>
      <c r="AA181" s="276"/>
      <c r="AB181" s="276"/>
      <c r="AF181" s="276"/>
      <c r="AG181" s="276"/>
      <c r="AK181" s="276"/>
      <c r="AL181" s="276"/>
      <c r="AP181" s="276"/>
      <c r="AQ181" s="276"/>
    </row>
    <row r="182" spans="5:43" s="275" customFormat="1">
      <c r="E182" s="276"/>
      <c r="F182" s="276"/>
      <c r="J182" s="276"/>
      <c r="K182" s="276"/>
      <c r="O182" s="276"/>
      <c r="P182" s="276"/>
      <c r="T182" s="276"/>
      <c r="U182" s="276"/>
      <c r="AA182" s="276"/>
      <c r="AB182" s="276"/>
      <c r="AF182" s="276"/>
      <c r="AG182" s="276"/>
      <c r="AK182" s="276"/>
      <c r="AL182" s="276"/>
      <c r="AP182" s="276"/>
      <c r="AQ182" s="276"/>
    </row>
    <row r="183" spans="5:43" s="275" customFormat="1">
      <c r="E183" s="276"/>
      <c r="F183" s="276"/>
      <c r="J183" s="276"/>
      <c r="K183" s="276"/>
      <c r="O183" s="276"/>
      <c r="P183" s="276"/>
      <c r="T183" s="276"/>
      <c r="U183" s="276"/>
      <c r="AA183" s="276"/>
      <c r="AB183" s="276"/>
      <c r="AF183" s="276"/>
      <c r="AG183" s="276"/>
      <c r="AK183" s="276"/>
      <c r="AL183" s="276"/>
      <c r="AP183" s="276"/>
      <c r="AQ183" s="276"/>
    </row>
    <row r="184" spans="5:43" s="275" customFormat="1">
      <c r="E184" s="276"/>
      <c r="F184" s="276"/>
      <c r="J184" s="276"/>
      <c r="K184" s="276"/>
      <c r="O184" s="276"/>
      <c r="P184" s="276"/>
      <c r="T184" s="276"/>
      <c r="U184" s="276"/>
      <c r="AA184" s="276"/>
      <c r="AB184" s="276"/>
      <c r="AF184" s="276"/>
      <c r="AG184" s="276"/>
      <c r="AK184" s="276"/>
      <c r="AL184" s="276"/>
      <c r="AP184" s="276"/>
      <c r="AQ184" s="276"/>
    </row>
    <row r="185" spans="5:43" s="275" customFormat="1">
      <c r="E185" s="276"/>
      <c r="F185" s="276"/>
      <c r="J185" s="276"/>
      <c r="K185" s="276"/>
      <c r="O185" s="276"/>
      <c r="P185" s="276"/>
      <c r="T185" s="276"/>
      <c r="U185" s="276"/>
      <c r="AA185" s="276"/>
      <c r="AB185" s="276"/>
      <c r="AF185" s="276"/>
      <c r="AG185" s="276"/>
      <c r="AK185" s="276"/>
      <c r="AL185" s="276"/>
      <c r="AP185" s="276"/>
      <c r="AQ185" s="276"/>
    </row>
    <row r="186" spans="5:43" s="275" customFormat="1">
      <c r="E186" s="276"/>
      <c r="F186" s="276"/>
      <c r="J186" s="276"/>
      <c r="K186" s="276"/>
      <c r="O186" s="276"/>
      <c r="P186" s="276"/>
      <c r="T186" s="276"/>
      <c r="U186" s="276"/>
      <c r="AA186" s="276"/>
      <c r="AB186" s="276"/>
      <c r="AF186" s="276"/>
      <c r="AG186" s="276"/>
      <c r="AK186" s="276"/>
      <c r="AL186" s="276"/>
      <c r="AP186" s="276"/>
      <c r="AQ186" s="276"/>
    </row>
    <row r="187" spans="5:43" s="275" customFormat="1">
      <c r="E187" s="276"/>
      <c r="F187" s="276"/>
      <c r="J187" s="276"/>
      <c r="K187" s="276"/>
      <c r="O187" s="276"/>
      <c r="P187" s="276"/>
      <c r="T187" s="276"/>
      <c r="U187" s="276"/>
      <c r="AA187" s="276"/>
      <c r="AB187" s="276"/>
      <c r="AF187" s="276"/>
      <c r="AG187" s="276"/>
      <c r="AK187" s="276"/>
      <c r="AL187" s="276"/>
      <c r="AP187" s="276"/>
      <c r="AQ187" s="276"/>
    </row>
    <row r="188" spans="5:43" s="275" customFormat="1">
      <c r="E188" s="276"/>
      <c r="F188" s="276"/>
      <c r="J188" s="276"/>
      <c r="K188" s="276"/>
      <c r="O188" s="276"/>
      <c r="P188" s="276"/>
      <c r="T188" s="276"/>
      <c r="U188" s="276"/>
      <c r="AA188" s="276"/>
      <c r="AB188" s="276"/>
      <c r="AF188" s="276"/>
      <c r="AG188" s="276"/>
      <c r="AK188" s="276"/>
      <c r="AL188" s="276"/>
      <c r="AP188" s="276"/>
      <c r="AQ188" s="276"/>
    </row>
    <row r="189" spans="5:43" s="275" customFormat="1">
      <c r="E189" s="276"/>
      <c r="F189" s="276"/>
      <c r="J189" s="276"/>
      <c r="K189" s="276"/>
      <c r="O189" s="276"/>
      <c r="P189" s="276"/>
      <c r="T189" s="276"/>
      <c r="U189" s="276"/>
      <c r="AA189" s="276"/>
      <c r="AB189" s="276"/>
      <c r="AF189" s="276"/>
      <c r="AG189" s="276"/>
      <c r="AK189" s="276"/>
      <c r="AL189" s="276"/>
      <c r="AP189" s="276"/>
      <c r="AQ189" s="276"/>
    </row>
    <row r="190" spans="5:43" s="275" customFormat="1">
      <c r="E190" s="276"/>
      <c r="F190" s="276"/>
      <c r="J190" s="276"/>
      <c r="K190" s="276"/>
      <c r="O190" s="276"/>
      <c r="P190" s="276"/>
      <c r="T190" s="276"/>
      <c r="U190" s="276"/>
      <c r="AA190" s="276"/>
      <c r="AB190" s="276"/>
      <c r="AF190" s="276"/>
      <c r="AG190" s="276"/>
      <c r="AK190" s="276"/>
      <c r="AL190" s="276"/>
      <c r="AP190" s="276"/>
      <c r="AQ190" s="276"/>
    </row>
    <row r="191" spans="5:43" s="275" customFormat="1">
      <c r="E191" s="276"/>
      <c r="F191" s="276"/>
      <c r="J191" s="276"/>
      <c r="K191" s="276"/>
      <c r="O191" s="276"/>
      <c r="P191" s="276"/>
      <c r="T191" s="276"/>
      <c r="U191" s="276"/>
      <c r="AA191" s="276"/>
      <c r="AB191" s="276"/>
      <c r="AF191" s="276"/>
      <c r="AG191" s="276"/>
      <c r="AK191" s="276"/>
      <c r="AL191" s="276"/>
      <c r="AP191" s="276"/>
      <c r="AQ191" s="276"/>
    </row>
    <row r="192" spans="5:43" s="275" customFormat="1">
      <c r="E192" s="276"/>
      <c r="F192" s="276"/>
      <c r="J192" s="276"/>
      <c r="K192" s="276"/>
      <c r="O192" s="276"/>
      <c r="P192" s="276"/>
      <c r="T192" s="276"/>
      <c r="U192" s="276"/>
      <c r="AA192" s="276"/>
      <c r="AB192" s="276"/>
      <c r="AF192" s="276"/>
      <c r="AG192" s="276"/>
      <c r="AK192" s="276"/>
      <c r="AL192" s="276"/>
      <c r="AP192" s="276"/>
      <c r="AQ192" s="276"/>
    </row>
    <row r="193" spans="5:43" s="275" customFormat="1">
      <c r="E193" s="276"/>
      <c r="F193" s="276"/>
      <c r="J193" s="276"/>
      <c r="K193" s="276"/>
      <c r="O193" s="276"/>
      <c r="P193" s="276"/>
      <c r="T193" s="276"/>
      <c r="U193" s="276"/>
      <c r="AA193" s="276"/>
      <c r="AB193" s="276"/>
      <c r="AF193" s="276"/>
      <c r="AG193" s="276"/>
      <c r="AK193" s="276"/>
      <c r="AL193" s="276"/>
      <c r="AP193" s="276"/>
      <c r="AQ193" s="276"/>
    </row>
    <row r="194" spans="5:43" s="275" customFormat="1">
      <c r="E194" s="276"/>
      <c r="F194" s="276"/>
      <c r="J194" s="276"/>
      <c r="K194" s="276"/>
      <c r="O194" s="276"/>
      <c r="P194" s="276"/>
      <c r="T194" s="276"/>
      <c r="U194" s="276"/>
      <c r="AA194" s="276"/>
      <c r="AB194" s="276"/>
      <c r="AF194" s="276"/>
      <c r="AG194" s="276"/>
      <c r="AK194" s="276"/>
      <c r="AL194" s="276"/>
      <c r="AP194" s="276"/>
      <c r="AQ194" s="276"/>
    </row>
    <row r="195" spans="5:43" s="275" customFormat="1">
      <c r="E195" s="276"/>
      <c r="F195" s="276"/>
      <c r="J195" s="276"/>
      <c r="K195" s="276"/>
      <c r="O195" s="276"/>
      <c r="P195" s="276"/>
      <c r="T195" s="276"/>
      <c r="U195" s="276"/>
      <c r="AA195" s="276"/>
      <c r="AB195" s="276"/>
      <c r="AF195" s="276"/>
      <c r="AG195" s="276"/>
      <c r="AK195" s="276"/>
      <c r="AL195" s="276"/>
      <c r="AP195" s="276"/>
      <c r="AQ195" s="276"/>
    </row>
    <row r="196" spans="5:43" s="275" customFormat="1">
      <c r="E196" s="276"/>
      <c r="F196" s="276"/>
      <c r="J196" s="276"/>
      <c r="K196" s="276"/>
      <c r="O196" s="276"/>
      <c r="P196" s="276"/>
      <c r="T196" s="276"/>
      <c r="U196" s="276"/>
      <c r="AA196" s="276"/>
      <c r="AB196" s="276"/>
      <c r="AF196" s="276"/>
      <c r="AG196" s="276"/>
      <c r="AK196" s="276"/>
      <c r="AL196" s="276"/>
      <c r="AP196" s="276"/>
      <c r="AQ196" s="276"/>
    </row>
    <row r="197" spans="5:43" s="275" customFormat="1">
      <c r="E197" s="276"/>
      <c r="F197" s="276"/>
      <c r="J197" s="276"/>
      <c r="K197" s="276"/>
      <c r="O197" s="276"/>
      <c r="P197" s="276"/>
      <c r="T197" s="276"/>
      <c r="U197" s="276"/>
      <c r="AA197" s="276"/>
      <c r="AB197" s="276"/>
      <c r="AF197" s="276"/>
      <c r="AG197" s="276"/>
      <c r="AK197" s="276"/>
      <c r="AL197" s="276"/>
      <c r="AP197" s="276"/>
      <c r="AQ197" s="276"/>
    </row>
    <row r="198" spans="5:43" s="275" customFormat="1">
      <c r="E198" s="276"/>
      <c r="F198" s="276"/>
      <c r="J198" s="276"/>
      <c r="K198" s="276"/>
      <c r="O198" s="276"/>
      <c r="P198" s="276"/>
      <c r="T198" s="276"/>
      <c r="U198" s="276"/>
      <c r="AA198" s="276"/>
      <c r="AB198" s="276"/>
      <c r="AF198" s="276"/>
      <c r="AG198" s="276"/>
      <c r="AK198" s="276"/>
      <c r="AL198" s="276"/>
      <c r="AP198" s="276"/>
      <c r="AQ198" s="276"/>
    </row>
    <row r="199" spans="5:43" s="275" customFormat="1">
      <c r="E199" s="276"/>
      <c r="F199" s="276"/>
      <c r="J199" s="276"/>
      <c r="K199" s="276"/>
      <c r="O199" s="276"/>
      <c r="P199" s="276"/>
      <c r="T199" s="276"/>
      <c r="U199" s="276"/>
      <c r="AA199" s="276"/>
      <c r="AB199" s="276"/>
      <c r="AF199" s="276"/>
      <c r="AG199" s="276"/>
      <c r="AK199" s="276"/>
      <c r="AL199" s="276"/>
      <c r="AP199" s="276"/>
      <c r="AQ199" s="276"/>
    </row>
    <row r="200" spans="5:43" s="275" customFormat="1">
      <c r="E200" s="276"/>
      <c r="F200" s="276"/>
      <c r="J200" s="276"/>
      <c r="K200" s="276"/>
      <c r="O200" s="276"/>
      <c r="P200" s="276"/>
      <c r="T200" s="276"/>
      <c r="U200" s="276"/>
      <c r="AA200" s="276"/>
      <c r="AB200" s="276"/>
      <c r="AF200" s="276"/>
      <c r="AG200" s="276"/>
      <c r="AK200" s="276"/>
      <c r="AL200" s="276"/>
      <c r="AP200" s="276"/>
      <c r="AQ200" s="276"/>
    </row>
    <row r="201" spans="5:43" s="275" customFormat="1">
      <c r="E201" s="276"/>
      <c r="F201" s="276"/>
      <c r="J201" s="276"/>
      <c r="K201" s="276"/>
      <c r="O201" s="276"/>
      <c r="P201" s="276"/>
      <c r="T201" s="276"/>
      <c r="U201" s="276"/>
      <c r="AA201" s="276"/>
      <c r="AB201" s="276"/>
      <c r="AF201" s="276"/>
      <c r="AG201" s="276"/>
      <c r="AK201" s="276"/>
      <c r="AL201" s="276"/>
      <c r="AP201" s="276"/>
      <c r="AQ201" s="276"/>
    </row>
  </sheetData>
  <mergeCells count="28">
    <mergeCell ref="Y46:AB46"/>
    <mergeCell ref="AD46:AG46"/>
    <mergeCell ref="C21:F21"/>
    <mergeCell ref="H21:K21"/>
    <mergeCell ref="M21:P21"/>
    <mergeCell ref="R21:U21"/>
    <mergeCell ref="Y21:AB21"/>
    <mergeCell ref="AD21:AG21"/>
    <mergeCell ref="C38:D39"/>
    <mergeCell ref="C40:D41"/>
    <mergeCell ref="C42:D43"/>
    <mergeCell ref="E42:F43"/>
    <mergeCell ref="E40:F41"/>
    <mergeCell ref="E38:F39"/>
    <mergeCell ref="C2:U2"/>
    <mergeCell ref="Y2:AQ2"/>
    <mergeCell ref="Y20:AQ20"/>
    <mergeCell ref="C20:U20"/>
    <mergeCell ref="AN3:AQ3"/>
    <mergeCell ref="C3:F3"/>
    <mergeCell ref="H3:K3"/>
    <mergeCell ref="M3:P3"/>
    <mergeCell ref="AI21:AL21"/>
    <mergeCell ref="AN21:AQ21"/>
    <mergeCell ref="R3:U3"/>
    <mergeCell ref="Y3:AB3"/>
    <mergeCell ref="AD3:AG3"/>
    <mergeCell ref="AI3:AL3"/>
  </mergeCells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P1577"/>
  <sheetViews>
    <sheetView workbookViewId="0">
      <pane xSplit="8" ySplit="3" topLeftCell="I4" activePane="bottomRight" state="frozenSplit"/>
      <selection pane="topRight" activeCell="N1" sqref="N1"/>
      <selection pane="bottomLeft" activeCell="A7" sqref="A7"/>
      <selection pane="bottomRight" activeCell="I36" sqref="I36:J43"/>
    </sheetView>
  </sheetViews>
  <sheetFormatPr defaultRowHeight="15.75"/>
  <cols>
    <col min="1" max="1" width="2.5703125" style="211" customWidth="1"/>
    <col min="2" max="2" width="17.5703125" style="108" customWidth="1"/>
    <col min="3" max="3" width="7.42578125" style="108" customWidth="1"/>
    <col min="4" max="4" width="7.28515625" style="108" bestFit="1" customWidth="1"/>
    <col min="5" max="6" width="10.5703125" style="108" bestFit="1" customWidth="1"/>
    <col min="7" max="7" width="9.5703125" style="108" bestFit="1" customWidth="1"/>
    <col min="8" max="8" width="8.85546875" style="108" bestFit="1" customWidth="1"/>
    <col min="9" max="9" width="9.28515625" style="213" bestFit="1" customWidth="1"/>
    <col min="10" max="10" width="9.28515625" style="213" customWidth="1"/>
    <col min="11" max="11" width="10.140625" style="213" bestFit="1" customWidth="1"/>
    <col min="12" max="12" width="9.42578125" style="213" bestFit="1" customWidth="1"/>
    <col min="13" max="14" width="7.7109375" style="108" customWidth="1"/>
    <col min="15" max="15" width="10.5703125" style="108" customWidth="1"/>
    <col min="16" max="16" width="10.28515625" style="108" customWidth="1"/>
    <col min="17" max="17" width="11" style="108" bestFit="1" customWidth="1"/>
    <col min="18" max="18" width="10.85546875" style="108" bestFit="1" customWidth="1"/>
    <col min="19" max="20" width="9.7109375" style="108" bestFit="1" customWidth="1"/>
    <col min="21" max="21" width="9.7109375" style="108" customWidth="1"/>
    <col min="22" max="22" width="10.7109375" style="108" customWidth="1"/>
    <col min="23" max="23" width="9.7109375" style="108" customWidth="1"/>
    <col min="24" max="24" width="12.140625" style="108" customWidth="1"/>
    <col min="25" max="25" width="10.7109375" style="108" customWidth="1"/>
    <col min="26" max="26" width="11.5703125" style="108" customWidth="1"/>
    <col min="27" max="27" width="9.7109375" style="108" customWidth="1"/>
    <col min="28" max="28" width="12.28515625" style="108" customWidth="1"/>
    <col min="29" max="29" width="11.85546875" style="108" customWidth="1"/>
    <col min="30" max="32" width="9.7109375" style="108" customWidth="1"/>
    <col min="33" max="33" width="10.5703125" style="108" bestFit="1" customWidth="1"/>
    <col min="34" max="34" width="13.85546875" style="108" customWidth="1"/>
    <col min="35" max="35" width="13.5703125" style="108" customWidth="1"/>
    <col min="36" max="36" width="13.7109375" style="108" customWidth="1"/>
    <col min="37" max="55" width="9.7109375" style="108" customWidth="1"/>
    <col min="56" max="56" width="11.7109375" style="108" customWidth="1"/>
    <col min="57" max="57" width="10.5703125" style="211" bestFit="1" customWidth="1"/>
    <col min="58" max="58" width="9.85546875" style="211" customWidth="1"/>
    <col min="59" max="59" width="18" style="212" bestFit="1" customWidth="1"/>
    <col min="60" max="60" width="14.5703125" style="108" bestFit="1" customWidth="1"/>
    <col min="61" max="61" width="16.85546875" style="108" bestFit="1" customWidth="1"/>
    <col min="62" max="62" width="15.85546875" style="108" bestFit="1" customWidth="1"/>
    <col min="63" max="63" width="14.28515625" style="108" bestFit="1" customWidth="1"/>
    <col min="64" max="64" width="13.42578125" style="108" bestFit="1" customWidth="1"/>
    <col min="65" max="65" width="6" style="108" customWidth="1"/>
    <col min="66" max="66" width="17" style="108" bestFit="1" customWidth="1"/>
    <col min="67" max="67" width="16" style="108" bestFit="1" customWidth="1"/>
    <col min="68" max="68" width="13.42578125" style="211" bestFit="1" customWidth="1"/>
    <col min="69" max="120" width="9.140625" style="211"/>
    <col min="121" max="16384" width="9.140625" style="108"/>
  </cols>
  <sheetData>
    <row r="1" spans="2:67" s="211" customFormat="1" ht="16.5" thickBot="1">
      <c r="BG1" s="214"/>
    </row>
    <row r="2" spans="2:67">
      <c r="B2" s="274" t="s">
        <v>227</v>
      </c>
      <c r="C2" s="273"/>
      <c r="D2" s="273"/>
      <c r="E2" s="273"/>
      <c r="F2" s="273"/>
      <c r="G2" s="273"/>
      <c r="H2" s="273"/>
      <c r="I2" s="950" t="s">
        <v>226</v>
      </c>
      <c r="J2" s="951"/>
      <c r="K2" s="951"/>
      <c r="L2" s="952"/>
      <c r="M2" s="950" t="s">
        <v>225</v>
      </c>
      <c r="N2" s="951"/>
      <c r="O2" s="951"/>
      <c r="P2" s="952"/>
      <c r="Q2" s="950" t="s">
        <v>224</v>
      </c>
      <c r="R2" s="951"/>
      <c r="S2" s="951"/>
      <c r="T2" s="952"/>
      <c r="U2" s="950" t="s">
        <v>223</v>
      </c>
      <c r="V2" s="951"/>
      <c r="W2" s="951"/>
      <c r="X2" s="952"/>
      <c r="Y2" s="950" t="s">
        <v>222</v>
      </c>
      <c r="Z2" s="951"/>
      <c r="AA2" s="951"/>
      <c r="AB2" s="952"/>
      <c r="AC2" s="950" t="s">
        <v>221</v>
      </c>
      <c r="AD2" s="951"/>
      <c r="AE2" s="951"/>
      <c r="AF2" s="952"/>
      <c r="AG2" s="950" t="s">
        <v>220</v>
      </c>
      <c r="AH2" s="951"/>
      <c r="AI2" s="951"/>
      <c r="AJ2" s="952"/>
      <c r="AK2" s="950" t="s">
        <v>219</v>
      </c>
      <c r="AL2" s="951"/>
      <c r="AM2" s="951"/>
      <c r="AN2" s="952"/>
      <c r="AO2" s="950" t="s">
        <v>218</v>
      </c>
      <c r="AP2" s="951"/>
      <c r="AQ2" s="951"/>
      <c r="AR2" s="952"/>
      <c r="AS2" s="950" t="s">
        <v>217</v>
      </c>
      <c r="AT2" s="951"/>
      <c r="AU2" s="951"/>
      <c r="AV2" s="952"/>
      <c r="AW2" s="950" t="s">
        <v>216</v>
      </c>
      <c r="AX2" s="951"/>
      <c r="AY2" s="951"/>
      <c r="AZ2" s="952"/>
      <c r="BA2" s="950" t="s">
        <v>215</v>
      </c>
      <c r="BB2" s="951"/>
      <c r="BC2" s="951"/>
      <c r="BD2" s="952"/>
      <c r="BE2" s="408"/>
      <c r="BG2" s="949" t="s">
        <v>214</v>
      </c>
      <c r="BH2" s="949"/>
      <c r="BI2" s="949"/>
      <c r="BJ2" s="949"/>
      <c r="BK2" s="949"/>
      <c r="BL2" s="949"/>
      <c r="BM2" s="949"/>
      <c r="BN2" s="949"/>
      <c r="BO2" s="949"/>
    </row>
    <row r="3" spans="2:67">
      <c r="B3" s="272" t="s">
        <v>213</v>
      </c>
      <c r="C3" s="961" t="s">
        <v>212</v>
      </c>
      <c r="D3" s="962"/>
      <c r="E3" s="961" t="s">
        <v>211</v>
      </c>
      <c r="F3" s="962"/>
      <c r="G3" s="253" t="s">
        <v>210</v>
      </c>
      <c r="H3" s="253" t="s">
        <v>209</v>
      </c>
      <c r="I3" s="271" t="s">
        <v>1</v>
      </c>
      <c r="J3" s="270" t="s">
        <v>208</v>
      </c>
      <c r="K3" s="269" t="s">
        <v>207</v>
      </c>
      <c r="L3" s="268" t="s">
        <v>206</v>
      </c>
      <c r="M3" s="271" t="s">
        <v>1</v>
      </c>
      <c r="N3" s="270" t="s">
        <v>208</v>
      </c>
      <c r="O3" s="269" t="s">
        <v>207</v>
      </c>
      <c r="P3" s="268" t="s">
        <v>206</v>
      </c>
      <c r="Q3" s="271" t="s">
        <v>1</v>
      </c>
      <c r="R3" s="270" t="s">
        <v>208</v>
      </c>
      <c r="S3" s="269" t="s">
        <v>207</v>
      </c>
      <c r="T3" s="268" t="s">
        <v>206</v>
      </c>
      <c r="U3" s="271" t="s">
        <v>1</v>
      </c>
      <c r="V3" s="270" t="s">
        <v>208</v>
      </c>
      <c r="W3" s="269" t="s">
        <v>207</v>
      </c>
      <c r="X3" s="268" t="s">
        <v>206</v>
      </c>
      <c r="Y3" s="271" t="s">
        <v>1</v>
      </c>
      <c r="Z3" s="270" t="s">
        <v>208</v>
      </c>
      <c r="AA3" s="269" t="s">
        <v>207</v>
      </c>
      <c r="AB3" s="268" t="s">
        <v>206</v>
      </c>
      <c r="AC3" s="271" t="s">
        <v>1</v>
      </c>
      <c r="AD3" s="270" t="s">
        <v>208</v>
      </c>
      <c r="AE3" s="269" t="s">
        <v>207</v>
      </c>
      <c r="AF3" s="268" t="s">
        <v>206</v>
      </c>
      <c r="AG3" s="271" t="s">
        <v>1</v>
      </c>
      <c r="AH3" s="270" t="s">
        <v>208</v>
      </c>
      <c r="AI3" s="269" t="s">
        <v>207</v>
      </c>
      <c r="AJ3" s="268" t="s">
        <v>206</v>
      </c>
      <c r="AK3" s="271" t="s">
        <v>1</v>
      </c>
      <c r="AL3" s="270" t="s">
        <v>208</v>
      </c>
      <c r="AM3" s="269" t="s">
        <v>207</v>
      </c>
      <c r="AN3" s="268" t="s">
        <v>206</v>
      </c>
      <c r="AO3" s="271" t="s">
        <v>1</v>
      </c>
      <c r="AP3" s="270" t="s">
        <v>208</v>
      </c>
      <c r="AQ3" s="269" t="s">
        <v>207</v>
      </c>
      <c r="AR3" s="268" t="s">
        <v>206</v>
      </c>
      <c r="AS3" s="271" t="s">
        <v>1</v>
      </c>
      <c r="AT3" s="270" t="s">
        <v>208</v>
      </c>
      <c r="AU3" s="269" t="s">
        <v>207</v>
      </c>
      <c r="AV3" s="268" t="s">
        <v>206</v>
      </c>
      <c r="AW3" s="271" t="s">
        <v>1</v>
      </c>
      <c r="AX3" s="270" t="s">
        <v>208</v>
      </c>
      <c r="AY3" s="269" t="s">
        <v>207</v>
      </c>
      <c r="AZ3" s="268" t="s">
        <v>206</v>
      </c>
      <c r="BA3" s="271" t="s">
        <v>1</v>
      </c>
      <c r="BB3" s="270" t="s">
        <v>208</v>
      </c>
      <c r="BC3" s="269" t="s">
        <v>207</v>
      </c>
      <c r="BD3" s="268" t="s">
        <v>206</v>
      </c>
      <c r="BE3" s="408"/>
      <c r="BG3" s="256" t="s">
        <v>189</v>
      </c>
      <c r="BH3" s="255" t="s">
        <v>190</v>
      </c>
      <c r="BI3" s="267" t="s">
        <v>187</v>
      </c>
      <c r="BJ3" s="256" t="s">
        <v>205</v>
      </c>
      <c r="BK3" s="255" t="s">
        <v>190</v>
      </c>
      <c r="BL3" s="267" t="s">
        <v>187</v>
      </c>
      <c r="BM3" s="256" t="s">
        <v>205</v>
      </c>
      <c r="BN3" s="255" t="s">
        <v>190</v>
      </c>
      <c r="BO3" s="267" t="s">
        <v>187</v>
      </c>
    </row>
    <row r="4" spans="2:67">
      <c r="B4" s="953" t="s">
        <v>204</v>
      </c>
      <c r="C4" s="968">
        <f>SUM(G4:G11)</f>
        <v>201</v>
      </c>
      <c r="D4" s="955">
        <f>D21/D22</f>
        <v>0.50502512562814073</v>
      </c>
      <c r="E4" s="963">
        <f>K30</f>
        <v>207.58</v>
      </c>
      <c r="F4" s="955">
        <f>K30/K32</f>
        <v>0.71814564954160176</v>
      </c>
      <c r="G4" s="253">
        <f>COTAS!D17</f>
        <v>18</v>
      </c>
      <c r="H4" s="253" t="str">
        <f>COTAS!C3</f>
        <v>MXRF11</v>
      </c>
      <c r="I4" s="252">
        <v>13</v>
      </c>
      <c r="J4" s="251">
        <v>15</v>
      </c>
      <c r="K4" s="250">
        <f t="shared" ref="K4:K14" si="0">L4/J4</f>
        <v>0.1</v>
      </c>
      <c r="L4" s="249">
        <v>1.5</v>
      </c>
      <c r="M4" s="252">
        <v>14</v>
      </c>
      <c r="N4" s="251">
        <v>15</v>
      </c>
      <c r="O4" s="250">
        <f t="shared" ref="O4:O19" si="1">P4/N4</f>
        <v>0.11</v>
      </c>
      <c r="P4" s="249">
        <v>1.65</v>
      </c>
      <c r="Q4" s="252">
        <v>14</v>
      </c>
      <c r="R4" s="251">
        <v>15</v>
      </c>
      <c r="S4" s="250">
        <f t="shared" ref="S4:S19" si="2">T4/R4</f>
        <v>0.12000000000000001</v>
      </c>
      <c r="T4" s="249">
        <v>1.8</v>
      </c>
      <c r="U4" s="252">
        <v>17</v>
      </c>
      <c r="V4" s="251">
        <v>15</v>
      </c>
      <c r="W4" s="250">
        <f t="shared" ref="W4:W19" si="3">X4/V4</f>
        <v>0.12000000000000001</v>
      </c>
      <c r="X4" s="816">
        <v>1.8</v>
      </c>
      <c r="Y4" s="252">
        <v>15</v>
      </c>
      <c r="Z4" s="251">
        <v>15</v>
      </c>
      <c r="AA4" s="250">
        <f t="shared" ref="AA4:AA19" si="4">AB4/Z4</f>
        <v>0.12000000000000001</v>
      </c>
      <c r="AB4" s="249">
        <v>1.8</v>
      </c>
      <c r="AC4" s="252">
        <v>15</v>
      </c>
      <c r="AD4" s="251">
        <v>15</v>
      </c>
      <c r="AE4" s="250">
        <f t="shared" ref="AE4:AE19" si="5">AF4/AD4</f>
        <v>0.12000000000000001</v>
      </c>
      <c r="AF4" s="249">
        <v>1.8</v>
      </c>
      <c r="AG4" s="252">
        <v>14</v>
      </c>
      <c r="AH4" s="251">
        <v>15</v>
      </c>
      <c r="AI4" s="250">
        <f t="shared" ref="AI4:AI19" si="6">AJ4/AH4</f>
        <v>0.12000000000000001</v>
      </c>
      <c r="AJ4" s="249">
        <v>1.8</v>
      </c>
      <c r="AK4" s="252"/>
      <c r="AL4" s="251"/>
      <c r="AM4" s="250" t="e">
        <f t="shared" ref="AM4:AM19" si="7">AN4/AL4</f>
        <v>#DIV/0!</v>
      </c>
      <c r="AN4" s="249"/>
      <c r="AO4" s="252"/>
      <c r="AP4" s="251"/>
      <c r="AQ4" s="250" t="e">
        <f t="shared" ref="AQ4:AQ19" si="8">AR4/AP4</f>
        <v>#DIV/0!</v>
      </c>
      <c r="AR4" s="249"/>
      <c r="AS4" s="252"/>
      <c r="AT4" s="251"/>
      <c r="AU4" s="250" t="e">
        <f t="shared" ref="AU4:AU19" si="9">AV4/AT4</f>
        <v>#DIV/0!</v>
      </c>
      <c r="AV4" s="249"/>
      <c r="AW4" s="252"/>
      <c r="AX4" s="251"/>
      <c r="AY4" s="250" t="e">
        <f t="shared" ref="AY4:AY19" si="10">AZ4/AX4</f>
        <v>#DIV/0!</v>
      </c>
      <c r="AZ4" s="249"/>
      <c r="BA4" s="252"/>
      <c r="BB4" s="251"/>
      <c r="BC4" s="250" t="e">
        <f t="shared" ref="BC4:BC19" si="11">BD4/BB4</f>
        <v>#DIV/0!</v>
      </c>
      <c r="BD4" s="409"/>
      <c r="BE4" s="254">
        <f>BD4+AZ4+AV4+AR4+AJ4+AF4+AB4+X4+T4+P4+L4</f>
        <v>12.15</v>
      </c>
      <c r="BG4" s="256">
        <v>1</v>
      </c>
      <c r="BH4" s="255">
        <f t="shared" ref="BH4:BH15" si="12">BG50</f>
        <v>100000</v>
      </c>
      <c r="BI4" s="254">
        <f t="shared" ref="BI4:BI15" si="13">BJ50</f>
        <v>1120</v>
      </c>
      <c r="BJ4" s="256">
        <v>2</v>
      </c>
      <c r="BK4" s="255">
        <f>BG73</f>
        <v>155265.73438878916</v>
      </c>
      <c r="BL4" s="254">
        <f>BJ73</f>
        <v>1738.9762251544387</v>
      </c>
      <c r="BM4" s="256">
        <v>15</v>
      </c>
      <c r="BN4" s="255">
        <f t="shared" ref="BN4:BN15" si="14">VLOOKUP(BM4*12,BF50:BG877,2,FALSE)</f>
        <v>1300512.4900332398</v>
      </c>
      <c r="BO4" s="254">
        <f t="shared" ref="BO4:BO15" si="15">VLOOKUP(BM4*12,BH50:BJ877,3,FALSE)</f>
        <v>14565.739888372285</v>
      </c>
    </row>
    <row r="5" spans="2:67">
      <c r="B5" s="954"/>
      <c r="C5" s="966"/>
      <c r="D5" s="956"/>
      <c r="E5" s="956"/>
      <c r="F5" s="956"/>
      <c r="G5" s="253">
        <f>COTAS!I17</f>
        <v>0</v>
      </c>
      <c r="H5" s="253" t="str">
        <f>COTAS!H3</f>
        <v>KISU11</v>
      </c>
      <c r="I5" s="252">
        <v>13</v>
      </c>
      <c r="J5" s="251">
        <v>10</v>
      </c>
      <c r="K5" s="250">
        <f t="shared" si="0"/>
        <v>0.09</v>
      </c>
      <c r="L5" s="249">
        <v>0.9</v>
      </c>
      <c r="M5" s="252">
        <v>14</v>
      </c>
      <c r="N5" s="251">
        <v>10</v>
      </c>
      <c r="O5" s="250">
        <f t="shared" si="1"/>
        <v>7.4999999999999997E-2</v>
      </c>
      <c r="P5" s="249">
        <v>0.75</v>
      </c>
      <c r="Q5" s="252">
        <v>14</v>
      </c>
      <c r="R5" s="251">
        <v>10</v>
      </c>
      <c r="S5" s="250">
        <f t="shared" si="2"/>
        <v>7.4999999999999997E-2</v>
      </c>
      <c r="T5" s="249">
        <v>0.75</v>
      </c>
      <c r="U5" s="252">
        <v>17</v>
      </c>
      <c r="V5" s="251">
        <v>10</v>
      </c>
      <c r="W5" s="250">
        <f t="shared" si="3"/>
        <v>6.9999999999999993E-2</v>
      </c>
      <c r="X5" s="816">
        <v>0.7</v>
      </c>
      <c r="Y5" s="252">
        <v>15</v>
      </c>
      <c r="Z5" s="251">
        <v>10</v>
      </c>
      <c r="AA5" s="250">
        <f t="shared" si="4"/>
        <v>6.9999999999999993E-2</v>
      </c>
      <c r="AB5" s="249">
        <v>0.7</v>
      </c>
      <c r="AC5" s="252">
        <v>15</v>
      </c>
      <c r="AD5" s="251">
        <v>10</v>
      </c>
      <c r="AE5" s="250">
        <f t="shared" si="5"/>
        <v>6.9999999999999993E-2</v>
      </c>
      <c r="AF5" s="249">
        <v>0.7</v>
      </c>
      <c r="AG5" s="252">
        <v>14</v>
      </c>
      <c r="AH5" s="251">
        <v>15</v>
      </c>
      <c r="AI5" s="250">
        <f t="shared" si="6"/>
        <v>0.08</v>
      </c>
      <c r="AJ5" s="249">
        <v>1.2</v>
      </c>
      <c r="AK5" s="252"/>
      <c r="AL5" s="251"/>
      <c r="AM5" s="250" t="e">
        <f t="shared" si="7"/>
        <v>#DIV/0!</v>
      </c>
      <c r="AN5" s="249"/>
      <c r="AO5" s="252"/>
      <c r="AP5" s="251"/>
      <c r="AQ5" s="250" t="e">
        <f t="shared" si="8"/>
        <v>#DIV/0!</v>
      </c>
      <c r="AR5" s="249"/>
      <c r="AS5" s="252"/>
      <c r="AT5" s="251"/>
      <c r="AU5" s="250" t="e">
        <f t="shared" si="9"/>
        <v>#DIV/0!</v>
      </c>
      <c r="AV5" s="249"/>
      <c r="AW5" s="252"/>
      <c r="AX5" s="251"/>
      <c r="AY5" s="250" t="e">
        <f t="shared" si="10"/>
        <v>#DIV/0!</v>
      </c>
      <c r="AZ5" s="249"/>
      <c r="BA5" s="252"/>
      <c r="BB5" s="251"/>
      <c r="BC5" s="250" t="e">
        <f t="shared" si="11"/>
        <v>#DIV/0!</v>
      </c>
      <c r="BD5" s="409"/>
      <c r="BE5" s="254">
        <f>BD5+AZ5+AV5+AR5+AJ5+AF5+AB5+X5+T5+P5+L5</f>
        <v>5.7</v>
      </c>
      <c r="BG5" s="256">
        <v>2</v>
      </c>
      <c r="BH5" s="255">
        <f t="shared" si="12"/>
        <v>102120</v>
      </c>
      <c r="BI5" s="254">
        <f t="shared" si="13"/>
        <v>1143.7439999999999</v>
      </c>
      <c r="BJ5" s="256">
        <v>3</v>
      </c>
      <c r="BK5" s="255">
        <f>BG85</f>
        <v>190235.62667143819</v>
      </c>
      <c r="BL5" s="254">
        <f>BJ85</f>
        <v>2130.6390187201077</v>
      </c>
      <c r="BM5" s="256">
        <v>16</v>
      </c>
      <c r="BN5" s="255">
        <f t="shared" si="14"/>
        <v>1499248.1498016699</v>
      </c>
      <c r="BO5" s="254">
        <f t="shared" si="15"/>
        <v>16791.579277778703</v>
      </c>
    </row>
    <row r="6" spans="2:67">
      <c r="B6" s="954"/>
      <c r="C6" s="966"/>
      <c r="D6" s="956"/>
      <c r="E6" s="956"/>
      <c r="F6" s="956"/>
      <c r="G6" s="253">
        <f>COTAS!N17</f>
        <v>28</v>
      </c>
      <c r="H6" s="253" t="str">
        <f>COTAS!M3</f>
        <v>RZAK11</v>
      </c>
      <c r="I6" s="252">
        <v>20</v>
      </c>
      <c r="J6" s="251">
        <v>1</v>
      </c>
      <c r="K6" s="250">
        <f t="shared" si="0"/>
        <v>1.4</v>
      </c>
      <c r="L6" s="249">
        <v>1.4</v>
      </c>
      <c r="M6" s="252">
        <v>23</v>
      </c>
      <c r="N6" s="251">
        <v>1</v>
      </c>
      <c r="O6" s="250">
        <f t="shared" si="1"/>
        <v>1.2</v>
      </c>
      <c r="P6" s="249">
        <v>1.2</v>
      </c>
      <c r="Q6" s="252">
        <v>21</v>
      </c>
      <c r="R6" s="251">
        <v>4</v>
      </c>
      <c r="S6" s="250">
        <f t="shared" si="2"/>
        <v>1.2</v>
      </c>
      <c r="T6" s="249">
        <v>4.8</v>
      </c>
      <c r="U6" s="252">
        <v>25</v>
      </c>
      <c r="V6" s="251">
        <v>4</v>
      </c>
      <c r="W6" s="250">
        <f t="shared" si="3"/>
        <v>1.2</v>
      </c>
      <c r="X6" s="816">
        <v>4.8</v>
      </c>
      <c r="Y6" s="252">
        <v>22</v>
      </c>
      <c r="Z6" s="251">
        <v>4</v>
      </c>
      <c r="AA6" s="250">
        <f t="shared" si="4"/>
        <v>1.3</v>
      </c>
      <c r="AB6" s="249">
        <v>5.2</v>
      </c>
      <c r="AC6" s="252">
        <v>22</v>
      </c>
      <c r="AD6" s="251">
        <v>20</v>
      </c>
      <c r="AE6" s="250">
        <f t="shared" si="5"/>
        <v>1.25</v>
      </c>
      <c r="AF6" s="249">
        <v>25</v>
      </c>
      <c r="AG6" s="252">
        <v>21</v>
      </c>
      <c r="AH6" s="251">
        <v>26</v>
      </c>
      <c r="AI6" s="250">
        <f t="shared" si="6"/>
        <v>1.2</v>
      </c>
      <c r="AJ6" s="249">
        <v>31.2</v>
      </c>
      <c r="AK6" s="252"/>
      <c r="AL6" s="251"/>
      <c r="AM6" s="250" t="e">
        <f t="shared" si="7"/>
        <v>#DIV/0!</v>
      </c>
      <c r="AN6" s="249"/>
      <c r="AO6" s="252"/>
      <c r="AP6" s="251"/>
      <c r="AQ6" s="250" t="e">
        <f t="shared" si="8"/>
        <v>#DIV/0!</v>
      </c>
      <c r="AR6" s="249"/>
      <c r="AS6" s="252"/>
      <c r="AT6" s="251"/>
      <c r="AU6" s="250" t="e">
        <f t="shared" si="9"/>
        <v>#DIV/0!</v>
      </c>
      <c r="AV6" s="249"/>
      <c r="AW6" s="252"/>
      <c r="AX6" s="251"/>
      <c r="AY6" s="250" t="e">
        <f t="shared" si="10"/>
        <v>#DIV/0!</v>
      </c>
      <c r="AZ6" s="249"/>
      <c r="BA6" s="252"/>
      <c r="BB6" s="251"/>
      <c r="BC6" s="250" t="e">
        <f t="shared" si="11"/>
        <v>#DIV/0!</v>
      </c>
      <c r="BD6" s="409"/>
      <c r="BE6" s="254">
        <f t="shared" ref="BE6:BE19" si="16">BD6+AZ6+AV6+AR6+AJ6+AF6+AB6+X6+T6+P6+L6</f>
        <v>73.600000000000009</v>
      </c>
      <c r="BG6" s="256">
        <v>3</v>
      </c>
      <c r="BH6" s="255">
        <f t="shared" si="12"/>
        <v>104263.74400000001</v>
      </c>
      <c r="BI6" s="254">
        <f t="shared" si="13"/>
        <v>1167.7539328</v>
      </c>
      <c r="BJ6" s="256">
        <v>4</v>
      </c>
      <c r="BK6" s="255">
        <f>BG97</f>
        <v>230206.0755767868</v>
      </c>
      <c r="BL6" s="254">
        <f>BJ97</f>
        <v>2578.3080464600121</v>
      </c>
      <c r="BM6" s="256">
        <v>17</v>
      </c>
      <c r="BN6" s="255">
        <f t="shared" si="14"/>
        <v>1726402.2248053877</v>
      </c>
      <c r="BO6" s="254">
        <f t="shared" si="15"/>
        <v>19335.704917820342</v>
      </c>
    </row>
    <row r="7" spans="2:67">
      <c r="B7" s="954"/>
      <c r="C7" s="966"/>
      <c r="D7" s="956"/>
      <c r="E7" s="956"/>
      <c r="F7" s="956"/>
      <c r="G7" s="253">
        <f>COTAS!S17</f>
        <v>18</v>
      </c>
      <c r="H7" s="253" t="str">
        <f>COTAS!R3</f>
        <v>VGHF11</v>
      </c>
      <c r="I7" s="252">
        <v>6</v>
      </c>
      <c r="J7" s="251">
        <v>12</v>
      </c>
      <c r="K7" s="250">
        <f t="shared" si="0"/>
        <v>9.0000000000000011E-2</v>
      </c>
      <c r="L7" s="249">
        <v>1.08</v>
      </c>
      <c r="M7" s="252">
        <v>7</v>
      </c>
      <c r="N7" s="251">
        <v>17</v>
      </c>
      <c r="O7" s="250">
        <f t="shared" si="1"/>
        <v>9.9999999999999992E-2</v>
      </c>
      <c r="P7" s="249">
        <v>1.7</v>
      </c>
      <c r="Q7" s="252">
        <v>7</v>
      </c>
      <c r="R7" s="251">
        <v>17</v>
      </c>
      <c r="S7" s="250">
        <f t="shared" si="2"/>
        <v>9.9999999999999992E-2</v>
      </c>
      <c r="T7" s="249">
        <v>1.7</v>
      </c>
      <c r="U7" s="252">
        <v>10</v>
      </c>
      <c r="V7" s="251">
        <v>17</v>
      </c>
      <c r="W7" s="250">
        <f t="shared" si="3"/>
        <v>9.9999999999999992E-2</v>
      </c>
      <c r="X7" s="816">
        <v>1.7</v>
      </c>
      <c r="Y7" s="252">
        <v>8</v>
      </c>
      <c r="Z7" s="251">
        <v>17</v>
      </c>
      <c r="AA7" s="250">
        <f t="shared" si="4"/>
        <v>0.12</v>
      </c>
      <c r="AB7" s="249">
        <v>2.04</v>
      </c>
      <c r="AC7" s="252">
        <v>7</v>
      </c>
      <c r="AD7" s="251">
        <v>17</v>
      </c>
      <c r="AE7" s="250">
        <f t="shared" si="5"/>
        <v>0.11</v>
      </c>
      <c r="AF7" s="249">
        <v>1.87</v>
      </c>
      <c r="AG7" s="252">
        <v>7</v>
      </c>
      <c r="AH7" s="251">
        <v>18</v>
      </c>
      <c r="AI7" s="250">
        <f t="shared" si="6"/>
        <v>0.12000000000000001</v>
      </c>
      <c r="AJ7" s="249">
        <v>2.16</v>
      </c>
      <c r="AK7" s="252"/>
      <c r="AL7" s="251"/>
      <c r="AM7" s="250" t="e">
        <f t="shared" si="7"/>
        <v>#DIV/0!</v>
      </c>
      <c r="AN7" s="249"/>
      <c r="AO7" s="252"/>
      <c r="AP7" s="251"/>
      <c r="AQ7" s="250" t="e">
        <f t="shared" si="8"/>
        <v>#DIV/0!</v>
      </c>
      <c r="AR7" s="249"/>
      <c r="AS7" s="252"/>
      <c r="AT7" s="251"/>
      <c r="AU7" s="250" t="e">
        <f t="shared" si="9"/>
        <v>#DIV/0!</v>
      </c>
      <c r="AV7" s="249"/>
      <c r="AW7" s="252"/>
      <c r="AX7" s="251"/>
      <c r="AY7" s="250" t="e">
        <f t="shared" si="10"/>
        <v>#DIV/0!</v>
      </c>
      <c r="AZ7" s="249"/>
      <c r="BA7" s="252"/>
      <c r="BB7" s="251"/>
      <c r="BC7" s="250" t="e">
        <f t="shared" si="11"/>
        <v>#DIV/0!</v>
      </c>
      <c r="BD7" s="409"/>
      <c r="BE7" s="254">
        <f t="shared" si="16"/>
        <v>12.25</v>
      </c>
      <c r="BG7" s="256">
        <v>4</v>
      </c>
      <c r="BH7" s="255">
        <f t="shared" si="12"/>
        <v>106431.4979328</v>
      </c>
      <c r="BI7" s="254">
        <f t="shared" si="13"/>
        <v>1192.0327768473601</v>
      </c>
      <c r="BJ7" s="256">
        <v>5</v>
      </c>
      <c r="BK7" s="255">
        <f>BG109</f>
        <v>275892.14097218355</v>
      </c>
      <c r="BL7" s="254">
        <f>BJ109</f>
        <v>3089.9919788884558</v>
      </c>
      <c r="BM7" s="256">
        <v>18</v>
      </c>
      <c r="BN7" s="255">
        <f t="shared" si="14"/>
        <v>1986038.4362981743</v>
      </c>
      <c r="BO7" s="254">
        <f t="shared" si="15"/>
        <v>22243.63048653955</v>
      </c>
    </row>
    <row r="8" spans="2:67">
      <c r="B8" s="954"/>
      <c r="C8" s="966"/>
      <c r="D8" s="956"/>
      <c r="E8" s="956"/>
      <c r="F8" s="956"/>
      <c r="G8" s="253">
        <f>COTAS!Z35</f>
        <v>1</v>
      </c>
      <c r="H8" s="253" t="str">
        <f>COTAS!Y21</f>
        <v>IRDM11</v>
      </c>
      <c r="I8" s="252">
        <v>17</v>
      </c>
      <c r="J8" s="251">
        <v>1</v>
      </c>
      <c r="K8" s="250">
        <f t="shared" si="0"/>
        <v>0.89</v>
      </c>
      <c r="L8" s="249">
        <v>0.89</v>
      </c>
      <c r="M8" s="252">
        <v>16</v>
      </c>
      <c r="N8" s="251">
        <v>1</v>
      </c>
      <c r="O8" s="250">
        <f t="shared" si="1"/>
        <v>0.94</v>
      </c>
      <c r="P8" s="249">
        <v>0.94</v>
      </c>
      <c r="Q8" s="252">
        <v>16</v>
      </c>
      <c r="R8" s="251">
        <v>1</v>
      </c>
      <c r="S8" s="250">
        <f t="shared" si="2"/>
        <v>0.92</v>
      </c>
      <c r="T8" s="249">
        <v>0.92</v>
      </c>
      <c r="U8" s="252">
        <v>19</v>
      </c>
      <c r="V8" s="251">
        <v>1</v>
      </c>
      <c r="W8" s="250">
        <f t="shared" si="3"/>
        <v>0.92</v>
      </c>
      <c r="X8" s="816">
        <v>0.92</v>
      </c>
      <c r="Y8" s="252">
        <v>17</v>
      </c>
      <c r="Z8" s="251">
        <v>1</v>
      </c>
      <c r="AA8" s="250">
        <f t="shared" si="4"/>
        <v>0.91</v>
      </c>
      <c r="AB8" s="249">
        <v>0.91</v>
      </c>
      <c r="AC8" s="252">
        <v>19</v>
      </c>
      <c r="AD8" s="251">
        <v>1</v>
      </c>
      <c r="AE8" s="250">
        <f t="shared" si="5"/>
        <v>0.86</v>
      </c>
      <c r="AF8" s="249">
        <v>0.86</v>
      </c>
      <c r="AG8" s="252">
        <v>18</v>
      </c>
      <c r="AH8" s="251">
        <v>1</v>
      </c>
      <c r="AI8" s="250">
        <f t="shared" si="6"/>
        <v>0.87</v>
      </c>
      <c r="AJ8" s="249">
        <v>0.87</v>
      </c>
      <c r="AK8" s="252"/>
      <c r="AL8" s="251"/>
      <c r="AM8" s="250" t="e">
        <f t="shared" si="7"/>
        <v>#DIV/0!</v>
      </c>
      <c r="AN8" s="249"/>
      <c r="AO8" s="252"/>
      <c r="AP8" s="251"/>
      <c r="AQ8" s="250" t="e">
        <f t="shared" si="8"/>
        <v>#DIV/0!</v>
      </c>
      <c r="AR8" s="249"/>
      <c r="AS8" s="252"/>
      <c r="AT8" s="251"/>
      <c r="AU8" s="250" t="e">
        <f t="shared" si="9"/>
        <v>#DIV/0!</v>
      </c>
      <c r="AV8" s="249"/>
      <c r="AW8" s="252"/>
      <c r="AX8" s="251"/>
      <c r="AY8" s="250" t="e">
        <f t="shared" si="10"/>
        <v>#DIV/0!</v>
      </c>
      <c r="AZ8" s="249"/>
      <c r="BA8" s="252"/>
      <c r="BB8" s="251"/>
      <c r="BC8" s="250" t="e">
        <f t="shared" si="11"/>
        <v>#DIV/0!</v>
      </c>
      <c r="BD8" s="409"/>
      <c r="BE8" s="254">
        <f t="shared" si="16"/>
        <v>6.31</v>
      </c>
      <c r="BG8" s="256">
        <v>5</v>
      </c>
      <c r="BH8" s="255">
        <f t="shared" si="12"/>
        <v>108623.53070964737</v>
      </c>
      <c r="BI8" s="254">
        <f t="shared" si="13"/>
        <v>1216.5835439480504</v>
      </c>
      <c r="BJ8" s="256">
        <v>6</v>
      </c>
      <c r="BK8" s="255">
        <f>BG121</f>
        <v>328111.13346473896</v>
      </c>
      <c r="BL8" s="254">
        <f>BJ121</f>
        <v>3674.8446948050764</v>
      </c>
      <c r="BM8" s="256">
        <v>19</v>
      </c>
      <c r="BN8" s="255">
        <f t="shared" si="14"/>
        <v>2282801.6016396889</v>
      </c>
      <c r="BO8" s="254">
        <f t="shared" si="15"/>
        <v>25567.377938364516</v>
      </c>
    </row>
    <row r="9" spans="2:67">
      <c r="B9" s="954"/>
      <c r="C9" s="966"/>
      <c r="D9" s="956"/>
      <c r="E9" s="956"/>
      <c r="F9" s="956"/>
      <c r="G9" s="253">
        <f>COTAS!AE35</f>
        <v>111</v>
      </c>
      <c r="H9" s="253" t="str">
        <f>COTAS!AD21</f>
        <v>BIME11</v>
      </c>
      <c r="I9" s="252">
        <v>13</v>
      </c>
      <c r="J9" s="251">
        <v>10</v>
      </c>
      <c r="K9" s="250">
        <f t="shared" si="0"/>
        <v>6.9999999999999993E-2</v>
      </c>
      <c r="L9" s="249">
        <v>0.7</v>
      </c>
      <c r="M9" s="252">
        <v>14</v>
      </c>
      <c r="N9" s="251">
        <v>10</v>
      </c>
      <c r="O9" s="250">
        <f t="shared" si="1"/>
        <v>0.08</v>
      </c>
      <c r="P9" s="249">
        <v>0.8</v>
      </c>
      <c r="Q9" s="252">
        <v>14</v>
      </c>
      <c r="R9" s="251">
        <v>10</v>
      </c>
      <c r="S9" s="250">
        <f t="shared" si="2"/>
        <v>0.08</v>
      </c>
      <c r="T9" s="249">
        <v>0.8</v>
      </c>
      <c r="U9" s="252">
        <v>17</v>
      </c>
      <c r="V9" s="251">
        <v>35</v>
      </c>
      <c r="W9" s="250">
        <f t="shared" si="3"/>
        <v>0.09</v>
      </c>
      <c r="X9" s="816">
        <v>3.15</v>
      </c>
      <c r="Y9" s="252">
        <v>15</v>
      </c>
      <c r="Z9" s="251">
        <v>35</v>
      </c>
      <c r="AA9" s="250">
        <f t="shared" si="4"/>
        <v>0.09</v>
      </c>
      <c r="AB9" s="249">
        <v>3.15</v>
      </c>
      <c r="AC9" s="252">
        <v>15</v>
      </c>
      <c r="AD9" s="251">
        <v>96</v>
      </c>
      <c r="AE9" s="250">
        <f t="shared" si="5"/>
        <v>9.0000000000000011E-2</v>
      </c>
      <c r="AF9" s="249">
        <v>8.64</v>
      </c>
      <c r="AG9" s="252">
        <v>14</v>
      </c>
      <c r="AH9" s="251">
        <v>111</v>
      </c>
      <c r="AI9" s="250">
        <f t="shared" si="6"/>
        <v>0.08</v>
      </c>
      <c r="AJ9" s="249">
        <v>8.8800000000000008</v>
      </c>
      <c r="AK9" s="252"/>
      <c r="AL9" s="251"/>
      <c r="AM9" s="250" t="e">
        <f t="shared" si="7"/>
        <v>#DIV/0!</v>
      </c>
      <c r="AN9" s="249"/>
      <c r="AO9" s="252"/>
      <c r="AP9" s="251"/>
      <c r="AQ9" s="250" t="e">
        <f t="shared" si="8"/>
        <v>#DIV/0!</v>
      </c>
      <c r="AR9" s="249"/>
      <c r="AS9" s="252"/>
      <c r="AT9" s="251"/>
      <c r="AU9" s="250" t="e">
        <f t="shared" si="9"/>
        <v>#DIV/0!</v>
      </c>
      <c r="AV9" s="249"/>
      <c r="AW9" s="252"/>
      <c r="AX9" s="251"/>
      <c r="AY9" s="250" t="e">
        <f t="shared" si="10"/>
        <v>#DIV/0!</v>
      </c>
      <c r="AZ9" s="249"/>
      <c r="BA9" s="252"/>
      <c r="BB9" s="251"/>
      <c r="BC9" s="250" t="e">
        <f t="shared" si="11"/>
        <v>#DIV/0!</v>
      </c>
      <c r="BD9" s="409"/>
      <c r="BE9" s="254">
        <f t="shared" si="16"/>
        <v>26.12</v>
      </c>
      <c r="BG9" s="256">
        <v>6</v>
      </c>
      <c r="BH9" s="255">
        <f t="shared" si="12"/>
        <v>110840.11425359541</v>
      </c>
      <c r="BI9" s="254">
        <f t="shared" si="13"/>
        <v>1241.4092796402686</v>
      </c>
      <c r="BJ9" s="256">
        <v>7</v>
      </c>
      <c r="BK9" s="255">
        <f>BG133</f>
        <v>387797.23585368128</v>
      </c>
      <c r="BL9" s="254">
        <f>BJ133</f>
        <v>4343.32904156123</v>
      </c>
      <c r="BM9" s="256">
        <v>20</v>
      </c>
      <c r="BN9" s="255">
        <f t="shared" si="14"/>
        <v>2622000.7287458936</v>
      </c>
      <c r="BO9" s="254">
        <f t="shared" si="15"/>
        <v>29366.408161954008</v>
      </c>
    </row>
    <row r="10" spans="2:67">
      <c r="B10" s="954"/>
      <c r="C10" s="966"/>
      <c r="D10" s="956"/>
      <c r="E10" s="956"/>
      <c r="F10" s="956"/>
      <c r="G10" s="253">
        <f>COTAS!AJ35</f>
        <v>5</v>
      </c>
      <c r="H10" s="253" t="str">
        <f>COTAS!AI21</f>
        <v>CPTS11</v>
      </c>
      <c r="I10" s="252">
        <v>18</v>
      </c>
      <c r="J10" s="251">
        <v>1</v>
      </c>
      <c r="K10" s="250">
        <f t="shared" si="0"/>
        <v>0.57999999999999996</v>
      </c>
      <c r="L10" s="249">
        <v>0.57999999999999996</v>
      </c>
      <c r="M10" s="252">
        <v>17</v>
      </c>
      <c r="N10" s="251">
        <v>1</v>
      </c>
      <c r="O10" s="250">
        <f t="shared" si="1"/>
        <v>0.75</v>
      </c>
      <c r="P10" s="249">
        <v>0.75</v>
      </c>
      <c r="Q10" s="252">
        <v>17</v>
      </c>
      <c r="R10" s="251">
        <v>1</v>
      </c>
      <c r="S10" s="250">
        <f t="shared" si="2"/>
        <v>0.76</v>
      </c>
      <c r="T10" s="249">
        <v>0.76</v>
      </c>
      <c r="U10" s="252">
        <v>20</v>
      </c>
      <c r="V10" s="251">
        <v>5</v>
      </c>
      <c r="W10" s="250">
        <f t="shared" si="3"/>
        <v>0.71</v>
      </c>
      <c r="X10" s="816">
        <v>3.55</v>
      </c>
      <c r="Y10" s="252">
        <v>18</v>
      </c>
      <c r="Z10" s="251">
        <v>5</v>
      </c>
      <c r="AA10" s="250">
        <f t="shared" si="4"/>
        <v>0.80999999999999994</v>
      </c>
      <c r="AB10" s="249">
        <v>4.05</v>
      </c>
      <c r="AC10" s="252">
        <v>20</v>
      </c>
      <c r="AD10" s="251">
        <v>5</v>
      </c>
      <c r="AE10" s="250">
        <f t="shared" si="5"/>
        <v>0.85</v>
      </c>
      <c r="AF10" s="249">
        <v>4.25</v>
      </c>
      <c r="AG10" s="252">
        <v>19</v>
      </c>
      <c r="AH10" s="251">
        <v>5</v>
      </c>
      <c r="AI10" s="250">
        <f t="shared" si="6"/>
        <v>0.88000000000000012</v>
      </c>
      <c r="AJ10" s="249">
        <v>4.4000000000000004</v>
      </c>
      <c r="AK10" s="252"/>
      <c r="AL10" s="251"/>
      <c r="AM10" s="250" t="e">
        <f t="shared" si="7"/>
        <v>#DIV/0!</v>
      </c>
      <c r="AN10" s="249"/>
      <c r="AO10" s="252"/>
      <c r="AP10" s="251"/>
      <c r="AQ10" s="250" t="e">
        <f t="shared" si="8"/>
        <v>#DIV/0!</v>
      </c>
      <c r="AR10" s="249"/>
      <c r="AS10" s="252"/>
      <c r="AT10" s="251"/>
      <c r="AU10" s="250" t="e">
        <f t="shared" si="9"/>
        <v>#DIV/0!</v>
      </c>
      <c r="AV10" s="249"/>
      <c r="AW10" s="252"/>
      <c r="AX10" s="251"/>
      <c r="AY10" s="250" t="e">
        <f t="shared" si="10"/>
        <v>#DIV/0!</v>
      </c>
      <c r="AZ10" s="249"/>
      <c r="BA10" s="252"/>
      <c r="BB10" s="251"/>
      <c r="BC10" s="250" t="e">
        <f t="shared" si="11"/>
        <v>#DIV/0!</v>
      </c>
      <c r="BD10" s="409"/>
      <c r="BE10" s="254">
        <f t="shared" si="16"/>
        <v>18.34</v>
      </c>
      <c r="BG10" s="256">
        <v>7</v>
      </c>
      <c r="BH10" s="255">
        <f t="shared" si="12"/>
        <v>113081.52353323568</v>
      </c>
      <c r="BI10" s="254">
        <f t="shared" si="13"/>
        <v>1266.5130635722396</v>
      </c>
      <c r="BJ10" s="256">
        <v>8</v>
      </c>
      <c r="BK10" s="255">
        <f>BG145</f>
        <v>456018.21539270965</v>
      </c>
      <c r="BL10" s="254">
        <f>BJ145</f>
        <v>5107.4040123983477</v>
      </c>
      <c r="BM10" s="256">
        <v>25</v>
      </c>
      <c r="BN10" s="255">
        <f t="shared" si="14"/>
        <v>5200024.7433927422</v>
      </c>
      <c r="BO10" s="254">
        <f t="shared" si="15"/>
        <v>58240.277125998713</v>
      </c>
    </row>
    <row r="11" spans="2:67" ht="16.5" thickBot="1">
      <c r="B11" s="954"/>
      <c r="C11" s="966"/>
      <c r="D11" s="956"/>
      <c r="E11" s="957"/>
      <c r="F11" s="957"/>
      <c r="G11" s="266">
        <f>COTAS!AO35</f>
        <v>20</v>
      </c>
      <c r="H11" s="266" t="str">
        <f>COTAS!AN21</f>
        <v>URPR11</v>
      </c>
      <c r="I11" s="265">
        <v>13</v>
      </c>
      <c r="J11" s="264">
        <v>1</v>
      </c>
      <c r="K11" s="263">
        <f t="shared" si="0"/>
        <v>1.21</v>
      </c>
      <c r="L11" s="262">
        <v>1.21</v>
      </c>
      <c r="M11" s="265">
        <v>14</v>
      </c>
      <c r="N11" s="264">
        <v>1</v>
      </c>
      <c r="O11" s="263">
        <f t="shared" si="1"/>
        <v>1.25</v>
      </c>
      <c r="P11" s="262">
        <v>1.25</v>
      </c>
      <c r="Q11" s="265">
        <v>14</v>
      </c>
      <c r="R11" s="264">
        <v>1</v>
      </c>
      <c r="S11" s="263">
        <f t="shared" si="2"/>
        <v>1.3</v>
      </c>
      <c r="T11" s="262">
        <v>1.3</v>
      </c>
      <c r="U11" s="265">
        <v>17</v>
      </c>
      <c r="V11" s="264">
        <v>5</v>
      </c>
      <c r="W11" s="263">
        <f t="shared" si="3"/>
        <v>1.33</v>
      </c>
      <c r="X11" s="817">
        <v>6.65</v>
      </c>
      <c r="Y11" s="265">
        <v>15</v>
      </c>
      <c r="Z11" s="264">
        <v>5</v>
      </c>
      <c r="AA11" s="263">
        <f t="shared" si="4"/>
        <v>1.3199999999999998</v>
      </c>
      <c r="AB11" s="262">
        <v>6.6</v>
      </c>
      <c r="AC11" s="265">
        <v>15</v>
      </c>
      <c r="AD11" s="264">
        <v>8</v>
      </c>
      <c r="AE11" s="263">
        <f t="shared" si="5"/>
        <v>1.33</v>
      </c>
      <c r="AF11" s="262">
        <v>10.64</v>
      </c>
      <c r="AG11" s="265">
        <v>14</v>
      </c>
      <c r="AH11" s="264">
        <v>19</v>
      </c>
      <c r="AI11" s="263">
        <f t="shared" si="6"/>
        <v>1.34</v>
      </c>
      <c r="AJ11" s="262">
        <v>25.46</v>
      </c>
      <c r="AK11" s="265"/>
      <c r="AL11" s="264"/>
      <c r="AM11" s="263" t="e">
        <f t="shared" si="7"/>
        <v>#DIV/0!</v>
      </c>
      <c r="AN11" s="262"/>
      <c r="AO11" s="265"/>
      <c r="AP11" s="264"/>
      <c r="AQ11" s="263" t="e">
        <f t="shared" si="8"/>
        <v>#DIV/0!</v>
      </c>
      <c r="AR11" s="262"/>
      <c r="AS11" s="265"/>
      <c r="AT11" s="264"/>
      <c r="AU11" s="263" t="e">
        <f t="shared" si="9"/>
        <v>#DIV/0!</v>
      </c>
      <c r="AV11" s="262"/>
      <c r="AW11" s="265"/>
      <c r="AX11" s="264"/>
      <c r="AY11" s="263" t="e">
        <f t="shared" si="10"/>
        <v>#DIV/0!</v>
      </c>
      <c r="AZ11" s="262"/>
      <c r="BA11" s="265"/>
      <c r="BB11" s="264"/>
      <c r="BC11" s="263" t="e">
        <f t="shared" si="11"/>
        <v>#DIV/0!</v>
      </c>
      <c r="BD11" s="410"/>
      <c r="BE11" s="414">
        <f t="shared" si="16"/>
        <v>53.11</v>
      </c>
      <c r="BG11" s="256">
        <v>8</v>
      </c>
      <c r="BH11" s="255">
        <f t="shared" si="12"/>
        <v>115348.03659680793</v>
      </c>
      <c r="BI11" s="254">
        <f t="shared" si="13"/>
        <v>1291.8980098842487</v>
      </c>
      <c r="BJ11" s="256">
        <v>9</v>
      </c>
      <c r="BK11" s="255">
        <f>BG157</f>
        <v>533994.52583992644</v>
      </c>
      <c r="BL11" s="254">
        <f>BJ157</f>
        <v>5980.738689407176</v>
      </c>
      <c r="BM11" s="256">
        <v>30</v>
      </c>
      <c r="BN11" s="255">
        <f t="shared" si="14"/>
        <v>10229360.325350221</v>
      </c>
      <c r="BO11" s="254">
        <f t="shared" si="15"/>
        <v>114568.83564392247</v>
      </c>
    </row>
    <row r="12" spans="2:67">
      <c r="B12" s="980" t="s">
        <v>203</v>
      </c>
      <c r="C12" s="965">
        <f>SUM(G12:G19)</f>
        <v>197</v>
      </c>
      <c r="D12" s="982">
        <f>G21/D22</f>
        <v>0.49497487437185927</v>
      </c>
      <c r="E12" s="964">
        <f>K31</f>
        <v>81.47</v>
      </c>
      <c r="F12" s="982">
        <f>K31/K32</f>
        <v>0.28185435045839818</v>
      </c>
      <c r="G12" s="261">
        <f>COTAS!D35</f>
        <v>15</v>
      </c>
      <c r="H12" s="261" t="str">
        <f>COTAS!C21</f>
        <v>AIEC11</v>
      </c>
      <c r="I12" s="373"/>
      <c r="J12" s="374"/>
      <c r="K12" s="258"/>
      <c r="L12" s="375"/>
      <c r="M12" s="373"/>
      <c r="N12" s="374"/>
      <c r="O12" s="387" t="e">
        <f t="shared" si="1"/>
        <v>#DIV/0!</v>
      </c>
      <c r="P12" s="393"/>
      <c r="Q12" s="394"/>
      <c r="R12" s="395"/>
      <c r="S12" s="387" t="e">
        <f t="shared" si="2"/>
        <v>#DIV/0!</v>
      </c>
      <c r="T12" s="393"/>
      <c r="U12" s="260">
        <v>11</v>
      </c>
      <c r="V12" s="259">
        <v>2</v>
      </c>
      <c r="W12" s="258">
        <f t="shared" si="3"/>
        <v>0.76</v>
      </c>
      <c r="X12" s="257">
        <v>1.52</v>
      </c>
      <c r="Y12" s="260">
        <v>9</v>
      </c>
      <c r="Z12" s="259">
        <v>2</v>
      </c>
      <c r="AA12" s="258">
        <f t="shared" si="4"/>
        <v>0.77</v>
      </c>
      <c r="AB12" s="257">
        <v>1.54</v>
      </c>
      <c r="AC12" s="260">
        <v>1.5</v>
      </c>
      <c r="AD12" s="259">
        <v>7</v>
      </c>
      <c r="AE12" s="258">
        <f t="shared" si="5"/>
        <v>0.78</v>
      </c>
      <c r="AF12" s="257">
        <v>5.46</v>
      </c>
      <c r="AG12" s="260">
        <v>10</v>
      </c>
      <c r="AH12" s="259">
        <v>15</v>
      </c>
      <c r="AI12" s="258">
        <f t="shared" si="6"/>
        <v>0.77999999999999992</v>
      </c>
      <c r="AJ12" s="257">
        <v>11.7</v>
      </c>
      <c r="AK12" s="260"/>
      <c r="AL12" s="259"/>
      <c r="AM12" s="258" t="e">
        <f t="shared" si="7"/>
        <v>#DIV/0!</v>
      </c>
      <c r="AN12" s="257"/>
      <c r="AO12" s="260"/>
      <c r="AP12" s="259"/>
      <c r="AQ12" s="258" t="e">
        <f t="shared" si="8"/>
        <v>#DIV/0!</v>
      </c>
      <c r="AR12" s="257"/>
      <c r="AS12" s="260"/>
      <c r="AT12" s="259"/>
      <c r="AU12" s="258" t="e">
        <f t="shared" si="9"/>
        <v>#DIV/0!</v>
      </c>
      <c r="AV12" s="257"/>
      <c r="AW12" s="260"/>
      <c r="AX12" s="259"/>
      <c r="AY12" s="258" t="e">
        <f t="shared" si="10"/>
        <v>#DIV/0!</v>
      </c>
      <c r="AZ12" s="257"/>
      <c r="BA12" s="260"/>
      <c r="BB12" s="259"/>
      <c r="BC12" s="258" t="e">
        <f t="shared" si="11"/>
        <v>#DIV/0!</v>
      </c>
      <c r="BD12" s="411"/>
      <c r="BE12" s="595">
        <f t="shared" si="16"/>
        <v>20.22</v>
      </c>
      <c r="BG12" s="256">
        <v>9</v>
      </c>
      <c r="BH12" s="255">
        <f t="shared" si="12"/>
        <v>117639.93460669217</v>
      </c>
      <c r="BI12" s="254">
        <f t="shared" si="13"/>
        <v>1317.5672675949522</v>
      </c>
      <c r="BJ12" s="256">
        <v>10</v>
      </c>
      <c r="BK12" s="255">
        <f>BG169</f>
        <v>623121.14102554193</v>
      </c>
      <c r="BL12" s="254">
        <f>BJ169</f>
        <v>6978.9567794860695</v>
      </c>
      <c r="BM12" s="256">
        <v>35</v>
      </c>
      <c r="BN12" s="255">
        <f t="shared" si="14"/>
        <v>20040834.637550727</v>
      </c>
      <c r="BO12" s="254">
        <f t="shared" si="15"/>
        <v>224457.34794056814</v>
      </c>
    </row>
    <row r="13" spans="2:67">
      <c r="B13" s="954"/>
      <c r="C13" s="966"/>
      <c r="D13" s="956"/>
      <c r="E13" s="956"/>
      <c r="F13" s="956"/>
      <c r="G13" s="253">
        <f>COTAS!I35</f>
        <v>0</v>
      </c>
      <c r="H13" s="253" t="str">
        <f>COTAS!H21</f>
        <v>BBPO11</v>
      </c>
      <c r="I13" s="252">
        <v>13</v>
      </c>
      <c r="J13" s="251">
        <v>1</v>
      </c>
      <c r="K13" s="250">
        <f t="shared" si="0"/>
        <v>0.92</v>
      </c>
      <c r="L13" s="249">
        <v>0.92</v>
      </c>
      <c r="M13" s="252">
        <v>14</v>
      </c>
      <c r="N13" s="251">
        <v>2</v>
      </c>
      <c r="O13" s="250">
        <f t="shared" si="1"/>
        <v>0.9</v>
      </c>
      <c r="P13" s="249">
        <v>1.8</v>
      </c>
      <c r="Q13" s="252">
        <v>14</v>
      </c>
      <c r="R13" s="251">
        <v>2</v>
      </c>
      <c r="S13" s="250">
        <f t="shared" si="2"/>
        <v>0.9</v>
      </c>
      <c r="T13" s="249">
        <v>1.8</v>
      </c>
      <c r="U13" s="252">
        <v>17</v>
      </c>
      <c r="V13" s="251">
        <v>2</v>
      </c>
      <c r="W13" s="250">
        <f t="shared" si="3"/>
        <v>0.9</v>
      </c>
      <c r="X13" s="249">
        <v>1.8</v>
      </c>
      <c r="Y13" s="252">
        <v>15</v>
      </c>
      <c r="Z13" s="251">
        <v>2</v>
      </c>
      <c r="AA13" s="250">
        <f t="shared" si="4"/>
        <v>0.9</v>
      </c>
      <c r="AB13" s="249">
        <v>1.8</v>
      </c>
      <c r="AC13" s="252">
        <v>15</v>
      </c>
      <c r="AD13" s="251">
        <v>2</v>
      </c>
      <c r="AE13" s="250">
        <f t="shared" si="5"/>
        <v>0.9</v>
      </c>
      <c r="AF13" s="249">
        <v>1.8</v>
      </c>
      <c r="AG13" s="252">
        <v>14</v>
      </c>
      <c r="AH13" s="251">
        <v>2</v>
      </c>
      <c r="AI13" s="250">
        <f t="shared" si="6"/>
        <v>0.9</v>
      </c>
      <c r="AJ13" s="249">
        <v>1.8</v>
      </c>
      <c r="AK13" s="252"/>
      <c r="AL13" s="251"/>
      <c r="AM13" s="250" t="e">
        <f t="shared" si="7"/>
        <v>#DIV/0!</v>
      </c>
      <c r="AN13" s="249"/>
      <c r="AO13" s="252"/>
      <c r="AP13" s="251"/>
      <c r="AQ13" s="250" t="e">
        <f t="shared" si="8"/>
        <v>#DIV/0!</v>
      </c>
      <c r="AR13" s="249"/>
      <c r="AS13" s="252"/>
      <c r="AT13" s="251"/>
      <c r="AU13" s="250" t="e">
        <f t="shared" si="9"/>
        <v>#DIV/0!</v>
      </c>
      <c r="AV13" s="249"/>
      <c r="AW13" s="252"/>
      <c r="AX13" s="251"/>
      <c r="AY13" s="250" t="e">
        <f t="shared" si="10"/>
        <v>#DIV/0!</v>
      </c>
      <c r="AZ13" s="249"/>
      <c r="BA13" s="252"/>
      <c r="BB13" s="251"/>
      <c r="BC13" s="250" t="e">
        <f t="shared" si="11"/>
        <v>#DIV/0!</v>
      </c>
      <c r="BD13" s="409"/>
      <c r="BE13" s="254">
        <f t="shared" si="16"/>
        <v>11.72</v>
      </c>
      <c r="BG13" s="256">
        <v>10</v>
      </c>
      <c r="BH13" s="255">
        <f t="shared" si="12"/>
        <v>119957.50187428712</v>
      </c>
      <c r="BI13" s="254">
        <f t="shared" si="13"/>
        <v>1343.5240209920157</v>
      </c>
      <c r="BJ13" s="256">
        <v>11</v>
      </c>
      <c r="BK13" s="255">
        <f>BG181</f>
        <v>724992.51053361653</v>
      </c>
      <c r="BL13" s="254">
        <f>BJ181</f>
        <v>8119.9161179765051</v>
      </c>
      <c r="BM13" s="256">
        <v>40</v>
      </c>
      <c r="BN13" s="255">
        <f t="shared" si="14"/>
        <v>39181539.529925935</v>
      </c>
      <c r="BO13" s="254">
        <f t="shared" si="15"/>
        <v>438833.24273517047</v>
      </c>
    </row>
    <row r="14" spans="2:67">
      <c r="B14" s="954"/>
      <c r="C14" s="966"/>
      <c r="D14" s="956"/>
      <c r="E14" s="956"/>
      <c r="F14" s="956"/>
      <c r="G14" s="253">
        <f>COTAS!Z17</f>
        <v>23</v>
      </c>
      <c r="H14" s="253" t="str">
        <f>COTAS!X3</f>
        <v>XPLG11</v>
      </c>
      <c r="I14" s="252">
        <v>13</v>
      </c>
      <c r="J14" s="251">
        <v>1</v>
      </c>
      <c r="K14" s="250">
        <f t="shared" si="0"/>
        <v>0.74</v>
      </c>
      <c r="L14" s="249">
        <v>0.74</v>
      </c>
      <c r="M14" s="252">
        <v>14</v>
      </c>
      <c r="N14" s="251">
        <v>1</v>
      </c>
      <c r="O14" s="250">
        <f t="shared" si="1"/>
        <v>0.74</v>
      </c>
      <c r="P14" s="249">
        <v>0.74</v>
      </c>
      <c r="Q14" s="252">
        <v>14</v>
      </c>
      <c r="R14" s="251">
        <v>1</v>
      </c>
      <c r="S14" s="250">
        <f t="shared" si="2"/>
        <v>0.74</v>
      </c>
      <c r="T14" s="249">
        <v>0.74</v>
      </c>
      <c r="U14" s="252">
        <v>17</v>
      </c>
      <c r="V14" s="251">
        <v>1</v>
      </c>
      <c r="W14" s="250">
        <f t="shared" si="3"/>
        <v>0.74</v>
      </c>
      <c r="X14" s="249">
        <v>0.74</v>
      </c>
      <c r="Y14" s="367"/>
      <c r="Z14" s="368"/>
      <c r="AA14" s="388"/>
      <c r="AB14" s="369"/>
      <c r="AC14" s="367"/>
      <c r="AD14" s="368"/>
      <c r="AE14" s="250"/>
      <c r="AF14" s="369"/>
      <c r="AG14" s="367"/>
      <c r="AH14" s="368"/>
      <c r="AI14" s="250"/>
      <c r="AJ14" s="369"/>
      <c r="AK14" s="367"/>
      <c r="AL14" s="368"/>
      <c r="AM14" s="250"/>
      <c r="AN14" s="369"/>
      <c r="AO14" s="367"/>
      <c r="AP14" s="368"/>
      <c r="AQ14" s="250"/>
      <c r="AR14" s="369"/>
      <c r="AS14" s="367"/>
      <c r="AT14" s="368"/>
      <c r="AU14" s="250"/>
      <c r="AV14" s="369"/>
      <c r="AW14" s="367"/>
      <c r="AX14" s="368"/>
      <c r="AY14" s="250"/>
      <c r="AZ14" s="369"/>
      <c r="BA14" s="367"/>
      <c r="BB14" s="368"/>
      <c r="BC14" s="250"/>
      <c r="BD14" s="522"/>
      <c r="BE14" s="254">
        <f t="shared" si="16"/>
        <v>2.96</v>
      </c>
      <c r="BG14" s="256">
        <v>11</v>
      </c>
      <c r="BH14" s="255">
        <f t="shared" si="12"/>
        <v>122301.02589527913</v>
      </c>
      <c r="BI14" s="254">
        <f t="shared" si="13"/>
        <v>1369.7714900271262</v>
      </c>
      <c r="BJ14" s="256">
        <v>12</v>
      </c>
      <c r="BK14" s="255">
        <f>BG193</f>
        <v>841431.08394783107</v>
      </c>
      <c r="BL14" s="254">
        <f>BJ193</f>
        <v>9424.028140215707</v>
      </c>
      <c r="BM14" s="256">
        <v>45</v>
      </c>
      <c r="BN14" s="255">
        <f t="shared" si="14"/>
        <v>76522164.610238463</v>
      </c>
      <c r="BO14" s="254">
        <f t="shared" si="15"/>
        <v>857048.24363467074</v>
      </c>
    </row>
    <row r="15" spans="2:67">
      <c r="B15" s="954"/>
      <c r="C15" s="966"/>
      <c r="D15" s="956"/>
      <c r="E15" s="956"/>
      <c r="F15" s="956"/>
      <c r="G15" s="253">
        <f>COTAS!N35</f>
        <v>7</v>
      </c>
      <c r="H15" s="253" t="str">
        <f>COTAS!L21</f>
        <v>TGAR11</v>
      </c>
      <c r="I15" s="367"/>
      <c r="J15" s="368"/>
      <c r="K15" s="250"/>
      <c r="L15" s="369"/>
      <c r="M15" s="367"/>
      <c r="N15" s="368"/>
      <c r="O15" s="388" t="e">
        <f t="shared" si="1"/>
        <v>#DIV/0!</v>
      </c>
      <c r="P15" s="369"/>
      <c r="Q15" s="390"/>
      <c r="R15" s="391"/>
      <c r="S15" s="388" t="e">
        <f t="shared" si="2"/>
        <v>#DIV/0!</v>
      </c>
      <c r="T15" s="392"/>
      <c r="U15" s="252">
        <v>17</v>
      </c>
      <c r="V15" s="251">
        <v>1</v>
      </c>
      <c r="W15" s="250">
        <f t="shared" si="3"/>
        <v>1.34</v>
      </c>
      <c r="X15" s="249">
        <v>1.34</v>
      </c>
      <c r="Y15" s="252">
        <v>15</v>
      </c>
      <c r="Z15" s="251">
        <v>1</v>
      </c>
      <c r="AA15" s="250">
        <f t="shared" si="4"/>
        <v>1.35</v>
      </c>
      <c r="AB15" s="249">
        <v>1.35</v>
      </c>
      <c r="AC15" s="252">
        <v>15</v>
      </c>
      <c r="AD15" s="251">
        <v>1</v>
      </c>
      <c r="AE15" s="250">
        <f t="shared" si="5"/>
        <v>1.36</v>
      </c>
      <c r="AF15" s="249">
        <v>1.36</v>
      </c>
      <c r="AG15" s="252">
        <v>14</v>
      </c>
      <c r="AH15" s="251">
        <v>6</v>
      </c>
      <c r="AI15" s="250">
        <f t="shared" si="6"/>
        <v>1.38</v>
      </c>
      <c r="AJ15" s="249">
        <v>8.2799999999999994</v>
      </c>
      <c r="AK15" s="252"/>
      <c r="AL15" s="251"/>
      <c r="AM15" s="250" t="e">
        <f t="shared" si="7"/>
        <v>#DIV/0!</v>
      </c>
      <c r="AN15" s="249"/>
      <c r="AO15" s="252"/>
      <c r="AP15" s="251"/>
      <c r="AQ15" s="250" t="e">
        <f t="shared" si="8"/>
        <v>#DIV/0!</v>
      </c>
      <c r="AR15" s="249"/>
      <c r="AS15" s="252"/>
      <c r="AT15" s="251"/>
      <c r="AU15" s="250" t="e">
        <f t="shared" si="9"/>
        <v>#DIV/0!</v>
      </c>
      <c r="AV15" s="249"/>
      <c r="AW15" s="252"/>
      <c r="AX15" s="251"/>
      <c r="AY15" s="250" t="e">
        <f t="shared" si="10"/>
        <v>#DIV/0!</v>
      </c>
      <c r="AZ15" s="249"/>
      <c r="BA15" s="252"/>
      <c r="BB15" s="251"/>
      <c r="BC15" s="250" t="e">
        <f t="shared" si="11"/>
        <v>#DIV/0!</v>
      </c>
      <c r="BD15" s="409"/>
      <c r="BE15" s="413">
        <f t="shared" si="16"/>
        <v>12.329999999999998</v>
      </c>
      <c r="BG15" s="256">
        <v>12</v>
      </c>
      <c r="BH15" s="255">
        <f t="shared" si="12"/>
        <v>124670.79738530626</v>
      </c>
      <c r="BI15" s="254">
        <f t="shared" si="13"/>
        <v>1396.3129307154302</v>
      </c>
      <c r="BJ15" s="256">
        <v>13</v>
      </c>
      <c r="BK15" s="255">
        <f>BG205</f>
        <v>974519.91395185585</v>
      </c>
      <c r="BL15" s="254">
        <f>BJ205</f>
        <v>10914.623036260786</v>
      </c>
      <c r="BM15" s="256">
        <v>50</v>
      </c>
      <c r="BN15" s="255">
        <f t="shared" si="14"/>
        <v>149368085.86697862</v>
      </c>
      <c r="BO15" s="254">
        <f t="shared" si="15"/>
        <v>1672922.5617101605</v>
      </c>
    </row>
    <row r="16" spans="2:67" ht="16.5" thickBot="1">
      <c r="B16" s="954"/>
      <c r="C16" s="966"/>
      <c r="D16" s="956"/>
      <c r="E16" s="956"/>
      <c r="F16" s="956"/>
      <c r="G16" s="253">
        <f>COTAS!S35</f>
        <v>143</v>
      </c>
      <c r="H16" s="253" t="str">
        <f>COTAS!Q21</f>
        <v>XPCA11</v>
      </c>
      <c r="I16" s="367"/>
      <c r="J16" s="368"/>
      <c r="K16" s="250"/>
      <c r="L16" s="369"/>
      <c r="M16" s="367"/>
      <c r="N16" s="368"/>
      <c r="O16" s="388" t="e">
        <f t="shared" si="1"/>
        <v>#DIV/0!</v>
      </c>
      <c r="P16" s="369"/>
      <c r="Q16" s="390"/>
      <c r="R16" s="391"/>
      <c r="S16" s="388" t="e">
        <f t="shared" si="2"/>
        <v>#DIV/0!</v>
      </c>
      <c r="T16" s="392"/>
      <c r="U16" s="367"/>
      <c r="V16" s="368"/>
      <c r="W16" s="388" t="e">
        <f t="shared" si="3"/>
        <v>#DIV/0!</v>
      </c>
      <c r="X16" s="369"/>
      <c r="Y16" s="252">
        <v>15</v>
      </c>
      <c r="Z16" s="251">
        <v>30</v>
      </c>
      <c r="AA16" s="250">
        <f t="shared" si="4"/>
        <v>0.13</v>
      </c>
      <c r="AB16" s="249">
        <v>3.9</v>
      </c>
      <c r="AC16" s="252">
        <v>15</v>
      </c>
      <c r="AD16" s="251">
        <v>30</v>
      </c>
      <c r="AE16" s="250">
        <f t="shared" si="5"/>
        <v>0.11</v>
      </c>
      <c r="AF16" s="249">
        <v>3.3</v>
      </c>
      <c r="AG16" s="252">
        <v>14</v>
      </c>
      <c r="AH16" s="251">
        <v>135</v>
      </c>
      <c r="AI16" s="250">
        <f t="shared" si="6"/>
        <v>0.11</v>
      </c>
      <c r="AJ16" s="249">
        <v>14.85</v>
      </c>
      <c r="AK16" s="252"/>
      <c r="AL16" s="251"/>
      <c r="AM16" s="250" t="e">
        <f t="shared" si="7"/>
        <v>#DIV/0!</v>
      </c>
      <c r="AN16" s="249"/>
      <c r="AO16" s="252"/>
      <c r="AP16" s="251"/>
      <c r="AQ16" s="250" t="e">
        <f t="shared" si="8"/>
        <v>#DIV/0!</v>
      </c>
      <c r="AR16" s="249"/>
      <c r="AS16" s="252"/>
      <c r="AT16" s="251"/>
      <c r="AU16" s="250" t="e">
        <f t="shared" si="9"/>
        <v>#DIV/0!</v>
      </c>
      <c r="AV16" s="249"/>
      <c r="AW16" s="252"/>
      <c r="AX16" s="251"/>
      <c r="AY16" s="250" t="e">
        <f t="shared" si="10"/>
        <v>#DIV/0!</v>
      </c>
      <c r="AZ16" s="249"/>
      <c r="BA16" s="252"/>
      <c r="BB16" s="251"/>
      <c r="BC16" s="250" t="e">
        <f t="shared" si="11"/>
        <v>#DIV/0!</v>
      </c>
      <c r="BD16" s="409"/>
      <c r="BE16" s="413">
        <f t="shared" si="16"/>
        <v>22.049999999999997</v>
      </c>
      <c r="BG16" s="211"/>
      <c r="BH16" s="211"/>
      <c r="BI16" s="211"/>
      <c r="BJ16" s="211"/>
      <c r="BK16" s="211"/>
      <c r="BL16" s="211"/>
      <c r="BM16" s="211"/>
      <c r="BN16" s="211"/>
      <c r="BO16" s="211"/>
    </row>
    <row r="17" spans="1:120">
      <c r="B17" s="954"/>
      <c r="C17" s="966"/>
      <c r="D17" s="956"/>
      <c r="E17" s="956"/>
      <c r="F17" s="956"/>
      <c r="G17" s="253">
        <f>COTAS!AE17</f>
        <v>0</v>
      </c>
      <c r="H17" s="253" t="str">
        <f>COTAS!AC3</f>
        <v>SARE11</v>
      </c>
      <c r="I17" s="367"/>
      <c r="J17" s="368"/>
      <c r="K17" s="250"/>
      <c r="L17" s="369"/>
      <c r="M17" s="367"/>
      <c r="N17" s="368"/>
      <c r="O17" s="388" t="e">
        <f t="shared" si="1"/>
        <v>#DIV/0!</v>
      </c>
      <c r="P17" s="369"/>
      <c r="Q17" s="390"/>
      <c r="R17" s="391"/>
      <c r="S17" s="388" t="e">
        <f t="shared" si="2"/>
        <v>#DIV/0!</v>
      </c>
      <c r="T17" s="392"/>
      <c r="U17" s="367"/>
      <c r="V17" s="368"/>
      <c r="W17" s="388" t="e">
        <f t="shared" si="3"/>
        <v>#DIV/0!</v>
      </c>
      <c r="X17" s="369"/>
      <c r="Y17" s="252">
        <v>15</v>
      </c>
      <c r="Z17" s="251">
        <v>4</v>
      </c>
      <c r="AA17" s="250">
        <f t="shared" si="4"/>
        <v>0.62</v>
      </c>
      <c r="AB17" s="249">
        <v>2.48</v>
      </c>
      <c r="AC17" s="252">
        <v>15</v>
      </c>
      <c r="AD17" s="251">
        <v>4</v>
      </c>
      <c r="AE17" s="250">
        <f t="shared" si="5"/>
        <v>0.6</v>
      </c>
      <c r="AF17" s="249">
        <v>2.4</v>
      </c>
      <c r="AG17" s="252">
        <v>14</v>
      </c>
      <c r="AH17" s="251">
        <v>5</v>
      </c>
      <c r="AI17" s="250">
        <f t="shared" si="6"/>
        <v>0.59000000000000008</v>
      </c>
      <c r="AJ17" s="249">
        <v>2.95</v>
      </c>
      <c r="AK17" s="252"/>
      <c r="AL17" s="251"/>
      <c r="AM17" s="250" t="e">
        <f t="shared" si="7"/>
        <v>#DIV/0!</v>
      </c>
      <c r="AN17" s="249"/>
      <c r="AO17" s="252"/>
      <c r="AP17" s="251"/>
      <c r="AQ17" s="250" t="e">
        <f t="shared" si="8"/>
        <v>#DIV/0!</v>
      </c>
      <c r="AR17" s="249"/>
      <c r="AS17" s="252"/>
      <c r="AT17" s="251"/>
      <c r="AU17" s="250" t="e">
        <f t="shared" si="9"/>
        <v>#DIV/0!</v>
      </c>
      <c r="AV17" s="249"/>
      <c r="AW17" s="252"/>
      <c r="AX17" s="251"/>
      <c r="AY17" s="250" t="e">
        <f t="shared" si="10"/>
        <v>#DIV/0!</v>
      </c>
      <c r="AZ17" s="249"/>
      <c r="BA17" s="252"/>
      <c r="BB17" s="251"/>
      <c r="BC17" s="250" t="e">
        <f t="shared" si="11"/>
        <v>#DIV/0!</v>
      </c>
      <c r="BD17" s="409"/>
      <c r="BE17" s="413">
        <f t="shared" si="16"/>
        <v>7.83</v>
      </c>
      <c r="BG17" s="214"/>
      <c r="BH17" s="978" t="s">
        <v>202</v>
      </c>
      <c r="BI17" s="979"/>
      <c r="BJ17" s="211"/>
      <c r="BK17" s="211"/>
      <c r="BL17" s="211"/>
      <c r="BM17" s="211"/>
      <c r="BN17" s="211"/>
      <c r="BO17" s="211"/>
    </row>
    <row r="18" spans="1:120">
      <c r="B18" s="954"/>
      <c r="C18" s="966"/>
      <c r="D18" s="956"/>
      <c r="E18" s="956"/>
      <c r="F18" s="956"/>
      <c r="G18" s="253">
        <f>COTAS!AJ17</f>
        <v>0</v>
      </c>
      <c r="H18" s="253" t="str">
        <f>COTAS!AH3</f>
        <v>GGRC11</v>
      </c>
      <c r="I18" s="367"/>
      <c r="J18" s="368"/>
      <c r="K18" s="250"/>
      <c r="L18" s="369"/>
      <c r="M18" s="367"/>
      <c r="N18" s="368"/>
      <c r="O18" s="388" t="e">
        <f t="shared" si="1"/>
        <v>#DIV/0!</v>
      </c>
      <c r="P18" s="369"/>
      <c r="Q18" s="390"/>
      <c r="R18" s="391"/>
      <c r="S18" s="388" t="e">
        <f t="shared" si="2"/>
        <v>#DIV/0!</v>
      </c>
      <c r="T18" s="392"/>
      <c r="U18" s="367"/>
      <c r="V18" s="368"/>
      <c r="W18" s="388" t="e">
        <f t="shared" si="3"/>
        <v>#DIV/0!</v>
      </c>
      <c r="X18" s="369"/>
      <c r="Y18" s="252">
        <v>9</v>
      </c>
      <c r="Z18" s="251">
        <v>1</v>
      </c>
      <c r="AA18" s="250">
        <f t="shared" si="4"/>
        <v>1.02</v>
      </c>
      <c r="AB18" s="249">
        <v>1.02</v>
      </c>
      <c r="AC18" s="252">
        <v>1.5</v>
      </c>
      <c r="AD18" s="251">
        <v>1</v>
      </c>
      <c r="AE18" s="250">
        <f t="shared" si="5"/>
        <v>1.05</v>
      </c>
      <c r="AF18" s="249">
        <v>1.05</v>
      </c>
      <c r="AG18" s="252">
        <v>10</v>
      </c>
      <c r="AH18" s="251">
        <v>1</v>
      </c>
      <c r="AI18" s="250">
        <f t="shared" si="6"/>
        <v>1.05</v>
      </c>
      <c r="AJ18" s="249">
        <v>1.05</v>
      </c>
      <c r="AK18" s="252"/>
      <c r="AL18" s="251"/>
      <c r="AM18" s="250" t="e">
        <f t="shared" si="7"/>
        <v>#DIV/0!</v>
      </c>
      <c r="AN18" s="249"/>
      <c r="AO18" s="252"/>
      <c r="AP18" s="251"/>
      <c r="AQ18" s="250" t="e">
        <f t="shared" si="8"/>
        <v>#DIV/0!</v>
      </c>
      <c r="AR18" s="249"/>
      <c r="AS18" s="252"/>
      <c r="AT18" s="251"/>
      <c r="AU18" s="250" t="e">
        <f t="shared" si="9"/>
        <v>#DIV/0!</v>
      </c>
      <c r="AV18" s="249"/>
      <c r="AW18" s="252"/>
      <c r="AX18" s="251"/>
      <c r="AY18" s="250" t="e">
        <f t="shared" si="10"/>
        <v>#DIV/0!</v>
      </c>
      <c r="AZ18" s="249"/>
      <c r="BA18" s="252"/>
      <c r="BB18" s="251"/>
      <c r="BC18" s="250" t="e">
        <f t="shared" si="11"/>
        <v>#DIV/0!</v>
      </c>
      <c r="BD18" s="409"/>
      <c r="BE18" s="413">
        <f t="shared" si="16"/>
        <v>3.12</v>
      </c>
      <c r="BF18" s="518" t="s">
        <v>394</v>
      </c>
      <c r="BG18" s="214"/>
      <c r="BH18" s="236" t="s">
        <v>201</v>
      </c>
      <c r="BI18" s="248">
        <f ca="1">TODAY()</f>
        <v>45301</v>
      </c>
      <c r="BJ18" s="416"/>
      <c r="BK18" s="416"/>
      <c r="BL18" s="416"/>
      <c r="BM18" s="416"/>
      <c r="BN18" s="416"/>
      <c r="BO18" s="416"/>
      <c r="BP18" s="416"/>
      <c r="BQ18" s="416"/>
    </row>
    <row r="19" spans="1:120" ht="16.5" thickBot="1">
      <c r="B19" s="981"/>
      <c r="C19" s="967"/>
      <c r="D19" s="957"/>
      <c r="E19" s="957"/>
      <c r="F19" s="957"/>
      <c r="G19" s="247">
        <f>COTAS!AO17</f>
        <v>9</v>
      </c>
      <c r="H19" s="247" t="str">
        <f>COTAS!AM3</f>
        <v>CIELO</v>
      </c>
      <c r="I19" s="246">
        <v>27</v>
      </c>
      <c r="J19" s="245">
        <v>9</v>
      </c>
      <c r="K19" s="244">
        <f t="shared" ref="K19" si="17">L19/J19</f>
        <v>7.5555555555555556E-2</v>
      </c>
      <c r="L19" s="243">
        <v>0.68</v>
      </c>
      <c r="M19" s="370"/>
      <c r="N19" s="371"/>
      <c r="O19" s="389" t="e">
        <f t="shared" si="1"/>
        <v>#DIV/0!</v>
      </c>
      <c r="P19" s="372"/>
      <c r="Q19" s="370"/>
      <c r="R19" s="371"/>
      <c r="S19" s="389" t="e">
        <f t="shared" si="2"/>
        <v>#DIV/0!</v>
      </c>
      <c r="T19" s="372"/>
      <c r="U19" s="370"/>
      <c r="V19" s="371"/>
      <c r="W19" s="389" t="e">
        <f t="shared" si="3"/>
        <v>#DIV/0!</v>
      </c>
      <c r="X19" s="372"/>
      <c r="Y19" s="246">
        <v>18</v>
      </c>
      <c r="Z19" s="245">
        <v>9</v>
      </c>
      <c r="AA19" s="244">
        <f t="shared" si="4"/>
        <v>6.2222222222222227E-2</v>
      </c>
      <c r="AB19" s="243">
        <v>0.56000000000000005</v>
      </c>
      <c r="AC19" s="370"/>
      <c r="AD19" s="371"/>
      <c r="AE19" s="389" t="e">
        <f t="shared" si="5"/>
        <v>#DIV/0!</v>
      </c>
      <c r="AF19" s="372"/>
      <c r="AG19" s="615"/>
      <c r="AH19" s="616"/>
      <c r="AI19" s="389" t="e">
        <f t="shared" si="6"/>
        <v>#DIV/0!</v>
      </c>
      <c r="AJ19" s="617"/>
      <c r="AK19" s="246"/>
      <c r="AL19" s="245"/>
      <c r="AM19" s="244" t="e">
        <f t="shared" si="7"/>
        <v>#DIV/0!</v>
      </c>
      <c r="AN19" s="243"/>
      <c r="AO19" s="246"/>
      <c r="AP19" s="245"/>
      <c r="AQ19" s="244" t="e">
        <f t="shared" si="8"/>
        <v>#DIV/0!</v>
      </c>
      <c r="AR19" s="243"/>
      <c r="AS19" s="246"/>
      <c r="AT19" s="245"/>
      <c r="AU19" s="244" t="e">
        <f t="shared" si="9"/>
        <v>#DIV/0!</v>
      </c>
      <c r="AV19" s="243"/>
      <c r="AW19" s="246"/>
      <c r="AX19" s="245"/>
      <c r="AY19" s="244" t="e">
        <f t="shared" si="10"/>
        <v>#DIV/0!</v>
      </c>
      <c r="AZ19" s="243"/>
      <c r="BA19" s="246"/>
      <c r="BB19" s="245"/>
      <c r="BC19" s="244" t="e">
        <f t="shared" si="11"/>
        <v>#DIV/0!</v>
      </c>
      <c r="BD19" s="412"/>
      <c r="BE19" s="254">
        <f t="shared" si="16"/>
        <v>1.2400000000000002</v>
      </c>
      <c r="BF19" s="518" t="s">
        <v>392</v>
      </c>
      <c r="BG19" s="214"/>
      <c r="BH19" s="234" t="s">
        <v>200</v>
      </c>
      <c r="BI19" s="233">
        <f>VLOOKUP(BI25,BG50:BH1249,2,TRUE)</f>
        <v>148</v>
      </c>
      <c r="BJ19" s="416"/>
      <c r="BK19" s="416"/>
      <c r="BL19" s="416"/>
      <c r="BM19" s="416"/>
      <c r="BN19" s="416"/>
      <c r="BO19" s="416"/>
      <c r="BP19" s="416"/>
      <c r="BQ19" s="416"/>
    </row>
    <row r="20" spans="1:120" ht="16.5" thickBot="1">
      <c r="B20" s="211"/>
      <c r="C20" s="211"/>
      <c r="D20" s="225"/>
      <c r="E20" s="225"/>
      <c r="F20" s="211"/>
      <c r="G20" s="242">
        <f>SUM(G4:G19)</f>
        <v>398</v>
      </c>
      <c r="H20" s="211"/>
      <c r="I20" s="240"/>
      <c r="J20" s="240"/>
      <c r="K20" s="241"/>
      <c r="L20" s="241"/>
      <c r="M20" s="240"/>
      <c r="N20" s="240"/>
      <c r="O20" s="240"/>
      <c r="P20" s="240"/>
      <c r="Q20" s="240"/>
      <c r="R20" s="240"/>
      <c r="S20" s="240"/>
      <c r="T20" s="240"/>
      <c r="U20" s="240"/>
      <c r="V20" s="240"/>
      <c r="W20" s="240"/>
      <c r="X20" s="240"/>
      <c r="Y20" s="240"/>
      <c r="Z20" s="240"/>
      <c r="AA20" s="240"/>
      <c r="AB20" s="240"/>
      <c r="AC20" s="240"/>
      <c r="AD20" s="240"/>
      <c r="AE20" s="240"/>
      <c r="AF20" s="240"/>
      <c r="AG20" s="240"/>
      <c r="AH20" s="240"/>
      <c r="AI20" s="240"/>
      <c r="AJ20" s="240"/>
      <c r="AK20" s="240"/>
      <c r="AL20" s="240"/>
      <c r="AM20" s="240"/>
      <c r="AN20" s="240"/>
      <c r="AO20" s="240"/>
      <c r="AP20" s="240"/>
      <c r="AQ20" s="240"/>
      <c r="AR20" s="240"/>
      <c r="AS20" s="240"/>
      <c r="AT20" s="240"/>
      <c r="AU20" s="240"/>
      <c r="AV20" s="240"/>
      <c r="AW20" s="240"/>
      <c r="AX20" s="240"/>
      <c r="AY20" s="240"/>
      <c r="AZ20" s="240"/>
      <c r="BA20" s="240"/>
      <c r="BB20" s="240"/>
      <c r="BC20" s="240"/>
      <c r="BD20" s="520" t="s">
        <v>393</v>
      </c>
      <c r="BE20" s="415">
        <f>SUM(BE4:BE19)</f>
        <v>289.05000000000007</v>
      </c>
      <c r="BF20" s="519">
        <f>BE20/12</f>
        <v>24.087500000000006</v>
      </c>
      <c r="BG20" s="214"/>
      <c r="BH20" s="236" t="s">
        <v>199</v>
      </c>
      <c r="BI20" s="239">
        <f>BI19/12</f>
        <v>12.333333333333334</v>
      </c>
      <c r="BJ20" s="416"/>
      <c r="BK20" s="417">
        <f>K23</f>
        <v>1.0501183859878542E-2</v>
      </c>
      <c r="BL20" s="418">
        <f>IF(BK20&gt;0,BK20,0)</f>
        <v>1.0501183859878542E-2</v>
      </c>
      <c r="BM20" s="416"/>
      <c r="BN20" s="416"/>
      <c r="BO20" s="416"/>
      <c r="BP20" s="416"/>
      <c r="BQ20" s="416"/>
    </row>
    <row r="21" spans="1:120">
      <c r="B21" s="211"/>
      <c r="C21" s="211"/>
      <c r="D21" s="225">
        <f>SUM(G4:G11)</f>
        <v>201</v>
      </c>
      <c r="E21" s="225"/>
      <c r="F21" s="211"/>
      <c r="G21" s="225">
        <f>SUM(G12:G19)</f>
        <v>197</v>
      </c>
      <c r="H21" s="211"/>
      <c r="I21" s="971" t="str">
        <f>I2</f>
        <v>Janeiro</v>
      </c>
      <c r="J21" s="969" t="s">
        <v>198</v>
      </c>
      <c r="K21" s="969" t="s">
        <v>197</v>
      </c>
      <c r="L21" s="985" t="s">
        <v>196</v>
      </c>
      <c r="M21" s="971" t="str">
        <f>M2</f>
        <v>Fevereiro</v>
      </c>
      <c r="N21" s="969" t="s">
        <v>198</v>
      </c>
      <c r="O21" s="969" t="s">
        <v>197</v>
      </c>
      <c r="P21" s="985" t="s">
        <v>196</v>
      </c>
      <c r="Q21" s="971" t="str">
        <f>Q2</f>
        <v>Março</v>
      </c>
      <c r="R21" s="969" t="s">
        <v>198</v>
      </c>
      <c r="S21" s="969" t="s">
        <v>197</v>
      </c>
      <c r="T21" s="985" t="s">
        <v>196</v>
      </c>
      <c r="U21" s="971" t="str">
        <f>U2</f>
        <v>Abril</v>
      </c>
      <c r="V21" s="969" t="s">
        <v>198</v>
      </c>
      <c r="W21" s="969" t="s">
        <v>197</v>
      </c>
      <c r="X21" s="985" t="s">
        <v>196</v>
      </c>
      <c r="Y21" s="971" t="str">
        <f>Y2</f>
        <v>Maio</v>
      </c>
      <c r="Z21" s="969" t="s">
        <v>198</v>
      </c>
      <c r="AA21" s="969" t="s">
        <v>197</v>
      </c>
      <c r="AB21" s="985" t="s">
        <v>196</v>
      </c>
      <c r="AC21" s="971" t="str">
        <f>AC2</f>
        <v>Junho</v>
      </c>
      <c r="AD21" s="969" t="s">
        <v>198</v>
      </c>
      <c r="AE21" s="969" t="s">
        <v>197</v>
      </c>
      <c r="AF21" s="985" t="s">
        <v>196</v>
      </c>
      <c r="AG21" s="971" t="str">
        <f>AG2</f>
        <v>Julho</v>
      </c>
      <c r="AH21" s="969" t="s">
        <v>198</v>
      </c>
      <c r="AI21" s="969" t="s">
        <v>197</v>
      </c>
      <c r="AJ21" s="985" t="s">
        <v>196</v>
      </c>
      <c r="AK21" s="971" t="str">
        <f>AK2</f>
        <v>Agosto</v>
      </c>
      <c r="AL21" s="969" t="s">
        <v>198</v>
      </c>
      <c r="AM21" s="969" t="s">
        <v>197</v>
      </c>
      <c r="AN21" s="985" t="s">
        <v>196</v>
      </c>
      <c r="AO21" s="971" t="str">
        <f>AO2</f>
        <v>Setembro</v>
      </c>
      <c r="AP21" s="969" t="s">
        <v>198</v>
      </c>
      <c r="AQ21" s="969" t="s">
        <v>197</v>
      </c>
      <c r="AR21" s="985" t="s">
        <v>196</v>
      </c>
      <c r="AS21" s="971" t="str">
        <f>AS2</f>
        <v>Outubro</v>
      </c>
      <c r="AT21" s="969" t="s">
        <v>198</v>
      </c>
      <c r="AU21" s="969" t="s">
        <v>197</v>
      </c>
      <c r="AV21" s="985" t="s">
        <v>196</v>
      </c>
      <c r="AW21" s="971" t="str">
        <f>AW2</f>
        <v>Novembro</v>
      </c>
      <c r="AX21" s="969" t="s">
        <v>198</v>
      </c>
      <c r="AY21" s="969" t="s">
        <v>197</v>
      </c>
      <c r="AZ21" s="985" t="s">
        <v>196</v>
      </c>
      <c r="BA21" s="971" t="str">
        <f>BA2</f>
        <v>Dezembro</v>
      </c>
      <c r="BB21" s="969" t="s">
        <v>198</v>
      </c>
      <c r="BC21" s="969" t="s">
        <v>197</v>
      </c>
      <c r="BD21" s="985" t="s">
        <v>196</v>
      </c>
      <c r="BE21" s="421"/>
      <c r="BF21" s="959" t="s">
        <v>253</v>
      </c>
      <c r="BG21" s="959"/>
      <c r="BH21" s="234" t="s">
        <v>195</v>
      </c>
      <c r="BI21" s="233">
        <f ca="1">YEAR(BI18)-1987+BI20</f>
        <v>49.333333333333336</v>
      </c>
      <c r="BJ21" s="416"/>
      <c r="BK21" s="419">
        <f>O23</f>
        <v>1.0482578823018222E-2</v>
      </c>
      <c r="BL21" s="418">
        <f>IF(BK21,BK21,0)</f>
        <v>1.0482578823018222E-2</v>
      </c>
      <c r="BM21" s="416"/>
      <c r="BN21" s="416"/>
      <c r="BO21" s="416"/>
      <c r="BP21" s="416"/>
      <c r="BQ21" s="416"/>
    </row>
    <row r="22" spans="1:120">
      <c r="B22" s="211"/>
      <c r="C22" s="211"/>
      <c r="D22" s="225">
        <f>D21+G21</f>
        <v>398</v>
      </c>
      <c r="E22" s="225"/>
      <c r="F22" s="211"/>
      <c r="G22" s="211"/>
      <c r="H22" s="211"/>
      <c r="I22" s="972"/>
      <c r="J22" s="970"/>
      <c r="K22" s="970"/>
      <c r="L22" s="986"/>
      <c r="M22" s="972"/>
      <c r="N22" s="970"/>
      <c r="O22" s="970"/>
      <c r="P22" s="986"/>
      <c r="Q22" s="972"/>
      <c r="R22" s="970"/>
      <c r="S22" s="970"/>
      <c r="T22" s="986"/>
      <c r="U22" s="972"/>
      <c r="V22" s="970"/>
      <c r="W22" s="970"/>
      <c r="X22" s="986"/>
      <c r="Y22" s="972"/>
      <c r="Z22" s="970"/>
      <c r="AA22" s="970"/>
      <c r="AB22" s="986"/>
      <c r="AC22" s="972"/>
      <c r="AD22" s="970"/>
      <c r="AE22" s="970"/>
      <c r="AF22" s="986"/>
      <c r="AG22" s="972"/>
      <c r="AH22" s="970"/>
      <c r="AI22" s="970"/>
      <c r="AJ22" s="986"/>
      <c r="AK22" s="972"/>
      <c r="AL22" s="970"/>
      <c r="AM22" s="970"/>
      <c r="AN22" s="986"/>
      <c r="AO22" s="972"/>
      <c r="AP22" s="970"/>
      <c r="AQ22" s="970"/>
      <c r="AR22" s="986"/>
      <c r="AS22" s="972"/>
      <c r="AT22" s="970"/>
      <c r="AU22" s="970"/>
      <c r="AV22" s="986"/>
      <c r="AW22" s="972"/>
      <c r="AX22" s="970"/>
      <c r="AY22" s="970"/>
      <c r="AZ22" s="986"/>
      <c r="BA22" s="972"/>
      <c r="BB22" s="970"/>
      <c r="BC22" s="970"/>
      <c r="BD22" s="986"/>
      <c r="BE22" s="421"/>
      <c r="BF22" s="959"/>
      <c r="BG22" s="959"/>
      <c r="BH22" s="236" t="s">
        <v>194</v>
      </c>
      <c r="BI22" s="238">
        <f ca="1">BH27+BI20</f>
        <v>2036.3333333333333</v>
      </c>
      <c r="BJ22" s="416"/>
      <c r="BK22" s="419">
        <f>S23</f>
        <v>9.505197865195639E-3</v>
      </c>
      <c r="BL22" s="418"/>
      <c r="BM22" s="416"/>
      <c r="BN22" s="416"/>
      <c r="BO22" s="416"/>
      <c r="BP22" s="416"/>
      <c r="BQ22" s="416"/>
    </row>
    <row r="23" spans="1:120">
      <c r="B23" s="416" t="s">
        <v>427</v>
      </c>
      <c r="C23" s="936">
        <f>X50</f>
        <v>9472.5099999999984</v>
      </c>
      <c r="D23" s="936"/>
      <c r="E23" s="211"/>
      <c r="F23" s="211"/>
      <c r="G23" s="211"/>
      <c r="H23" s="211"/>
      <c r="I23" s="972"/>
      <c r="J23" s="974">
        <f>SUM(J4:J19)</f>
        <v>62</v>
      </c>
      <c r="K23" s="983">
        <f>L23/K25</f>
        <v>1.0501183859878542E-2</v>
      </c>
      <c r="L23" s="976">
        <f>SUM(L4:L19)</f>
        <v>10.6</v>
      </c>
      <c r="M23" s="972"/>
      <c r="N23" s="974">
        <f>SUM(N4:N19)</f>
        <v>59</v>
      </c>
      <c r="O23" s="987">
        <f>P23/O25</f>
        <v>1.0482578823018222E-2</v>
      </c>
      <c r="P23" s="976">
        <f>SUM(P4:P17)</f>
        <v>11.58</v>
      </c>
      <c r="Q23" s="972"/>
      <c r="R23" s="974">
        <f>SUM(R4:R19)</f>
        <v>62</v>
      </c>
      <c r="S23" s="987">
        <f>T23/S25</f>
        <v>9.505197865195639E-3</v>
      </c>
      <c r="T23" s="976">
        <f>SUM(T4:T17)</f>
        <v>15.370000000000001</v>
      </c>
      <c r="U23" s="972"/>
      <c r="V23" s="974">
        <f>SUM(V4:V19)</f>
        <v>98</v>
      </c>
      <c r="W23" s="987">
        <f>X23/W25</f>
        <v>9.5921576499715614E-3</v>
      </c>
      <c r="X23" s="976">
        <f>SUM(X4:X19)</f>
        <v>28.67</v>
      </c>
      <c r="Y23" s="972"/>
      <c r="Z23" s="974">
        <f>SUM(Z4:Z19)</f>
        <v>141</v>
      </c>
      <c r="AA23" s="987">
        <f>AB23/AA25</f>
        <v>1.2063432192780804E-2</v>
      </c>
      <c r="AB23" s="976">
        <f>SUM(AB4:AB19)</f>
        <v>37.100000000000009</v>
      </c>
      <c r="AC23" s="972"/>
      <c r="AD23" s="974">
        <f>SUM(AD4:AD19)</f>
        <v>217</v>
      </c>
      <c r="AE23" s="987">
        <f>AF23/AE25</f>
        <v>1.2227084302902459E-2</v>
      </c>
      <c r="AF23" s="976">
        <f>SUM(AF4:AF19)</f>
        <v>69.13000000000001</v>
      </c>
      <c r="AG23" s="972"/>
      <c r="AH23" s="974">
        <f>SUM(AH4:AH19)</f>
        <v>374</v>
      </c>
      <c r="AI23" s="987">
        <f>AJ23/AI25</f>
        <v>1.2135165140684837E-2</v>
      </c>
      <c r="AJ23" s="976">
        <f>SUM(AJ4:AJ19)</f>
        <v>116.6</v>
      </c>
      <c r="AK23" s="972"/>
      <c r="AL23" s="974">
        <f>SUM(AL4:AL19)</f>
        <v>0</v>
      </c>
      <c r="AM23" s="987" t="e">
        <f>AN23/AM25</f>
        <v>#DIV/0!</v>
      </c>
      <c r="AN23" s="976">
        <f>SUM(AN4:AN19)</f>
        <v>0</v>
      </c>
      <c r="AO23" s="972"/>
      <c r="AP23" s="974">
        <f>SUM(AP4:AP19)</f>
        <v>0</v>
      </c>
      <c r="AQ23" s="987" t="e">
        <f>AR23/AQ25</f>
        <v>#DIV/0!</v>
      </c>
      <c r="AR23" s="976">
        <f>SUM(AR4:AR19)</f>
        <v>0</v>
      </c>
      <c r="AS23" s="972"/>
      <c r="AT23" s="974">
        <f>SUM(AT4:AT19)</f>
        <v>0</v>
      </c>
      <c r="AU23" s="987" t="e">
        <f>AV23/AU25</f>
        <v>#DIV/0!</v>
      </c>
      <c r="AV23" s="976">
        <f>SUM(AV4:AV19)</f>
        <v>0</v>
      </c>
      <c r="AW23" s="972"/>
      <c r="AX23" s="974">
        <f>SUM(AX4:AX19)</f>
        <v>0</v>
      </c>
      <c r="AY23" s="987" t="e">
        <f>AZ23/AY25</f>
        <v>#DIV/0!</v>
      </c>
      <c r="AZ23" s="976">
        <f>SUM(AZ4:AZ19)</f>
        <v>0</v>
      </c>
      <c r="BA23" s="972"/>
      <c r="BB23" s="974">
        <f>SUM(BB4:BB19)</f>
        <v>0</v>
      </c>
      <c r="BC23" s="987" t="e">
        <f>BD23/BC25</f>
        <v>#DIV/0!</v>
      </c>
      <c r="BD23" s="976">
        <f>SUM(BD4:BD19)</f>
        <v>0</v>
      </c>
      <c r="BE23" s="217"/>
      <c r="BF23" s="960" t="e">
        <f>BC23+AY23+AU23+AQ23+AM23+AI23+AE23+AA23+W23+S23+O23+K23</f>
        <v>#DIV/0!</v>
      </c>
      <c r="BG23" s="959"/>
      <c r="BH23" s="234" t="s">
        <v>193</v>
      </c>
      <c r="BI23" s="237">
        <v>10000</v>
      </c>
      <c r="BJ23" s="416"/>
      <c r="BK23" s="419">
        <f>W23</f>
        <v>9.5921576499715614E-3</v>
      </c>
      <c r="BL23" s="418"/>
      <c r="BM23" s="416"/>
      <c r="BN23" s="416"/>
      <c r="BO23" s="416"/>
      <c r="BP23" s="416"/>
      <c r="BQ23" s="416"/>
    </row>
    <row r="24" spans="1:120" ht="16.5" thickBot="1">
      <c r="B24" s="416" t="s">
        <v>428</v>
      </c>
      <c r="C24" s="935">
        <v>9431</v>
      </c>
      <c r="D24" s="935"/>
      <c r="E24" s="211"/>
      <c r="F24" s="211"/>
      <c r="G24" s="211"/>
      <c r="H24" s="211"/>
      <c r="I24" s="973"/>
      <c r="J24" s="975"/>
      <c r="K24" s="984"/>
      <c r="L24" s="977"/>
      <c r="M24" s="973"/>
      <c r="N24" s="975"/>
      <c r="O24" s="988"/>
      <c r="P24" s="977"/>
      <c r="Q24" s="973"/>
      <c r="R24" s="975"/>
      <c r="S24" s="988"/>
      <c r="T24" s="977"/>
      <c r="U24" s="973"/>
      <c r="V24" s="975"/>
      <c r="W24" s="988"/>
      <c r="X24" s="977"/>
      <c r="Y24" s="973"/>
      <c r="Z24" s="975"/>
      <c r="AA24" s="988"/>
      <c r="AB24" s="977"/>
      <c r="AC24" s="973"/>
      <c r="AD24" s="975"/>
      <c r="AE24" s="988"/>
      <c r="AF24" s="977"/>
      <c r="AG24" s="973"/>
      <c r="AH24" s="975"/>
      <c r="AI24" s="988"/>
      <c r="AJ24" s="977"/>
      <c r="AK24" s="973"/>
      <c r="AL24" s="975"/>
      <c r="AM24" s="988"/>
      <c r="AN24" s="977"/>
      <c r="AO24" s="973"/>
      <c r="AP24" s="975"/>
      <c r="AQ24" s="988"/>
      <c r="AR24" s="977"/>
      <c r="AS24" s="973"/>
      <c r="AT24" s="975"/>
      <c r="AU24" s="988"/>
      <c r="AV24" s="977"/>
      <c r="AW24" s="973"/>
      <c r="AX24" s="975"/>
      <c r="AY24" s="988"/>
      <c r="AZ24" s="977"/>
      <c r="BA24" s="973"/>
      <c r="BB24" s="975"/>
      <c r="BC24" s="988"/>
      <c r="BD24" s="977"/>
      <c r="BE24" s="217"/>
      <c r="BF24" s="959"/>
      <c r="BG24" s="959"/>
      <c r="BH24" s="236" t="s">
        <v>186</v>
      </c>
      <c r="BI24" s="235">
        <v>1000</v>
      </c>
      <c r="BJ24" s="416"/>
      <c r="BK24" s="419">
        <f>AA23</f>
        <v>1.2063432192780804E-2</v>
      </c>
      <c r="BL24" s="418"/>
      <c r="BM24" s="416"/>
      <c r="BN24" s="416"/>
      <c r="BO24" s="416"/>
      <c r="BP24" s="416"/>
      <c r="BQ24" s="416"/>
    </row>
    <row r="25" spans="1:120">
      <c r="B25" s="211"/>
      <c r="C25" s="938">
        <f>C24-C23</f>
        <v>-41.509999999998399</v>
      </c>
      <c r="D25" s="938"/>
      <c r="E25" s="211"/>
      <c r="F25" s="211"/>
      <c r="G25" s="211"/>
      <c r="H25" s="211"/>
      <c r="I25" s="211"/>
      <c r="J25" s="211"/>
      <c r="K25" s="945">
        <v>1009.41</v>
      </c>
      <c r="L25" s="945"/>
      <c r="M25" s="211"/>
      <c r="N25" s="211"/>
      <c r="O25" s="945">
        <f>2132.69-1028</f>
        <v>1104.69</v>
      </c>
      <c r="P25" s="945"/>
      <c r="Q25" s="211"/>
      <c r="R25" s="211"/>
      <c r="S25" s="945">
        <f>2129.61-63-76-373.6</f>
        <v>1617.0100000000002</v>
      </c>
      <c r="T25" s="945"/>
      <c r="U25" s="211"/>
      <c r="V25" s="211"/>
      <c r="W25" s="945">
        <v>2988.9</v>
      </c>
      <c r="X25" s="945"/>
      <c r="Y25" s="211"/>
      <c r="Z25" s="211">
        <v>1.1599999999999999</v>
      </c>
      <c r="AA25" s="945">
        <v>3075.41</v>
      </c>
      <c r="AB25" s="945"/>
      <c r="AC25" s="211"/>
      <c r="AD25" s="211"/>
      <c r="AE25" s="945">
        <f>AD4*$V35+AD5*$V36+AD6*$V37+AD7*$V38+AD8*$V39+AD9*$V40+AD10*$V41+AD11*$V42+AD12*$V43+AD13*$V44+AD15*$V46+AD16*$V47+AD17*$V48+AD18*$V49</f>
        <v>5653.8417735117737</v>
      </c>
      <c r="AF25" s="945"/>
      <c r="AG25" s="211"/>
      <c r="AH25" s="211"/>
      <c r="AI25" s="989">
        <f>AH4*$V35+AH5*$V36+AH6*$V37+AH7*$V38+AH8*$V39+AH9*$V40+AH10*$V41+AH11*$V42+AH12*$V43+AH13*$V44+AH15*$V46+AH16*$V47+AH17*$V48+AH18*$V49</f>
        <v>9608.439493672995</v>
      </c>
      <c r="AJ25" s="989"/>
      <c r="AK25" s="211"/>
      <c r="AL25" s="211"/>
      <c r="AM25" s="989">
        <f>AL4*$V35+AL5*$V36+AL6*$V37+AL7*$V38+AL8*$V39+AL9*$V40+AL10*$V41+AL11*$V42+AL12*$V43+AL13*$V44+AL15*$V46+AL16*$V47+AL17*$V48+AL18*$V49</f>
        <v>0</v>
      </c>
      <c r="AN25" s="989"/>
      <c r="AO25" s="211"/>
      <c r="AP25" s="211"/>
      <c r="AQ25" s="989">
        <f>AP4*$V35+AP5*$V36+AP6*$V37+AP7*$V38+AP8*$V39+AP9*$V40+AP10*$V41+AP11*$V42+AP12*$V43+AP13*$V44+AP15*$V46+AP16*$V47+AP17*$V48+AP18*$V49</f>
        <v>0</v>
      </c>
      <c r="AR25" s="989"/>
      <c r="AS25" s="211"/>
      <c r="AT25" s="211"/>
      <c r="AU25" s="989">
        <f>AT4*$V35+AT5*$V36+AT6*$V37+AT7*$V38+AT8*$V39+AT9*$V40+AT10*$V41+AT11*$V42+AT12*$V43+AT13*$V44+AT15*$V46+AT16*$V47+AT17*$V48+AT18*$V49</f>
        <v>0</v>
      </c>
      <c r="AV25" s="989"/>
      <c r="AW25" s="211"/>
      <c r="AX25" s="211"/>
      <c r="AY25" s="989">
        <f>AX4*$V35+AX5*$V36+AX6*$V37+AX7*$V38+AX8*$V39+AX9*$V40+AX10*$V41+AX11*$V42+AX12*$V43+AX13*$V44+AX15*$V46+AX16*$V47+AX17*$V48+AX18*$V49</f>
        <v>0</v>
      </c>
      <c r="AZ25" s="989"/>
      <c r="BA25" s="211"/>
      <c r="BB25" s="211"/>
      <c r="BC25" s="989">
        <f>BB4*$V35+BB5*$V36+BB6*$V37+BB7*$V38+BB8*$V39+BB9*$V40+BB10*$V41+BB11*$V42+BB12*$V43+BB13*$V44+BB15*$V46+BB16*$V47+BB17*$V48+BB18*$V49</f>
        <v>0</v>
      </c>
      <c r="BD25" s="989"/>
      <c r="BE25" s="216"/>
      <c r="BF25" s="420"/>
      <c r="BG25" s="422"/>
      <c r="BH25" s="234" t="s">
        <v>192</v>
      </c>
      <c r="BI25" s="521">
        <f>BI23/BI26</f>
        <v>892857.14285714284</v>
      </c>
      <c r="BJ25" s="416"/>
      <c r="BK25" s="419">
        <f>AE23</f>
        <v>1.2227084302902459E-2</v>
      </c>
      <c r="BL25" s="418"/>
      <c r="BM25" s="416"/>
      <c r="BN25" s="416"/>
      <c r="BO25" s="416"/>
      <c r="BP25" s="416"/>
      <c r="BQ25" s="416"/>
    </row>
    <row r="26" spans="1:120" ht="16.5" thickBot="1">
      <c r="B26" s="416" t="s">
        <v>429</v>
      </c>
      <c r="C26" s="937">
        <f>((C24-C23)/C23)</f>
        <v>-4.3821542547855218E-3</v>
      </c>
      <c r="D26" s="937"/>
      <c r="E26" s="211"/>
      <c r="F26" s="211"/>
      <c r="G26" s="211"/>
      <c r="H26" s="211"/>
      <c r="I26" s="211"/>
      <c r="J26" s="211"/>
      <c r="K26" s="211"/>
      <c r="L26" s="232">
        <v>44951</v>
      </c>
      <c r="M26" s="211"/>
      <c r="N26" s="211"/>
      <c r="O26" s="211"/>
      <c r="P26" s="232">
        <v>44985</v>
      </c>
      <c r="Q26" s="211"/>
      <c r="R26" s="211"/>
      <c r="S26" s="211"/>
      <c r="T26" s="232">
        <v>45012</v>
      </c>
      <c r="U26" s="211"/>
      <c r="V26" s="211"/>
      <c r="W26" s="211"/>
      <c r="X26" s="232">
        <v>45033</v>
      </c>
      <c r="Y26" s="211"/>
      <c r="Z26" s="211"/>
      <c r="AA26" s="211"/>
      <c r="AB26" s="232">
        <v>45063</v>
      </c>
      <c r="AC26" s="211"/>
      <c r="AD26" s="211"/>
      <c r="AE26" s="211"/>
      <c r="AF26" s="211"/>
      <c r="AG26" s="211"/>
      <c r="AH26" s="211"/>
      <c r="AI26" s="211"/>
      <c r="AJ26" s="211"/>
      <c r="AK26" s="211"/>
      <c r="AL26" s="211"/>
      <c r="AM26" s="211"/>
      <c r="AN26" s="211"/>
      <c r="AO26" s="211"/>
      <c r="AP26" s="211"/>
      <c r="AQ26" s="211"/>
      <c r="AR26" s="211"/>
      <c r="AS26" s="211"/>
      <c r="AT26" s="211"/>
      <c r="AU26" s="211"/>
      <c r="AV26" s="211"/>
      <c r="AW26" s="211"/>
      <c r="AX26" s="211"/>
      <c r="AY26" s="211"/>
      <c r="AZ26" s="211"/>
      <c r="BA26" s="211"/>
      <c r="BB26" s="211"/>
      <c r="BC26" s="416"/>
      <c r="BD26" s="416"/>
      <c r="BE26" s="416"/>
      <c r="BF26" s="420"/>
      <c r="BG26" s="422"/>
      <c r="BH26" s="231" t="s">
        <v>191</v>
      </c>
      <c r="BI26" s="230">
        <f>BI28</f>
        <v>1.12E-2</v>
      </c>
      <c r="BJ26" s="416"/>
      <c r="BK26" s="419">
        <f>AI23</f>
        <v>1.2135165140684837E-2</v>
      </c>
      <c r="BL26" s="418"/>
      <c r="BM26" s="416"/>
      <c r="BN26" s="416"/>
      <c r="BO26" s="416"/>
      <c r="BP26" s="416"/>
      <c r="BQ26" s="416"/>
    </row>
    <row r="27" spans="1:120" ht="16.5" thickBot="1">
      <c r="B27" s="211"/>
      <c r="C27" s="211"/>
      <c r="D27" s="211"/>
      <c r="E27" s="211"/>
      <c r="F27" s="211"/>
      <c r="G27" s="211"/>
      <c r="H27" s="211"/>
      <c r="I27" s="211"/>
      <c r="J27" s="211"/>
      <c r="K27" s="211"/>
      <c r="L27" s="211"/>
      <c r="M27" s="958">
        <f>(O25-K25)/K25</f>
        <v>9.4391773412191363E-2</v>
      </c>
      <c r="N27" s="958"/>
      <c r="O27" s="211"/>
      <c r="P27" s="211"/>
      <c r="Q27" s="958">
        <f>(S25-O25)/O25</f>
        <v>0.4637681159420291</v>
      </c>
      <c r="R27" s="958"/>
      <c r="S27" s="211"/>
      <c r="T27" s="211"/>
      <c r="U27" s="958">
        <f>(W25-S25)/S25</f>
        <v>0.8484115744491374</v>
      </c>
      <c r="V27" s="958"/>
      <c r="W27" s="211"/>
      <c r="X27" s="211"/>
      <c r="Y27" s="958">
        <f>(AA25-W25)/W25</f>
        <v>2.8943758573388122E-2</v>
      </c>
      <c r="Z27" s="958"/>
      <c r="AA27" s="211"/>
      <c r="AB27" s="211"/>
      <c r="AC27" s="958">
        <f>(AE25-AA25)/AA25</f>
        <v>0.83840261087522439</v>
      </c>
      <c r="AD27" s="958"/>
      <c r="AE27" s="211"/>
      <c r="AF27" s="211"/>
      <c r="AG27" s="948">
        <f>(AI25-AE25)/AE25</f>
        <v>0.69945319989117771</v>
      </c>
      <c r="AH27" s="948"/>
      <c r="AI27" s="211"/>
      <c r="AJ27" s="211"/>
      <c r="AK27" s="948">
        <f>(AM25-AI25)/AI25</f>
        <v>-1</v>
      </c>
      <c r="AL27" s="948"/>
      <c r="AM27" s="211"/>
      <c r="AN27" s="211"/>
      <c r="AO27" s="948" t="e">
        <f>(AQ25-AM25)/AM25</f>
        <v>#DIV/0!</v>
      </c>
      <c r="AP27" s="948"/>
      <c r="AQ27" s="211"/>
      <c r="AR27" s="211"/>
      <c r="AS27" s="948" t="e">
        <f>(AU25-AQ25)/AQ25</f>
        <v>#DIV/0!</v>
      </c>
      <c r="AT27" s="948"/>
      <c r="AU27" s="211"/>
      <c r="AV27" s="211"/>
      <c r="AW27" s="948" t="e">
        <f>(AY25-AU25)/AU25</f>
        <v>#DIV/0!</v>
      </c>
      <c r="AX27" s="948"/>
      <c r="AY27" s="211"/>
      <c r="AZ27" s="211"/>
      <c r="BA27" s="948" t="e">
        <f>(BC25-AY25)/AY25</f>
        <v>#DIV/0!</v>
      </c>
      <c r="BB27" s="948"/>
      <c r="BC27" s="416"/>
      <c r="BD27" s="416"/>
      <c r="BE27" s="416"/>
      <c r="BF27" s="420"/>
      <c r="BG27" s="422"/>
      <c r="BH27" s="225">
        <f ca="1">YEAR(BI18)</f>
        <v>2024</v>
      </c>
      <c r="BI27" s="212">
        <v>100000</v>
      </c>
      <c r="BJ27" s="416"/>
      <c r="BK27" s="419" t="e">
        <f>AM23</f>
        <v>#DIV/0!</v>
      </c>
      <c r="BL27" s="418"/>
      <c r="BM27" s="416"/>
      <c r="BN27" s="416"/>
      <c r="BO27" s="416"/>
      <c r="BP27" s="416"/>
      <c r="BQ27" s="416"/>
    </row>
    <row r="28" spans="1:120">
      <c r="B28" s="398" t="s">
        <v>248</v>
      </c>
      <c r="C28" s="399">
        <v>5.74</v>
      </c>
      <c r="D28" s="399">
        <f>$G$19</f>
        <v>9</v>
      </c>
      <c r="E28" s="400">
        <f>D28*C28</f>
        <v>51.660000000000004</v>
      </c>
      <c r="F28" s="211"/>
      <c r="G28" s="211"/>
      <c r="H28" s="211"/>
      <c r="I28" s="211"/>
      <c r="J28" s="211"/>
      <c r="K28" s="211"/>
      <c r="L28" s="211"/>
      <c r="M28" s="958"/>
      <c r="N28" s="958"/>
      <c r="O28" s="211"/>
      <c r="P28" s="211"/>
      <c r="Q28" s="958"/>
      <c r="R28" s="958"/>
      <c r="S28" s="211"/>
      <c r="T28" s="211"/>
      <c r="U28" s="958"/>
      <c r="V28" s="958"/>
      <c r="W28" s="211"/>
      <c r="X28" s="211"/>
      <c r="Y28" s="958"/>
      <c r="Z28" s="958"/>
      <c r="AA28" s="211"/>
      <c r="AB28" s="211"/>
      <c r="AC28" s="958"/>
      <c r="AD28" s="958"/>
      <c r="AE28" s="211"/>
      <c r="AF28" s="211"/>
      <c r="AG28" s="948"/>
      <c r="AH28" s="948"/>
      <c r="AI28" s="211"/>
      <c r="AJ28" s="211"/>
      <c r="AK28" s="948"/>
      <c r="AL28" s="948"/>
      <c r="AM28" s="211"/>
      <c r="AN28" s="211"/>
      <c r="AO28" s="948"/>
      <c r="AP28" s="948"/>
      <c r="AQ28" s="211"/>
      <c r="AR28" s="211"/>
      <c r="AS28" s="948"/>
      <c r="AT28" s="948"/>
      <c r="AU28" s="211"/>
      <c r="AV28" s="211"/>
      <c r="AW28" s="948"/>
      <c r="AX28" s="948"/>
      <c r="AY28" s="211"/>
      <c r="AZ28" s="211"/>
      <c r="BA28" s="948"/>
      <c r="BB28" s="948"/>
      <c r="BC28" s="416"/>
      <c r="BD28" s="416"/>
      <c r="BE28" s="416"/>
      <c r="BF28" s="420"/>
      <c r="BG28" s="422"/>
      <c r="BH28" s="211"/>
      <c r="BI28" s="229">
        <v>1.12E-2</v>
      </c>
      <c r="BJ28" s="416"/>
      <c r="BK28" s="419" t="e">
        <f>AQ23</f>
        <v>#DIV/0!</v>
      </c>
      <c r="BL28" s="418"/>
      <c r="BM28" s="416"/>
      <c r="BN28" s="416"/>
      <c r="BO28" s="416"/>
      <c r="BP28" s="416"/>
      <c r="BQ28" s="416"/>
    </row>
    <row r="29" spans="1:120">
      <c r="B29" s="401" t="s">
        <v>243</v>
      </c>
      <c r="C29" s="397">
        <v>10.18</v>
      </c>
      <c r="D29" s="397">
        <f>$G$4</f>
        <v>18</v>
      </c>
      <c r="E29" s="402">
        <f t="shared" ref="E29:E38" si="18">D29*C29</f>
        <v>183.24</v>
      </c>
      <c r="F29" s="211"/>
      <c r="G29" s="211"/>
      <c r="H29" s="211"/>
      <c r="I29" s="211"/>
      <c r="J29" s="211"/>
      <c r="K29" s="211"/>
      <c r="L29" s="211"/>
      <c r="M29" s="958"/>
      <c r="N29" s="958"/>
      <c r="O29" s="211"/>
      <c r="P29" s="211"/>
      <c r="Q29" s="958"/>
      <c r="R29" s="958"/>
      <c r="S29" s="211"/>
      <c r="T29" s="211"/>
      <c r="U29" s="958"/>
      <c r="V29" s="958"/>
      <c r="W29" s="211"/>
      <c r="X29" s="211"/>
      <c r="Y29" s="958"/>
      <c r="Z29" s="958"/>
      <c r="AA29" s="211"/>
      <c r="AB29" s="211"/>
      <c r="AC29" s="958"/>
      <c r="AD29" s="958"/>
      <c r="AE29" s="211"/>
      <c r="AF29" s="211"/>
      <c r="AG29" s="948"/>
      <c r="AH29" s="948"/>
      <c r="AI29" s="211"/>
      <c r="AJ29" s="211"/>
      <c r="AK29" s="948"/>
      <c r="AL29" s="948"/>
      <c r="AM29" s="211"/>
      <c r="AN29" s="211"/>
      <c r="AO29" s="948"/>
      <c r="AP29" s="948"/>
      <c r="AQ29" s="211"/>
      <c r="AR29" s="211"/>
      <c r="AS29" s="948"/>
      <c r="AT29" s="948"/>
      <c r="AU29" s="211"/>
      <c r="AV29" s="211"/>
      <c r="AW29" s="948"/>
      <c r="AX29" s="948"/>
      <c r="AY29" s="211"/>
      <c r="AZ29" s="211"/>
      <c r="BA29" s="948"/>
      <c r="BB29" s="948"/>
      <c r="BC29" s="416"/>
      <c r="BD29" s="416"/>
      <c r="BE29" s="416"/>
      <c r="BF29" s="420"/>
      <c r="BG29" s="422"/>
      <c r="BH29" s="211"/>
      <c r="BI29" s="222"/>
      <c r="BJ29" s="416"/>
      <c r="BK29" s="419" t="e">
        <f>AU23</f>
        <v>#DIV/0!</v>
      </c>
      <c r="BL29" s="418"/>
      <c r="BM29" s="416"/>
      <c r="BN29" s="416"/>
      <c r="BO29" s="416"/>
      <c r="BP29" s="416"/>
      <c r="BQ29" s="416"/>
    </row>
    <row r="30" spans="1:120" s="224" customFormat="1">
      <c r="A30" s="225"/>
      <c r="B30" s="403" t="s">
        <v>242</v>
      </c>
      <c r="C30" s="397">
        <v>7.54</v>
      </c>
      <c r="D30" s="397">
        <f>$G$5</f>
        <v>0</v>
      </c>
      <c r="E30" s="402">
        <f t="shared" si="18"/>
        <v>0</v>
      </c>
      <c r="F30" s="225"/>
      <c r="G30" s="416"/>
      <c r="H30" s="416"/>
      <c r="I30" s="416"/>
      <c r="J30" s="416"/>
      <c r="K30" s="423">
        <f>SUM(L30:BF30)</f>
        <v>207.58</v>
      </c>
      <c r="L30" s="423">
        <f>SUM(L4:L11)</f>
        <v>8.26</v>
      </c>
      <c r="M30" s="416"/>
      <c r="N30" s="416"/>
      <c r="O30" s="416"/>
      <c r="P30" s="423">
        <f>SUM(P4:P11)</f>
        <v>9.0399999999999991</v>
      </c>
      <c r="Q30" s="416"/>
      <c r="R30" s="416"/>
      <c r="S30" s="416"/>
      <c r="T30" s="423">
        <f>SUM(T4:T11)</f>
        <v>12.83</v>
      </c>
      <c r="U30" s="416"/>
      <c r="V30" s="416"/>
      <c r="W30" s="416"/>
      <c r="X30" s="423">
        <f>SUM(X4:X11)</f>
        <v>23.270000000000003</v>
      </c>
      <c r="Y30" s="416"/>
      <c r="Z30" s="416"/>
      <c r="AA30" s="416"/>
      <c r="AB30" s="423">
        <f>SUM(AB4:AB11)</f>
        <v>24.450000000000003</v>
      </c>
      <c r="AC30" s="416"/>
      <c r="AD30" s="416"/>
      <c r="AE30" s="416"/>
      <c r="AF30" s="423">
        <f>SUM(AF4:AF11)</f>
        <v>53.760000000000005</v>
      </c>
      <c r="AG30" s="416"/>
      <c r="AH30" s="416"/>
      <c r="AI30" s="416"/>
      <c r="AJ30" s="423">
        <f>SUM(AJ4:AJ11)</f>
        <v>75.97</v>
      </c>
      <c r="AK30" s="416"/>
      <c r="AL30" s="416"/>
      <c r="AM30" s="416"/>
      <c r="AN30" s="423">
        <f>SUM(AN4:AN11)</f>
        <v>0</v>
      </c>
      <c r="AO30" s="416"/>
      <c r="AP30" s="416"/>
      <c r="AQ30" s="416"/>
      <c r="AR30" s="423">
        <f>SUM(AR4:AR11)</f>
        <v>0</v>
      </c>
      <c r="AS30" s="416"/>
      <c r="AT30" s="416"/>
      <c r="AU30" s="416"/>
      <c r="AV30" s="423">
        <f>SUM(AV4:AV11)</f>
        <v>0</v>
      </c>
      <c r="AW30" s="416"/>
      <c r="AX30" s="416"/>
      <c r="AY30" s="416"/>
      <c r="AZ30" s="423">
        <f>SUM(AZ4:AZ11)</f>
        <v>0</v>
      </c>
      <c r="BA30" s="416"/>
      <c r="BB30" s="416"/>
      <c r="BC30" s="416"/>
      <c r="BD30" s="423">
        <f>SUM(BD4:BD11)</f>
        <v>0</v>
      </c>
      <c r="BE30" s="423"/>
      <c r="BF30" s="420"/>
      <c r="BG30" s="422"/>
      <c r="BH30" s="225"/>
      <c r="BI30" s="226"/>
      <c r="BJ30" s="416"/>
      <c r="BK30" s="419" t="e">
        <f>AY23</f>
        <v>#DIV/0!</v>
      </c>
      <c r="BL30" s="418"/>
      <c r="BM30" s="416"/>
      <c r="BN30" s="416"/>
      <c r="BO30" s="416"/>
      <c r="BP30" s="416"/>
      <c r="BQ30" s="416"/>
      <c r="BR30" s="225"/>
      <c r="BS30" s="225"/>
      <c r="BT30" s="225"/>
      <c r="BU30" s="225"/>
      <c r="BV30" s="225"/>
      <c r="BW30" s="225"/>
      <c r="BX30" s="225"/>
      <c r="BY30" s="225"/>
      <c r="BZ30" s="225"/>
      <c r="CA30" s="225"/>
      <c r="CB30" s="225"/>
      <c r="CC30" s="225"/>
      <c r="CD30" s="225"/>
      <c r="CE30" s="225"/>
      <c r="CF30" s="225"/>
      <c r="CG30" s="225"/>
      <c r="CH30" s="225"/>
      <c r="CI30" s="225"/>
      <c r="CJ30" s="225"/>
      <c r="CK30" s="225"/>
      <c r="CL30" s="225"/>
      <c r="CM30" s="225"/>
      <c r="CN30" s="225"/>
      <c r="CO30" s="225"/>
      <c r="CP30" s="225"/>
      <c r="CQ30" s="225"/>
      <c r="CR30" s="225"/>
      <c r="CS30" s="225"/>
      <c r="CT30" s="225"/>
      <c r="CU30" s="225"/>
      <c r="CV30" s="225"/>
      <c r="CW30" s="225"/>
      <c r="CX30" s="225"/>
      <c r="CY30" s="225"/>
      <c r="CZ30" s="225"/>
      <c r="DA30" s="225"/>
      <c r="DB30" s="225"/>
      <c r="DC30" s="225"/>
      <c r="DD30" s="225"/>
      <c r="DE30" s="225"/>
      <c r="DF30" s="225"/>
      <c r="DG30" s="225"/>
      <c r="DH30" s="225"/>
      <c r="DI30" s="225"/>
      <c r="DJ30" s="225"/>
      <c r="DK30" s="225"/>
      <c r="DL30" s="225"/>
      <c r="DM30" s="225"/>
      <c r="DN30" s="225"/>
      <c r="DO30" s="225"/>
      <c r="DP30" s="225"/>
    </row>
    <row r="31" spans="1:120" s="224" customFormat="1" ht="16.5" thickBot="1">
      <c r="A31" s="225"/>
      <c r="B31" s="403" t="s">
        <v>241</v>
      </c>
      <c r="C31" s="397">
        <v>91.99</v>
      </c>
      <c r="D31" s="397">
        <f>$G$6</f>
        <v>28</v>
      </c>
      <c r="E31" s="402">
        <f t="shared" si="18"/>
        <v>2575.7199999999998</v>
      </c>
      <c r="F31" s="225"/>
      <c r="G31" s="416">
        <v>1.77</v>
      </c>
      <c r="H31" s="416"/>
      <c r="I31" s="416"/>
      <c r="J31" s="416"/>
      <c r="K31" s="423">
        <f>SUM(L31:BF31)</f>
        <v>81.47</v>
      </c>
      <c r="L31" s="423">
        <f>SUM(L12:L19)</f>
        <v>2.3400000000000003</v>
      </c>
      <c r="M31" s="416"/>
      <c r="N31" s="416"/>
      <c r="O31" s="416"/>
      <c r="P31" s="423">
        <f>SUM(P12:P19)</f>
        <v>2.54</v>
      </c>
      <c r="Q31" s="416"/>
      <c r="R31" s="416"/>
      <c r="S31" s="416"/>
      <c r="T31" s="423">
        <f>SUM(T12:T19)</f>
        <v>2.54</v>
      </c>
      <c r="U31" s="416"/>
      <c r="V31" s="416"/>
      <c r="W31" s="416"/>
      <c r="X31" s="423">
        <f>SUM(X12:X19)</f>
        <v>5.4</v>
      </c>
      <c r="Y31" s="416"/>
      <c r="Z31" s="416"/>
      <c r="AA31" s="416"/>
      <c r="AB31" s="423">
        <f>SUM(AB12:AB19)</f>
        <v>12.65</v>
      </c>
      <c r="AC31" s="416"/>
      <c r="AD31" s="416"/>
      <c r="AE31" s="416"/>
      <c r="AF31" s="423">
        <f>SUM(AF12:AF19)</f>
        <v>15.37</v>
      </c>
      <c r="AG31" s="416"/>
      <c r="AH31" s="416"/>
      <c r="AI31" s="416"/>
      <c r="AJ31" s="423">
        <f>SUM(AJ12:AJ19)</f>
        <v>40.630000000000003</v>
      </c>
      <c r="AK31" s="416"/>
      <c r="AL31" s="416"/>
      <c r="AM31" s="416"/>
      <c r="AN31" s="423">
        <f>SUM(AN12:AN19)</f>
        <v>0</v>
      </c>
      <c r="AO31" s="416"/>
      <c r="AP31" s="416"/>
      <c r="AQ31" s="416"/>
      <c r="AR31" s="423">
        <f>SUM(AR12:AR19)</f>
        <v>0</v>
      </c>
      <c r="AS31" s="416"/>
      <c r="AT31" s="416"/>
      <c r="AU31" s="416"/>
      <c r="AV31" s="423">
        <f>SUM(AV12:AV19)</f>
        <v>0</v>
      </c>
      <c r="AW31" s="416"/>
      <c r="AX31" s="416"/>
      <c r="AY31" s="416"/>
      <c r="AZ31" s="423">
        <f>SUM(AZ12:AZ19)</f>
        <v>0</v>
      </c>
      <c r="BA31" s="416"/>
      <c r="BB31" s="416"/>
      <c r="BC31" s="416"/>
      <c r="BD31" s="423">
        <f>SUM(BD12:BD19)</f>
        <v>0</v>
      </c>
      <c r="BE31" s="423"/>
      <c r="BF31" s="420"/>
      <c r="BG31" s="422"/>
      <c r="BH31" s="228"/>
      <c r="BI31" s="226"/>
      <c r="BJ31" s="416"/>
      <c r="BK31" s="419" t="e">
        <f>BC23</f>
        <v>#DIV/0!</v>
      </c>
      <c r="BL31" s="418"/>
      <c r="BM31" s="416"/>
      <c r="BN31" s="416"/>
      <c r="BO31" s="416"/>
      <c r="BP31" s="416"/>
      <c r="BQ31" s="416"/>
      <c r="BR31" s="225"/>
      <c r="BS31" s="225"/>
      <c r="BT31" s="225"/>
      <c r="BU31" s="225"/>
      <c r="BV31" s="225"/>
      <c r="BW31" s="225"/>
      <c r="BX31" s="225"/>
      <c r="BY31" s="225"/>
      <c r="BZ31" s="225"/>
      <c r="CA31" s="225"/>
      <c r="CB31" s="225"/>
      <c r="CC31" s="225"/>
      <c r="CD31" s="225"/>
      <c r="CE31" s="225"/>
      <c r="CF31" s="225"/>
      <c r="CG31" s="225"/>
      <c r="CH31" s="225"/>
      <c r="CI31" s="225"/>
      <c r="CJ31" s="225"/>
      <c r="CK31" s="225"/>
      <c r="CL31" s="225"/>
      <c r="CM31" s="225"/>
      <c r="CN31" s="225"/>
      <c r="CO31" s="225"/>
      <c r="CP31" s="225"/>
      <c r="CQ31" s="225"/>
      <c r="CR31" s="225"/>
      <c r="CS31" s="225"/>
      <c r="CT31" s="225"/>
      <c r="CU31" s="225"/>
      <c r="CV31" s="225"/>
      <c r="CW31" s="225"/>
      <c r="CX31" s="225"/>
      <c r="CY31" s="225"/>
      <c r="CZ31" s="225"/>
      <c r="DA31" s="225"/>
      <c r="DB31" s="225"/>
      <c r="DC31" s="225"/>
      <c r="DD31" s="225"/>
      <c r="DE31" s="225"/>
      <c r="DF31" s="225"/>
      <c r="DG31" s="225"/>
      <c r="DH31" s="225"/>
      <c r="DI31" s="225"/>
      <c r="DJ31" s="225"/>
      <c r="DK31" s="225"/>
      <c r="DL31" s="225"/>
      <c r="DM31" s="225"/>
      <c r="DN31" s="225"/>
      <c r="DO31" s="225"/>
      <c r="DP31" s="225"/>
    </row>
    <row r="32" spans="1:120" s="224" customFormat="1">
      <c r="A32" s="225"/>
      <c r="B32" s="403" t="s">
        <v>240</v>
      </c>
      <c r="C32" s="397">
        <v>9.4499999999999993</v>
      </c>
      <c r="D32" s="397">
        <f>$G$7</f>
        <v>18</v>
      </c>
      <c r="E32" s="402">
        <f t="shared" si="18"/>
        <v>170.1</v>
      </c>
      <c r="F32" s="225"/>
      <c r="G32" s="416">
        <v>3.36</v>
      </c>
      <c r="H32" s="416"/>
      <c r="I32" s="416"/>
      <c r="J32" s="416"/>
      <c r="K32" s="423">
        <f>K30+K31</f>
        <v>289.05</v>
      </c>
      <c r="L32" s="416"/>
      <c r="M32" s="416"/>
      <c r="N32" s="416"/>
      <c r="O32" s="416"/>
      <c r="P32" s="416"/>
      <c r="Q32" s="416"/>
      <c r="R32" s="416"/>
      <c r="S32" s="416"/>
      <c r="T32" s="416"/>
      <c r="U32" s="416"/>
      <c r="V32" s="939" t="s">
        <v>430</v>
      </c>
      <c r="W32" s="941" t="s">
        <v>431</v>
      </c>
      <c r="X32" s="943" t="s">
        <v>432</v>
      </c>
      <c r="Y32" s="947" t="s">
        <v>433</v>
      </c>
      <c r="Z32" s="934" t="s">
        <v>434</v>
      </c>
      <c r="AA32" s="934" t="s">
        <v>435</v>
      </c>
      <c r="AB32" s="416"/>
      <c r="AC32" s="416"/>
      <c r="AD32" s="416"/>
      <c r="AE32" s="416"/>
      <c r="AF32" s="416"/>
      <c r="AG32" s="416"/>
      <c r="AH32" s="416"/>
      <c r="AI32" s="416"/>
      <c r="AJ32" s="416"/>
      <c r="AK32" s="416"/>
      <c r="AL32" s="416"/>
      <c r="AM32" s="416"/>
      <c r="AN32" s="416"/>
      <c r="AO32" s="416"/>
      <c r="AP32" s="416"/>
      <c r="AQ32" s="416"/>
      <c r="AR32" s="416"/>
      <c r="AS32" s="416"/>
      <c r="AT32" s="416"/>
      <c r="AU32" s="416"/>
      <c r="AV32" s="416"/>
      <c r="AW32" s="416"/>
      <c r="AX32" s="416"/>
      <c r="AY32" s="416"/>
      <c r="AZ32" s="416"/>
      <c r="BA32" s="416"/>
      <c r="BB32" s="416"/>
      <c r="BC32" s="416"/>
      <c r="BD32" s="416"/>
      <c r="BE32" s="416"/>
      <c r="BF32" s="420"/>
      <c r="BG32" s="420"/>
      <c r="BH32" s="227"/>
      <c r="BI32" s="226"/>
      <c r="BJ32" s="416"/>
      <c r="BK32" s="416"/>
      <c r="BL32" s="416"/>
      <c r="BM32" s="416"/>
      <c r="BN32" s="416"/>
      <c r="BO32" s="416"/>
      <c r="BP32" s="416"/>
      <c r="BQ32" s="416"/>
      <c r="BR32" s="225"/>
      <c r="BS32" s="225"/>
      <c r="BT32" s="225"/>
      <c r="BU32" s="225"/>
      <c r="BV32" s="225"/>
      <c r="BW32" s="225"/>
      <c r="BX32" s="225"/>
      <c r="BY32" s="225"/>
      <c r="BZ32" s="225"/>
      <c r="CA32" s="225"/>
      <c r="CB32" s="225"/>
      <c r="CC32" s="225"/>
      <c r="CD32" s="225"/>
      <c r="CE32" s="225"/>
      <c r="CF32" s="225"/>
      <c r="CG32" s="225"/>
      <c r="CH32" s="225"/>
      <c r="CI32" s="225"/>
      <c r="CJ32" s="225"/>
      <c r="CK32" s="225"/>
      <c r="CL32" s="225"/>
      <c r="CM32" s="225"/>
      <c r="CN32" s="225"/>
      <c r="CO32" s="225"/>
      <c r="CP32" s="225"/>
      <c r="CQ32" s="225"/>
      <c r="CR32" s="225"/>
      <c r="CS32" s="225"/>
      <c r="CT32" s="225"/>
      <c r="CU32" s="225"/>
      <c r="CV32" s="225"/>
      <c r="CW32" s="225"/>
      <c r="CX32" s="225"/>
      <c r="CY32" s="225"/>
      <c r="CZ32" s="225"/>
      <c r="DA32" s="225"/>
      <c r="DB32" s="225"/>
      <c r="DC32" s="225"/>
      <c r="DD32" s="225"/>
      <c r="DE32" s="225"/>
      <c r="DF32" s="225"/>
      <c r="DG32" s="225"/>
      <c r="DH32" s="225"/>
      <c r="DI32" s="225"/>
      <c r="DJ32" s="225"/>
      <c r="DK32" s="225"/>
      <c r="DL32" s="225"/>
      <c r="DM32" s="225"/>
      <c r="DN32" s="225"/>
      <c r="DO32" s="225"/>
      <c r="DP32" s="225"/>
    </row>
    <row r="33" spans="2:69" ht="16.5" thickBot="1">
      <c r="B33" s="401" t="s">
        <v>237</v>
      </c>
      <c r="C33" s="397">
        <v>103.33</v>
      </c>
      <c r="D33" s="397">
        <f>$G$8</f>
        <v>1</v>
      </c>
      <c r="E33" s="402">
        <f t="shared" si="18"/>
        <v>103.33</v>
      </c>
      <c r="F33" s="211"/>
      <c r="G33" s="416">
        <v>2.5299999999999998</v>
      </c>
      <c r="H33" s="416"/>
      <c r="I33" s="416"/>
      <c r="J33" s="416"/>
      <c r="K33" s="416"/>
      <c r="L33" s="416"/>
      <c r="M33" s="416"/>
      <c r="N33" s="416"/>
      <c r="O33" s="416"/>
      <c r="P33" s="416"/>
      <c r="Q33" s="416"/>
      <c r="R33" s="416"/>
      <c r="S33" s="416"/>
      <c r="T33" s="416"/>
      <c r="U33" s="416"/>
      <c r="V33" s="940"/>
      <c r="W33" s="942"/>
      <c r="X33" s="944"/>
      <c r="Y33" s="947"/>
      <c r="Z33" s="934"/>
      <c r="AA33" s="934"/>
      <c r="AB33" s="416">
        <v>2022</v>
      </c>
      <c r="AC33" s="416">
        <v>2023</v>
      </c>
      <c r="AD33" s="416">
        <v>2024</v>
      </c>
      <c r="AE33" s="416"/>
      <c r="AF33" s="416"/>
      <c r="AG33" s="416"/>
      <c r="AH33" s="416"/>
      <c r="AI33" s="416"/>
      <c r="AJ33" s="416"/>
      <c r="AK33" s="416"/>
      <c r="AL33" s="416"/>
      <c r="AM33" s="416"/>
      <c r="AN33" s="416"/>
      <c r="AO33" s="416"/>
      <c r="AP33" s="416"/>
      <c r="AQ33" s="416"/>
      <c r="AR33" s="416"/>
      <c r="AS33" s="416"/>
      <c r="AT33" s="416"/>
      <c r="AU33" s="416"/>
      <c r="AV33" s="416"/>
      <c r="AW33" s="416"/>
      <c r="AX33" s="416"/>
      <c r="AY33" s="416"/>
      <c r="AZ33" s="416"/>
      <c r="BA33" s="416"/>
      <c r="BB33" s="416"/>
      <c r="BC33" s="416"/>
      <c r="BD33" s="416"/>
      <c r="BE33" s="416"/>
      <c r="BF33" s="420"/>
      <c r="BG33" s="422"/>
      <c r="BH33" s="211"/>
      <c r="BI33" s="222"/>
      <c r="BJ33" s="416"/>
      <c r="BK33" s="416"/>
      <c r="BL33" s="416"/>
      <c r="BM33" s="416"/>
      <c r="BN33" s="416"/>
      <c r="BO33" s="416"/>
      <c r="BP33" s="416"/>
      <c r="BQ33" s="416"/>
    </row>
    <row r="34" spans="2:69" ht="16.5" thickBot="1">
      <c r="B34" s="401" t="s">
        <v>236</v>
      </c>
      <c r="C34" s="397">
        <v>6.57</v>
      </c>
      <c r="D34" s="397">
        <f>$G$9</f>
        <v>111</v>
      </c>
      <c r="E34" s="402">
        <f t="shared" si="18"/>
        <v>729.27</v>
      </c>
      <c r="F34" s="211"/>
      <c r="G34" s="416">
        <v>14.64</v>
      </c>
      <c r="H34" s="416"/>
      <c r="I34" s="416"/>
      <c r="J34" s="416"/>
      <c r="K34" s="416"/>
      <c r="L34" s="416"/>
      <c r="M34" s="416"/>
      <c r="N34" s="416"/>
      <c r="O34" s="416"/>
      <c r="P34" s="416"/>
      <c r="Q34" s="416"/>
      <c r="R34" s="416"/>
      <c r="S34" s="416"/>
      <c r="T34" s="541"/>
      <c r="U34" s="398" t="s">
        <v>248</v>
      </c>
      <c r="V34" s="549">
        <f>X34/W34</f>
        <v>5.7422222222222219</v>
      </c>
      <c r="W34" s="547">
        <f>$G$19</f>
        <v>9</v>
      </c>
      <c r="X34" s="545">
        <f t="shared" ref="X34:X49" si="19">SUM(AB34:AD34)</f>
        <v>51.68</v>
      </c>
      <c r="Y34" s="423">
        <f>BE19</f>
        <v>1.2400000000000002</v>
      </c>
      <c r="Z34" s="553">
        <f>Y34/X34</f>
        <v>2.3993808049535607E-2</v>
      </c>
      <c r="AA34" s="553">
        <f>Y34/$Y$50</f>
        <v>4.2899152395779279E-3</v>
      </c>
      <c r="AB34" s="416">
        <v>51.68</v>
      </c>
      <c r="AC34" s="416">
        <v>0</v>
      </c>
      <c r="AD34" s="422"/>
      <c r="AE34" s="416"/>
      <c r="AF34" s="416"/>
      <c r="AG34" s="416"/>
      <c r="AH34" s="416"/>
      <c r="AI34" s="416"/>
      <c r="AJ34" s="416"/>
      <c r="AK34" s="416"/>
      <c r="AL34" s="416"/>
      <c r="AM34" s="416"/>
      <c r="AN34" s="416"/>
      <c r="AO34" s="416"/>
      <c r="AP34" s="416"/>
      <c r="AQ34" s="416"/>
      <c r="AR34" s="416"/>
      <c r="AS34" s="416"/>
      <c r="AT34" s="416"/>
      <c r="AU34" s="416"/>
      <c r="AV34" s="416"/>
      <c r="AW34" s="416"/>
      <c r="AX34" s="416"/>
      <c r="AY34" s="416"/>
      <c r="AZ34" s="416"/>
      <c r="BA34" s="416"/>
      <c r="BB34" s="416"/>
      <c r="BC34" s="416"/>
      <c r="BD34" s="416"/>
      <c r="BE34" s="416"/>
      <c r="BF34" s="420"/>
      <c r="BG34" s="422"/>
      <c r="BH34" s="211"/>
      <c r="BI34" s="222"/>
      <c r="BJ34" s="416"/>
      <c r="BK34" s="416"/>
      <c r="BL34" s="416"/>
      <c r="BM34" s="416"/>
      <c r="BN34" s="416"/>
      <c r="BO34" s="416"/>
      <c r="BP34" s="416"/>
      <c r="BQ34" s="416"/>
    </row>
    <row r="35" spans="2:69">
      <c r="B35" s="401" t="s">
        <v>235</v>
      </c>
      <c r="C35" s="397">
        <v>75.55</v>
      </c>
      <c r="D35" s="397">
        <f>$G$10</f>
        <v>5</v>
      </c>
      <c r="E35" s="402">
        <f t="shared" si="18"/>
        <v>377.75</v>
      </c>
      <c r="F35" s="211"/>
      <c r="G35" s="416">
        <v>9.8000000000000007</v>
      </c>
      <c r="H35" s="416"/>
      <c r="I35" s="416"/>
      <c r="J35" s="416"/>
      <c r="K35" s="416"/>
      <c r="L35" s="416"/>
      <c r="M35" s="416"/>
      <c r="N35" s="416"/>
      <c r="O35" s="416"/>
      <c r="P35" s="559" t="s">
        <v>243</v>
      </c>
      <c r="Q35" s="569">
        <f>AI4/V35</f>
        <v>1.2073784237003915E-2</v>
      </c>
      <c r="R35" s="257">
        <f>AJ4</f>
        <v>1.8</v>
      </c>
      <c r="S35" s="586">
        <f t="shared" ref="S35:S49" si="20">IF(AJ35&gt;0.015,1,IF(AJ35&gt;0.013,2,IF(AJ35&gt;0.011,3,"")))</f>
        <v>3</v>
      </c>
      <c r="T35" s="576" t="s">
        <v>470</v>
      </c>
      <c r="U35" s="401" t="s">
        <v>243</v>
      </c>
      <c r="V35" s="549">
        <f>X35/W35</f>
        <v>9.9388888888888882</v>
      </c>
      <c r="W35" s="547">
        <f>$G$4</f>
        <v>18</v>
      </c>
      <c r="X35" s="545">
        <f t="shared" si="19"/>
        <v>178.89999999999998</v>
      </c>
      <c r="Y35" s="423">
        <f>BE4</f>
        <v>12.15</v>
      </c>
      <c r="Z35" s="553">
        <f t="shared" ref="Z35:Z49" si="21">Y35/X35</f>
        <v>6.7915036333147022E-2</v>
      </c>
      <c r="AA35" s="553">
        <f t="shared" ref="AA35:AA49" si="22">Y35/$Y$50</f>
        <v>4.2034250129735343E-2</v>
      </c>
      <c r="AB35" s="416">
        <v>147.82</v>
      </c>
      <c r="AC35" s="423">
        <f>COTAS!F17</f>
        <v>31.08</v>
      </c>
      <c r="AD35" s="583"/>
      <c r="AE35" s="575">
        <f>AF35-W35</f>
        <v>72.833333333333329</v>
      </c>
      <c r="AF35" s="585">
        <f t="shared" ref="AF35:AF39" si="23">AG35/AA4</f>
        <v>90.833333333333329</v>
      </c>
      <c r="AG35" s="437">
        <v>10.9</v>
      </c>
      <c r="AH35" s="581">
        <f>AG35*AF35</f>
        <v>990.08333333333326</v>
      </c>
      <c r="AI35" s="581">
        <f>IF(AE35&gt;0,AG35*AE35,0)</f>
        <v>793.88333333333333</v>
      </c>
      <c r="AJ35" s="418">
        <f t="shared" ref="AJ35:AJ49" si="24">AG35/AH35</f>
        <v>1.1009174311926606E-2</v>
      </c>
      <c r="AK35" s="418">
        <f>V35/AH35</f>
        <v>1.0038436719692507E-2</v>
      </c>
      <c r="AL35" s="416"/>
      <c r="AM35" s="416"/>
      <c r="AN35" s="416">
        <v>2.99</v>
      </c>
      <c r="AO35" s="416"/>
      <c r="AP35" s="416"/>
      <c r="AQ35" s="416"/>
      <c r="AR35" s="416"/>
      <c r="AS35" s="416"/>
      <c r="AT35" s="416"/>
      <c r="AU35" s="416"/>
      <c r="AV35" s="416"/>
      <c r="AW35" s="416"/>
      <c r="AX35" s="416"/>
      <c r="AY35" s="416"/>
      <c r="AZ35" s="416"/>
      <c r="BA35" s="416"/>
      <c r="BB35" s="416"/>
      <c r="BC35" s="416"/>
      <c r="BD35" s="416"/>
      <c r="BE35" s="416"/>
      <c r="BF35" s="420"/>
      <c r="BG35" s="422"/>
      <c r="BH35" s="211"/>
      <c r="BI35" s="222"/>
      <c r="BJ35" s="420"/>
      <c r="BK35" s="420"/>
      <c r="BL35" s="416"/>
      <c r="BM35" s="416"/>
      <c r="BN35" s="416"/>
      <c r="BO35" s="416"/>
      <c r="BP35" s="416"/>
      <c r="BQ35" s="416"/>
    </row>
    <row r="36" spans="2:69">
      <c r="B36" s="401" t="s">
        <v>234</v>
      </c>
      <c r="C36" s="397">
        <v>92.18</v>
      </c>
      <c r="D36" s="397">
        <f>$G$11</f>
        <v>20</v>
      </c>
      <c r="E36" s="402">
        <f t="shared" si="18"/>
        <v>1843.6000000000001</v>
      </c>
      <c r="F36" s="211"/>
      <c r="G36" s="416">
        <v>6.92</v>
      </c>
      <c r="H36" s="416"/>
      <c r="I36" s="416" t="s">
        <v>689</v>
      </c>
      <c r="J36" s="416" t="s">
        <v>562</v>
      </c>
      <c r="K36" s="416"/>
      <c r="L36" s="416"/>
      <c r="M36" s="416"/>
      <c r="N36" s="541"/>
      <c r="O36" s="416"/>
      <c r="P36" s="559" t="s">
        <v>242</v>
      </c>
      <c r="Q36" s="602">
        <f>AI5/V36</f>
        <v>1.0403120936280884E-2</v>
      </c>
      <c r="R36" s="601">
        <f>AJ5</f>
        <v>1.2</v>
      </c>
      <c r="S36" s="586" t="str">
        <f t="shared" si="20"/>
        <v/>
      </c>
      <c r="T36" s="576" t="s">
        <v>469</v>
      </c>
      <c r="U36" s="403" t="s">
        <v>242</v>
      </c>
      <c r="V36" s="549">
        <v>7.69</v>
      </c>
      <c r="W36" s="547">
        <f>$G$5</f>
        <v>0</v>
      </c>
      <c r="X36" s="545">
        <f t="shared" si="19"/>
        <v>-14.680000000000007</v>
      </c>
      <c r="Y36" s="423">
        <f>BE5</f>
        <v>5.7</v>
      </c>
      <c r="Z36" s="553">
        <f t="shared" si="21"/>
        <v>-0.38828337874659385</v>
      </c>
      <c r="AA36" s="553">
        <f t="shared" si="22"/>
        <v>1.9719771665801765E-2</v>
      </c>
      <c r="AB36" s="416">
        <v>75.42</v>
      </c>
      <c r="AC36" s="423">
        <f>COTAS!K17</f>
        <v>-90.100000000000009</v>
      </c>
      <c r="AD36" s="583"/>
      <c r="AE36" s="575">
        <f t="shared" ref="AE36:AE49" si="25">AF36-W36</f>
        <v>121.42857142857144</v>
      </c>
      <c r="AF36" s="585">
        <f t="shared" si="23"/>
        <v>121.42857142857144</v>
      </c>
      <c r="AG36" s="437">
        <v>8.5</v>
      </c>
      <c r="AH36" s="581">
        <f t="shared" ref="AH36:AH49" si="26">AG36*AF36</f>
        <v>1032.1428571428573</v>
      </c>
      <c r="AI36" s="581">
        <f t="shared" ref="AI36:AI49" si="27">IF(AE36&gt;0,AG36*AE36,0)</f>
        <v>1032.1428571428573</v>
      </c>
      <c r="AJ36" s="418">
        <f t="shared" si="24"/>
        <v>8.2352941176470577E-3</v>
      </c>
      <c r="AK36" s="418">
        <f t="shared" ref="AK36:AK49" si="28">V36/AH36</f>
        <v>7.4505190311418678E-3</v>
      </c>
      <c r="AL36" s="416"/>
      <c r="AM36" s="416"/>
      <c r="AN36" s="416">
        <v>1</v>
      </c>
      <c r="AO36" s="416"/>
      <c r="AP36" s="416"/>
      <c r="AQ36" s="416"/>
      <c r="AR36" s="416"/>
      <c r="AS36" s="416"/>
      <c r="AT36" s="416"/>
      <c r="AU36" s="416"/>
      <c r="AV36" s="416"/>
      <c r="AW36" s="416"/>
      <c r="AX36" s="416"/>
      <c r="AY36" s="416"/>
      <c r="AZ36" s="416"/>
      <c r="BA36" s="416"/>
      <c r="BB36" s="416"/>
      <c r="BC36" s="211"/>
      <c r="BD36" s="211"/>
      <c r="BE36" s="416"/>
      <c r="BF36" s="420"/>
      <c r="BG36" s="422"/>
      <c r="BH36" s="211"/>
      <c r="BI36" s="222"/>
      <c r="BJ36" s="420"/>
      <c r="BK36" s="420"/>
      <c r="BL36" s="416"/>
      <c r="BM36" s="416"/>
      <c r="BN36" s="416"/>
      <c r="BO36" s="416"/>
      <c r="BP36" s="416"/>
      <c r="BQ36" s="416"/>
    </row>
    <row r="37" spans="2:69">
      <c r="B37" s="401" t="s">
        <v>238</v>
      </c>
      <c r="C37" s="396">
        <v>82.99</v>
      </c>
      <c r="D37" s="396">
        <f>$G$13</f>
        <v>0</v>
      </c>
      <c r="E37" s="402">
        <f t="shared" si="18"/>
        <v>0</v>
      </c>
      <c r="F37" s="211"/>
      <c r="G37" s="416">
        <v>18.989999999999998</v>
      </c>
      <c r="H37" s="416"/>
      <c r="I37" s="416" t="s">
        <v>690</v>
      </c>
      <c r="J37" s="416" t="s">
        <v>241</v>
      </c>
      <c r="K37" s="416"/>
      <c r="L37" s="416"/>
      <c r="M37" s="416"/>
      <c r="N37" s="541"/>
      <c r="O37" s="416"/>
      <c r="P37" s="559" t="s">
        <v>241</v>
      </c>
      <c r="Q37" s="602">
        <f t="shared" ref="Q37:Q49" si="29">AI6/V37</f>
        <v>1.2753213923776777E-2</v>
      </c>
      <c r="R37" s="601">
        <f t="shared" ref="R37:R49" si="30">AJ6</f>
        <v>31.2</v>
      </c>
      <c r="S37" s="586">
        <f t="shared" si="20"/>
        <v>2</v>
      </c>
      <c r="T37" s="576" t="s">
        <v>473</v>
      </c>
      <c r="U37" s="403" t="s">
        <v>241</v>
      </c>
      <c r="V37" s="549">
        <f t="shared" ref="V37:V47" si="31">X37/W37</f>
        <v>94.093928571428549</v>
      </c>
      <c r="W37" s="547">
        <f>$G$6</f>
        <v>28</v>
      </c>
      <c r="X37" s="545">
        <f t="shared" si="19"/>
        <v>2634.6299999999992</v>
      </c>
      <c r="Y37" s="423">
        <f>BE6</f>
        <v>73.600000000000009</v>
      </c>
      <c r="Z37" s="553">
        <f t="shared" si="21"/>
        <v>2.7935611452082468E-2</v>
      </c>
      <c r="AA37" s="553">
        <f t="shared" si="22"/>
        <v>0.25462722712333508</v>
      </c>
      <c r="AB37" s="423">
        <v>96.89</v>
      </c>
      <c r="AC37" s="423">
        <f>COTAS!P17</f>
        <v>2537.7399999999993</v>
      </c>
      <c r="AD37" s="583"/>
      <c r="AE37" s="575">
        <f t="shared" si="25"/>
        <v>45.453846153846143</v>
      </c>
      <c r="AF37" s="585">
        <f t="shared" si="23"/>
        <v>73.453846153846143</v>
      </c>
      <c r="AG37" s="437">
        <v>95.49</v>
      </c>
      <c r="AH37" s="581">
        <f t="shared" si="26"/>
        <v>7014.1077692307681</v>
      </c>
      <c r="AI37" s="581">
        <f t="shared" si="27"/>
        <v>4340.3877692307678</v>
      </c>
      <c r="AJ37" s="418">
        <f t="shared" si="24"/>
        <v>1.3613990993821344E-2</v>
      </c>
      <c r="AK37" s="418">
        <f t="shared" si="28"/>
        <v>1.3414953357887708E-2</v>
      </c>
      <c r="AL37" s="416"/>
      <c r="AM37" s="416"/>
      <c r="AN37" s="416"/>
      <c r="AO37" s="416"/>
      <c r="AP37" s="416"/>
      <c r="AQ37" s="416"/>
      <c r="AR37" s="416"/>
      <c r="AS37" s="416"/>
      <c r="AT37" s="416"/>
      <c r="AU37" s="416"/>
      <c r="AV37" s="416"/>
      <c r="AW37" s="416"/>
      <c r="AX37" s="416"/>
      <c r="AY37" s="416"/>
      <c r="AZ37" s="416"/>
      <c r="BA37" s="416"/>
      <c r="BB37" s="416"/>
      <c r="BC37" s="211"/>
      <c r="BD37" s="211"/>
      <c r="BE37" s="416"/>
      <c r="BF37" s="420"/>
      <c r="BG37" s="422"/>
      <c r="BH37" s="211"/>
      <c r="BI37" s="222"/>
      <c r="BJ37" s="420"/>
      <c r="BK37" s="420"/>
      <c r="BL37" s="416"/>
      <c r="BM37" s="416"/>
      <c r="BN37" s="416"/>
      <c r="BO37" s="416"/>
      <c r="BP37" s="416"/>
      <c r="BQ37" s="416"/>
    </row>
    <row r="38" spans="2:69" s="211" customFormat="1" ht="16.5" thickBot="1">
      <c r="B38" s="404" t="s">
        <v>239</v>
      </c>
      <c r="C38" s="405">
        <v>91.78</v>
      </c>
      <c r="D38" s="405">
        <f>$G$14</f>
        <v>23</v>
      </c>
      <c r="E38" s="406">
        <f t="shared" si="18"/>
        <v>2110.94</v>
      </c>
      <c r="G38" s="416">
        <v>30.52</v>
      </c>
      <c r="H38" s="416"/>
      <c r="I38" s="416" t="s">
        <v>691</v>
      </c>
      <c r="J38" s="416" t="s">
        <v>613</v>
      </c>
      <c r="K38" s="416"/>
      <c r="L38" s="416"/>
      <c r="M38" s="416"/>
      <c r="N38" s="541"/>
      <c r="O38" s="418"/>
      <c r="P38" s="559" t="s">
        <v>240</v>
      </c>
      <c r="Q38" s="602">
        <f t="shared" si="29"/>
        <v>1.2699905926622767E-2</v>
      </c>
      <c r="R38" s="601">
        <f t="shared" si="30"/>
        <v>2.16</v>
      </c>
      <c r="S38" s="586">
        <f t="shared" si="20"/>
        <v>3</v>
      </c>
      <c r="T38" s="576" t="s">
        <v>468</v>
      </c>
      <c r="U38" s="403" t="s">
        <v>240</v>
      </c>
      <c r="V38" s="549">
        <f t="shared" si="31"/>
        <v>9.448888888888888</v>
      </c>
      <c r="W38" s="547">
        <f>$G$7</f>
        <v>18</v>
      </c>
      <c r="X38" s="545">
        <f t="shared" si="19"/>
        <v>170.07999999999998</v>
      </c>
      <c r="Y38" s="423">
        <f t="shared" ref="Y38:Y39" si="32">BE7</f>
        <v>12.25</v>
      </c>
      <c r="Z38" s="553">
        <f t="shared" si="21"/>
        <v>7.2024929444967078E-2</v>
      </c>
      <c r="AA38" s="553">
        <f t="shared" si="22"/>
        <v>4.2380211036152915E-2</v>
      </c>
      <c r="AB38" s="423">
        <v>114.75</v>
      </c>
      <c r="AC38" s="423">
        <f>COTAS!U17</f>
        <v>55.33</v>
      </c>
      <c r="AD38" s="583"/>
      <c r="AE38" s="575">
        <f t="shared" si="25"/>
        <v>61.833333333333343</v>
      </c>
      <c r="AF38" s="585">
        <f t="shared" si="23"/>
        <v>79.833333333333343</v>
      </c>
      <c r="AG38" s="437">
        <v>9.58</v>
      </c>
      <c r="AH38" s="581">
        <f t="shared" si="26"/>
        <v>764.8033333333334</v>
      </c>
      <c r="AI38" s="581">
        <f t="shared" si="27"/>
        <v>592.36333333333346</v>
      </c>
      <c r="AJ38" s="418">
        <f t="shared" si="24"/>
        <v>1.2526096033402922E-2</v>
      </c>
      <c r="AK38" s="418">
        <f t="shared" si="28"/>
        <v>1.2354664888431737E-2</v>
      </c>
      <c r="AL38" s="416"/>
      <c r="AM38" s="416"/>
      <c r="AN38" s="416"/>
      <c r="AO38" s="416"/>
      <c r="AP38" s="416"/>
      <c r="AQ38" s="416"/>
      <c r="AR38" s="416"/>
      <c r="AS38" s="416"/>
      <c r="AT38" s="416"/>
      <c r="AU38" s="416"/>
      <c r="AV38" s="416"/>
      <c r="AW38" s="416"/>
      <c r="AX38" s="416"/>
      <c r="AY38" s="416"/>
      <c r="AZ38" s="416"/>
      <c r="BA38" s="416"/>
      <c r="BB38" s="416"/>
      <c r="BE38" s="416"/>
      <c r="BF38" s="420"/>
      <c r="BG38" s="416"/>
      <c r="BI38" s="222"/>
      <c r="BJ38" s="420"/>
      <c r="BK38" s="420"/>
      <c r="BL38" s="416"/>
      <c r="BM38" s="416"/>
      <c r="BN38" s="416"/>
      <c r="BO38" s="416"/>
      <c r="BP38" s="416"/>
      <c r="BQ38" s="416"/>
    </row>
    <row r="39" spans="2:69" s="211" customFormat="1">
      <c r="E39" s="407">
        <f>SUM(E28:E38)</f>
        <v>8145.6100000000006</v>
      </c>
      <c r="G39" s="416">
        <v>19.18</v>
      </c>
      <c r="H39" s="416"/>
      <c r="I39" s="416" t="s">
        <v>691</v>
      </c>
      <c r="J39" s="416" t="s">
        <v>234</v>
      </c>
      <c r="K39" s="416"/>
      <c r="L39" s="416"/>
      <c r="M39" s="416"/>
      <c r="N39" s="416"/>
      <c r="O39" s="416"/>
      <c r="P39" s="559" t="s">
        <v>237</v>
      </c>
      <c r="Q39" s="602">
        <f t="shared" si="29"/>
        <v>8.4196264395625664E-3</v>
      </c>
      <c r="R39" s="601">
        <f t="shared" si="30"/>
        <v>0.87</v>
      </c>
      <c r="S39" s="586" t="str">
        <f t="shared" si="20"/>
        <v/>
      </c>
      <c r="T39" s="576"/>
      <c r="U39" s="401" t="s">
        <v>237</v>
      </c>
      <c r="V39" s="549">
        <f t="shared" si="31"/>
        <v>103.33</v>
      </c>
      <c r="W39" s="547">
        <f>$G$8</f>
        <v>1</v>
      </c>
      <c r="X39" s="545">
        <f t="shared" si="19"/>
        <v>103.33</v>
      </c>
      <c r="Y39" s="423">
        <f t="shared" si="32"/>
        <v>6.31</v>
      </c>
      <c r="Z39" s="553">
        <f t="shared" si="21"/>
        <v>6.106648601567792E-2</v>
      </c>
      <c r="AA39" s="553">
        <f t="shared" si="22"/>
        <v>2.1830133194948968E-2</v>
      </c>
      <c r="AB39" s="423">
        <v>103.33</v>
      </c>
      <c r="AC39" s="423">
        <f>COTAS!AB35</f>
        <v>0</v>
      </c>
      <c r="AD39" s="583"/>
      <c r="AE39" s="575">
        <f>AF39-W39</f>
        <v>95.604395604395592</v>
      </c>
      <c r="AF39" s="585">
        <f t="shared" si="23"/>
        <v>96.604395604395592</v>
      </c>
      <c r="AG39" s="437">
        <v>87.91</v>
      </c>
      <c r="AH39" s="581">
        <f t="shared" si="26"/>
        <v>8492.4924175824162</v>
      </c>
      <c r="AI39" s="581">
        <f t="shared" si="27"/>
        <v>8404.5824175824164</v>
      </c>
      <c r="AJ39" s="418">
        <f t="shared" si="24"/>
        <v>1.0351495848026393E-2</v>
      </c>
      <c r="AK39" s="418">
        <f t="shared" si="28"/>
        <v>1.2167217221892471E-2</v>
      </c>
      <c r="AL39" s="416"/>
      <c r="AM39" s="416"/>
      <c r="AN39" s="416"/>
      <c r="AO39" s="416"/>
      <c r="AP39" s="416"/>
      <c r="AQ39" s="416"/>
      <c r="AR39" s="416"/>
      <c r="AS39" s="416"/>
      <c r="AT39" s="416"/>
      <c r="AU39" s="416"/>
      <c r="AV39" s="416"/>
      <c r="AW39" s="416"/>
      <c r="AX39" s="416"/>
      <c r="AY39" s="416"/>
      <c r="AZ39" s="416"/>
      <c r="BA39" s="416"/>
      <c r="BB39" s="416"/>
      <c r="BE39" s="416"/>
      <c r="BF39" s="420"/>
      <c r="BG39" s="416"/>
      <c r="BI39" s="222"/>
      <c r="BJ39" s="420"/>
      <c r="BK39" s="420"/>
      <c r="BL39" s="416"/>
      <c r="BM39" s="416"/>
      <c r="BN39" s="416"/>
      <c r="BO39" s="416"/>
      <c r="BP39" s="416"/>
      <c r="BQ39" s="416"/>
    </row>
    <row r="40" spans="2:69" s="211" customFormat="1">
      <c r="G40" s="416"/>
      <c r="H40" s="416"/>
      <c r="I40" s="416" t="s">
        <v>692</v>
      </c>
      <c r="J40" s="416" t="s">
        <v>345</v>
      </c>
      <c r="K40" s="416"/>
      <c r="L40" s="416"/>
      <c r="M40" s="416"/>
      <c r="N40" s="543"/>
      <c r="O40" s="416"/>
      <c r="P40" s="559" t="s">
        <v>236</v>
      </c>
      <c r="Q40" s="602">
        <f t="shared" si="29"/>
        <v>1.0288494960027808E-2</v>
      </c>
      <c r="R40" s="601">
        <f t="shared" si="30"/>
        <v>8.8800000000000008</v>
      </c>
      <c r="S40" s="586">
        <f t="shared" si="20"/>
        <v>3</v>
      </c>
      <c r="T40" s="576"/>
      <c r="U40" s="401" t="s">
        <v>236</v>
      </c>
      <c r="V40" s="549">
        <f t="shared" si="31"/>
        <v>7.7756756756756751</v>
      </c>
      <c r="W40" s="547">
        <f>$G$9</f>
        <v>111</v>
      </c>
      <c r="X40" s="545">
        <f t="shared" si="19"/>
        <v>863.09999999999991</v>
      </c>
      <c r="Y40" s="423">
        <f>BE9</f>
        <v>26.12</v>
      </c>
      <c r="Z40" s="553">
        <f t="shared" si="21"/>
        <v>3.0263005445487202E-2</v>
      </c>
      <c r="AA40" s="553">
        <f t="shared" si="22"/>
        <v>9.036498875627054E-2</v>
      </c>
      <c r="AB40" s="423">
        <v>83.32</v>
      </c>
      <c r="AC40" s="423">
        <f>COTAS!AG35</f>
        <v>779.78</v>
      </c>
      <c r="AD40" s="583"/>
      <c r="AE40" s="584">
        <f t="shared" si="25"/>
        <v>-23.222222222222214</v>
      </c>
      <c r="AF40" s="585">
        <f t="shared" ref="AF40:AF49" si="33">AG40/AA9</f>
        <v>87.777777777777786</v>
      </c>
      <c r="AG40" s="437">
        <v>7.9</v>
      </c>
      <c r="AH40" s="581">
        <f t="shared" si="26"/>
        <v>693.44444444444457</v>
      </c>
      <c r="AI40" s="581">
        <f t="shared" si="27"/>
        <v>0</v>
      </c>
      <c r="AJ40" s="418">
        <f t="shared" si="24"/>
        <v>1.1392405063291138E-2</v>
      </c>
      <c r="AK40" s="418">
        <f t="shared" si="28"/>
        <v>1.1213119865579404E-2</v>
      </c>
      <c r="AL40" s="416"/>
      <c r="AM40" s="416"/>
      <c r="AN40" s="416"/>
      <c r="AO40" s="416"/>
      <c r="AP40" s="416"/>
      <c r="AQ40" s="416"/>
      <c r="AR40" s="416"/>
      <c r="AS40" s="416"/>
      <c r="AT40" s="416"/>
      <c r="AU40" s="416"/>
      <c r="AV40" s="416"/>
      <c r="AW40" s="416"/>
      <c r="AX40" s="416"/>
      <c r="AY40" s="416"/>
      <c r="AZ40" s="416"/>
      <c r="BA40" s="416"/>
      <c r="BB40" s="416"/>
      <c r="BE40" s="416"/>
      <c r="BF40" s="420"/>
      <c r="BG40" s="416"/>
      <c r="BI40" s="222"/>
      <c r="BJ40" s="420"/>
      <c r="BK40" s="420"/>
      <c r="BL40" s="416"/>
      <c r="BM40" s="416"/>
      <c r="BN40" s="416"/>
      <c r="BO40" s="416"/>
      <c r="BP40" s="416"/>
      <c r="BQ40" s="416"/>
    </row>
    <row r="41" spans="2:69" s="211" customFormat="1">
      <c r="G41" s="416"/>
      <c r="H41" s="416"/>
      <c r="I41" s="416" t="s">
        <v>689</v>
      </c>
      <c r="J41" s="416" t="s">
        <v>557</v>
      </c>
      <c r="K41" s="416"/>
      <c r="L41" s="416"/>
      <c r="M41" s="416"/>
      <c r="N41" s="416"/>
      <c r="O41" s="416"/>
      <c r="P41" s="559" t="s">
        <v>235</v>
      </c>
      <c r="Q41" s="602">
        <f t="shared" si="29"/>
        <v>1.1085915847820612E-2</v>
      </c>
      <c r="R41" s="601">
        <f t="shared" si="30"/>
        <v>4.4000000000000004</v>
      </c>
      <c r="S41" s="586" t="str">
        <f t="shared" si="20"/>
        <v/>
      </c>
      <c r="T41" s="576" t="s">
        <v>474</v>
      </c>
      <c r="U41" s="401" t="s">
        <v>235</v>
      </c>
      <c r="V41" s="549">
        <v>79.38</v>
      </c>
      <c r="W41" s="547">
        <f>$G$10</f>
        <v>5</v>
      </c>
      <c r="X41" s="545">
        <f t="shared" si="19"/>
        <v>396.89</v>
      </c>
      <c r="Y41" s="423">
        <f t="shared" ref="Y41:Y42" si="34">BE10</f>
        <v>18.34</v>
      </c>
      <c r="Z41" s="553">
        <f t="shared" si="21"/>
        <v>4.6209277129683292E-2</v>
      </c>
      <c r="AA41" s="553">
        <f t="shared" si="22"/>
        <v>6.344923023698322E-2</v>
      </c>
      <c r="AB41" s="423">
        <v>91.13</v>
      </c>
      <c r="AC41" s="423">
        <f>COTAS!AL35</f>
        <v>305.76</v>
      </c>
      <c r="AD41" s="583"/>
      <c r="AE41" s="575">
        <f t="shared" si="25"/>
        <v>96.07407407407409</v>
      </c>
      <c r="AF41" s="585">
        <f t="shared" si="33"/>
        <v>101.07407407407409</v>
      </c>
      <c r="AG41" s="437">
        <v>81.87</v>
      </c>
      <c r="AH41" s="581">
        <f t="shared" si="26"/>
        <v>8274.9344444444469</v>
      </c>
      <c r="AI41" s="581">
        <f t="shared" si="27"/>
        <v>7865.5844444444465</v>
      </c>
      <c r="AJ41" s="418">
        <f t="shared" si="24"/>
        <v>9.8937339684866225E-3</v>
      </c>
      <c r="AK41" s="418">
        <f t="shared" si="28"/>
        <v>9.592825240240235E-3</v>
      </c>
      <c r="AL41" s="416"/>
      <c r="AM41" s="416"/>
      <c r="AN41" s="416"/>
      <c r="AO41" s="416"/>
      <c r="AP41" s="416"/>
      <c r="AQ41" s="416"/>
      <c r="AR41" s="416"/>
      <c r="AS41" s="416"/>
      <c r="AT41" s="416"/>
      <c r="AU41" s="416"/>
      <c r="AV41" s="416"/>
      <c r="AW41" s="416"/>
      <c r="AX41" s="416"/>
      <c r="AY41" s="416"/>
      <c r="AZ41" s="416"/>
      <c r="BA41" s="416"/>
      <c r="BB41" s="416"/>
      <c r="BE41" s="416"/>
      <c r="BF41" s="420"/>
      <c r="BG41" s="416"/>
      <c r="BI41" s="222"/>
      <c r="BJ41" s="420"/>
      <c r="BK41" s="420"/>
      <c r="BL41" s="416"/>
      <c r="BM41" s="416"/>
      <c r="BN41" s="416"/>
      <c r="BO41" s="416"/>
      <c r="BP41" s="416"/>
      <c r="BQ41" s="416"/>
    </row>
    <row r="42" spans="2:69" s="211" customFormat="1">
      <c r="I42" s="416" t="s">
        <v>690</v>
      </c>
      <c r="J42" s="416" t="s">
        <v>292</v>
      </c>
      <c r="O42" s="416"/>
      <c r="P42" s="559" t="s">
        <v>234</v>
      </c>
      <c r="Q42" s="602">
        <f t="shared" si="29"/>
        <v>1.4132263218675681E-2</v>
      </c>
      <c r="R42" s="601">
        <f t="shared" si="30"/>
        <v>25.46</v>
      </c>
      <c r="S42" s="586">
        <f t="shared" si="20"/>
        <v>2</v>
      </c>
      <c r="T42" s="576" t="s">
        <v>461</v>
      </c>
      <c r="U42" s="401" t="s">
        <v>234</v>
      </c>
      <c r="V42" s="549">
        <f t="shared" si="31"/>
        <v>94.8185</v>
      </c>
      <c r="W42" s="547">
        <f>$G$11</f>
        <v>20</v>
      </c>
      <c r="X42" s="545">
        <f t="shared" si="19"/>
        <v>1896.37</v>
      </c>
      <c r="Y42" s="423">
        <f t="shared" si="34"/>
        <v>53.11</v>
      </c>
      <c r="Z42" s="553">
        <f t="shared" si="21"/>
        <v>2.8006138042681546E-2</v>
      </c>
      <c r="AA42" s="553">
        <f t="shared" si="22"/>
        <v>0.18373983739837396</v>
      </c>
      <c r="AB42" s="423">
        <v>102.32</v>
      </c>
      <c r="AC42" s="423">
        <f>COTAS!AQ35</f>
        <v>1794.05</v>
      </c>
      <c r="AD42" s="583"/>
      <c r="AE42" s="575">
        <f t="shared" si="25"/>
        <v>54.371212121212125</v>
      </c>
      <c r="AF42" s="585">
        <f t="shared" si="33"/>
        <v>74.371212121212125</v>
      </c>
      <c r="AG42" s="437">
        <v>98.17</v>
      </c>
      <c r="AH42" s="581">
        <f t="shared" si="26"/>
        <v>7301.0218939393944</v>
      </c>
      <c r="AI42" s="581">
        <f t="shared" si="27"/>
        <v>5337.6218939393948</v>
      </c>
      <c r="AJ42" s="418">
        <f t="shared" si="24"/>
        <v>1.3446062952022003E-2</v>
      </c>
      <c r="AK42" s="418">
        <f t="shared" si="28"/>
        <v>1.2987017622657616E-2</v>
      </c>
      <c r="BE42" s="416"/>
      <c r="BF42" s="420"/>
      <c r="BG42" s="416"/>
      <c r="BI42" s="222"/>
      <c r="BJ42" s="420"/>
      <c r="BK42" s="420"/>
      <c r="BL42" s="416"/>
      <c r="BM42" s="416"/>
      <c r="BN42" s="416"/>
      <c r="BO42" s="416"/>
      <c r="BP42" s="416"/>
      <c r="BQ42" s="416"/>
    </row>
    <row r="43" spans="2:69" s="211" customFormat="1">
      <c r="I43" s="416" t="s">
        <v>691</v>
      </c>
      <c r="J43" s="416" t="s">
        <v>342</v>
      </c>
      <c r="O43" s="416"/>
      <c r="P43" s="560" t="s">
        <v>288</v>
      </c>
      <c r="Q43" s="602">
        <f t="shared" si="29"/>
        <v>1.2394855605229143E-2</v>
      </c>
      <c r="R43" s="601">
        <f t="shared" si="30"/>
        <v>11.7</v>
      </c>
      <c r="S43" s="586" t="str">
        <f t="shared" si="20"/>
        <v/>
      </c>
      <c r="T43" s="576" t="s">
        <v>463</v>
      </c>
      <c r="U43" s="401" t="s">
        <v>342</v>
      </c>
      <c r="V43" s="549">
        <f>X43/W43</f>
        <v>62.929333333333339</v>
      </c>
      <c r="W43" s="547">
        <f>$G$12</f>
        <v>15</v>
      </c>
      <c r="X43" s="545">
        <f>SUM(AB43:AD43)</f>
        <v>943.94</v>
      </c>
      <c r="Y43" s="423">
        <f t="shared" ref="Y43:Y49" si="35">BE12</f>
        <v>20.22</v>
      </c>
      <c r="Z43" s="553">
        <f>Y43/X43</f>
        <v>2.1420853020319087E-2</v>
      </c>
      <c r="AA43" s="553">
        <f>Y43/$Y$50</f>
        <v>6.9953295277633623E-2</v>
      </c>
      <c r="AB43" s="423">
        <v>0</v>
      </c>
      <c r="AC43" s="423">
        <f>COTAS!F35</f>
        <v>943.94</v>
      </c>
      <c r="AD43" s="583"/>
      <c r="AE43" s="575">
        <f t="shared" si="25"/>
        <v>77.012987012986997</v>
      </c>
      <c r="AF43" s="585">
        <f t="shared" si="33"/>
        <v>92.012987012986997</v>
      </c>
      <c r="AG43" s="437">
        <v>70.849999999999994</v>
      </c>
      <c r="AH43" s="581">
        <f t="shared" si="26"/>
        <v>6519.120129870128</v>
      </c>
      <c r="AI43" s="581">
        <f t="shared" si="27"/>
        <v>5456.370129870128</v>
      </c>
      <c r="AJ43" s="418">
        <f t="shared" si="24"/>
        <v>1.0868031051517292E-2</v>
      </c>
      <c r="AK43" s="418">
        <f t="shared" si="28"/>
        <v>9.653040913450232E-3</v>
      </c>
      <c r="BE43" s="416"/>
      <c r="BF43" s="420"/>
      <c r="BG43" s="424"/>
      <c r="BJ43" s="420"/>
      <c r="BK43" s="420"/>
      <c r="BL43" s="416"/>
      <c r="BM43" s="416"/>
      <c r="BN43" s="416"/>
      <c r="BO43" s="416"/>
      <c r="BP43" s="416"/>
      <c r="BQ43" s="416"/>
    </row>
    <row r="44" spans="2:69" s="211" customFormat="1">
      <c r="O44" s="416"/>
      <c r="P44" s="559" t="s">
        <v>238</v>
      </c>
      <c r="Q44" s="602">
        <f t="shared" si="29"/>
        <v>1.0193679918450561E-2</v>
      </c>
      <c r="R44" s="601">
        <f t="shared" si="30"/>
        <v>1.8</v>
      </c>
      <c r="S44" s="586" t="str">
        <f t="shared" si="20"/>
        <v/>
      </c>
      <c r="T44" s="576" t="s">
        <v>462</v>
      </c>
      <c r="U44" s="401" t="s">
        <v>238</v>
      </c>
      <c r="V44" s="549">
        <v>88.29</v>
      </c>
      <c r="W44" s="547">
        <f>$G$13</f>
        <v>0</v>
      </c>
      <c r="X44" s="545">
        <f>SUM(AB44:AD44)</f>
        <v>-18.299999999999997</v>
      </c>
      <c r="Y44" s="423">
        <f t="shared" si="35"/>
        <v>11.72</v>
      </c>
      <c r="Z44" s="553">
        <f>Y44/X44</f>
        <v>-0.64043715846994553</v>
      </c>
      <c r="AA44" s="553">
        <f>Y44/$Y$50</f>
        <v>4.0546618232139772E-2</v>
      </c>
      <c r="AB44" s="423">
        <v>90.28</v>
      </c>
      <c r="AC44" s="423">
        <f>COTAS!K35</f>
        <v>-108.58</v>
      </c>
      <c r="AD44" s="583"/>
      <c r="AE44" s="575">
        <f t="shared" si="25"/>
        <v>109.65555555555555</v>
      </c>
      <c r="AF44" s="585">
        <f t="shared" si="33"/>
        <v>109.65555555555555</v>
      </c>
      <c r="AG44" s="437">
        <v>98.69</v>
      </c>
      <c r="AH44" s="581">
        <f t="shared" si="26"/>
        <v>10821.906777777776</v>
      </c>
      <c r="AI44" s="581">
        <f t="shared" si="27"/>
        <v>10821.906777777776</v>
      </c>
      <c r="AJ44" s="418">
        <f t="shared" si="24"/>
        <v>9.1194649913871727E-3</v>
      </c>
      <c r="AK44" s="418">
        <f t="shared" si="28"/>
        <v>8.1584513536282662E-3</v>
      </c>
      <c r="BE44" s="416"/>
      <c r="BF44" s="420"/>
      <c r="BG44" s="420"/>
      <c r="BI44" s="223"/>
      <c r="BJ44" s="420"/>
      <c r="BK44" s="420"/>
      <c r="BL44" s="416"/>
      <c r="BM44" s="416"/>
      <c r="BN44" s="416"/>
      <c r="BO44" s="416"/>
      <c r="BP44" s="416"/>
      <c r="BQ44" s="416"/>
    </row>
    <row r="45" spans="2:69" s="211" customFormat="1">
      <c r="G45" s="544"/>
      <c r="O45" s="416"/>
      <c r="P45" s="559" t="s">
        <v>239</v>
      </c>
      <c r="Q45" s="602"/>
      <c r="R45" s="601"/>
      <c r="S45" s="586" t="str">
        <f t="shared" si="20"/>
        <v/>
      </c>
      <c r="T45" s="576"/>
      <c r="U45" s="401" t="s">
        <v>239</v>
      </c>
      <c r="V45" s="549" t="s">
        <v>343</v>
      </c>
      <c r="W45" s="547">
        <f>$G$14</f>
        <v>23</v>
      </c>
      <c r="X45" s="545">
        <f>SUM(AB45:AD45)</f>
        <v>91.78</v>
      </c>
      <c r="Y45" s="423">
        <f t="shared" si="35"/>
        <v>2.96</v>
      </c>
      <c r="Z45" s="553">
        <f>Y45/X45</f>
        <v>3.2251035083896276E-2</v>
      </c>
      <c r="AA45" s="553">
        <f>Y45/$Y$50</f>
        <v>1.0240442829960214E-2</v>
      </c>
      <c r="AB45" s="423">
        <v>91.78</v>
      </c>
      <c r="AC45" s="581">
        <v>0</v>
      </c>
      <c r="AD45" s="583"/>
      <c r="AE45" s="575">
        <f t="shared" si="25"/>
        <v>-23</v>
      </c>
      <c r="AF45" s="585">
        <v>0</v>
      </c>
      <c r="AG45" s="437">
        <v>0</v>
      </c>
      <c r="AH45" s="581">
        <f t="shared" si="26"/>
        <v>0</v>
      </c>
      <c r="AI45" s="581">
        <f t="shared" si="27"/>
        <v>0</v>
      </c>
      <c r="AJ45" s="418">
        <v>0</v>
      </c>
      <c r="AK45" s="418" t="e">
        <f t="shared" si="28"/>
        <v>#VALUE!</v>
      </c>
      <c r="BF45" s="222"/>
      <c r="BG45" s="222"/>
      <c r="BJ45" s="222"/>
      <c r="BK45" s="222"/>
    </row>
    <row r="46" spans="2:69" s="211" customFormat="1">
      <c r="O46" s="416"/>
      <c r="P46" s="559" t="s">
        <v>292</v>
      </c>
      <c r="Q46" s="602">
        <f t="shared" si="29"/>
        <v>1.157621004949249E-2</v>
      </c>
      <c r="R46" s="601">
        <f t="shared" si="30"/>
        <v>8.2799999999999994</v>
      </c>
      <c r="S46" s="586">
        <f t="shared" si="20"/>
        <v>3</v>
      </c>
      <c r="T46" s="576" t="s">
        <v>464</v>
      </c>
      <c r="U46" s="401" t="s">
        <v>292</v>
      </c>
      <c r="V46" s="549">
        <f t="shared" si="31"/>
        <v>119.21000000000001</v>
      </c>
      <c r="W46" s="547">
        <f>$G$15</f>
        <v>7</v>
      </c>
      <c r="X46" s="545">
        <f t="shared" si="19"/>
        <v>834.47</v>
      </c>
      <c r="Y46" s="423">
        <f t="shared" si="35"/>
        <v>12.329999999999998</v>
      </c>
      <c r="Z46" s="553">
        <f t="shared" si="21"/>
        <v>1.4775845746401905E-2</v>
      </c>
      <c r="AA46" s="553">
        <f t="shared" si="22"/>
        <v>4.2656979761286969E-2</v>
      </c>
      <c r="AB46" s="423">
        <v>0</v>
      </c>
      <c r="AC46" s="423">
        <f>COTAS!P35</f>
        <v>834.47</v>
      </c>
      <c r="AD46" s="583"/>
      <c r="AE46" s="575">
        <f t="shared" si="25"/>
        <v>83.155555555555551</v>
      </c>
      <c r="AF46" s="585">
        <f t="shared" si="33"/>
        <v>90.155555555555551</v>
      </c>
      <c r="AG46" s="437">
        <v>121.71</v>
      </c>
      <c r="AH46" s="581">
        <f t="shared" si="26"/>
        <v>10972.832666666665</v>
      </c>
      <c r="AI46" s="581">
        <f t="shared" si="27"/>
        <v>10120.862666666666</v>
      </c>
      <c r="AJ46" s="418">
        <f t="shared" si="24"/>
        <v>1.1091939857037221E-2</v>
      </c>
      <c r="AK46" s="418">
        <f t="shared" si="28"/>
        <v>1.0864104431496239E-2</v>
      </c>
      <c r="BF46" s="222"/>
      <c r="BG46" s="222"/>
      <c r="BJ46" s="222"/>
      <c r="BK46" s="222"/>
    </row>
    <row r="47" spans="2:69" s="211" customFormat="1">
      <c r="P47" s="559" t="s">
        <v>345</v>
      </c>
      <c r="Q47" s="602">
        <f t="shared" si="29"/>
        <v>1.1323063633746038E-2</v>
      </c>
      <c r="R47" s="601">
        <f t="shared" si="30"/>
        <v>14.85</v>
      </c>
      <c r="S47" s="586">
        <f t="shared" si="20"/>
        <v>2</v>
      </c>
      <c r="T47" s="576" t="s">
        <v>465</v>
      </c>
      <c r="U47" s="401" t="str">
        <f>H16</f>
        <v>XPCA11</v>
      </c>
      <c r="V47" s="549">
        <f t="shared" si="31"/>
        <v>9.7146853146853172</v>
      </c>
      <c r="W47" s="547">
        <f>$G$16</f>
        <v>143</v>
      </c>
      <c r="X47" s="545">
        <f t="shared" si="19"/>
        <v>1389.2000000000003</v>
      </c>
      <c r="Y47" s="423">
        <f t="shared" si="35"/>
        <v>22.049999999999997</v>
      </c>
      <c r="Z47" s="553">
        <f t="shared" si="21"/>
        <v>1.5872444572415774E-2</v>
      </c>
      <c r="AA47" s="553">
        <f t="shared" si="22"/>
        <v>7.6284379865075233E-2</v>
      </c>
      <c r="AB47" s="423">
        <v>0</v>
      </c>
      <c r="AC47" s="423">
        <f>COTAS!U35</f>
        <v>1389.2000000000003</v>
      </c>
      <c r="AD47" s="583"/>
      <c r="AE47" s="584">
        <f t="shared" si="25"/>
        <v>-69.692307692307693</v>
      </c>
      <c r="AF47" s="585">
        <f t="shared" si="33"/>
        <v>73.307692307692307</v>
      </c>
      <c r="AG47" s="437">
        <v>9.5299999999999994</v>
      </c>
      <c r="AH47" s="581">
        <f t="shared" si="26"/>
        <v>698.62230769230769</v>
      </c>
      <c r="AI47" s="581">
        <f t="shared" si="27"/>
        <v>0</v>
      </c>
      <c r="AJ47" s="418">
        <f t="shared" si="24"/>
        <v>1.3641133263378803E-2</v>
      </c>
      <c r="AK47" s="418">
        <f t="shared" si="28"/>
        <v>1.3905489715573082E-2</v>
      </c>
      <c r="BF47" s="222"/>
      <c r="BG47" s="222"/>
      <c r="BJ47" s="222"/>
      <c r="BK47" s="222"/>
    </row>
    <row r="48" spans="2:69" s="215" customFormat="1">
      <c r="H48" s="211"/>
      <c r="I48" s="211"/>
      <c r="J48" s="211"/>
      <c r="K48" s="211"/>
      <c r="L48" s="211"/>
      <c r="M48" s="211"/>
      <c r="P48" s="559" t="s">
        <v>390</v>
      </c>
      <c r="Q48" s="602">
        <f t="shared" si="29"/>
        <v>9.3695410512942678E-3</v>
      </c>
      <c r="R48" s="601">
        <f t="shared" si="30"/>
        <v>2.95</v>
      </c>
      <c r="S48" s="586" t="str">
        <f t="shared" si="20"/>
        <v/>
      </c>
      <c r="T48" s="577" t="s">
        <v>466</v>
      </c>
      <c r="U48" s="401" t="str">
        <f>H17</f>
        <v>SARE11</v>
      </c>
      <c r="V48" s="549">
        <v>62.97</v>
      </c>
      <c r="W48" s="547">
        <f>$G$17</f>
        <v>0</v>
      </c>
      <c r="X48" s="545">
        <f t="shared" si="19"/>
        <v>-26.04000000000002</v>
      </c>
      <c r="Y48" s="217">
        <f t="shared" si="35"/>
        <v>7.83</v>
      </c>
      <c r="Z48" s="553">
        <f t="shared" si="21"/>
        <v>-0.30069124423963112</v>
      </c>
      <c r="AA48" s="553">
        <f t="shared" si="22"/>
        <v>2.7088738972496106E-2</v>
      </c>
      <c r="AB48" s="423">
        <v>0</v>
      </c>
      <c r="AC48" s="217">
        <f>COTAS!AG17</f>
        <v>-26.04000000000002</v>
      </c>
      <c r="AD48" s="583"/>
      <c r="AE48" s="575">
        <f t="shared" si="25"/>
        <v>104.33870967741935</v>
      </c>
      <c r="AF48" s="585">
        <f t="shared" si="33"/>
        <v>104.33870967741935</v>
      </c>
      <c r="AG48" s="437">
        <v>64.69</v>
      </c>
      <c r="AH48" s="581">
        <f t="shared" si="26"/>
        <v>6749.6711290322573</v>
      </c>
      <c r="AI48" s="581">
        <f t="shared" si="27"/>
        <v>6749.6711290322573</v>
      </c>
      <c r="AJ48" s="418">
        <f t="shared" si="24"/>
        <v>9.5841706600711084E-3</v>
      </c>
      <c r="AK48" s="418">
        <f t="shared" si="28"/>
        <v>9.3293434296595722E-3</v>
      </c>
      <c r="BF48" s="221"/>
      <c r="BG48" s="221"/>
      <c r="BJ48" s="221"/>
      <c r="BK48" s="221"/>
    </row>
    <row r="49" spans="8:63" s="215" customFormat="1" ht="16.5" thickBot="1">
      <c r="H49" s="211"/>
      <c r="I49" s="211"/>
      <c r="J49" s="211"/>
      <c r="K49" s="211"/>
      <c r="L49" s="211"/>
      <c r="M49" s="211"/>
      <c r="P49" s="559" t="s">
        <v>391</v>
      </c>
      <c r="Q49" s="602">
        <f t="shared" si="29"/>
        <v>1.0448800875709027E-2</v>
      </c>
      <c r="R49" s="601">
        <f t="shared" si="30"/>
        <v>1.05</v>
      </c>
      <c r="S49" s="586" t="str">
        <f t="shared" si="20"/>
        <v/>
      </c>
      <c r="T49" s="577" t="s">
        <v>467</v>
      </c>
      <c r="U49" s="404" t="str">
        <f>H18</f>
        <v>GGRC11</v>
      </c>
      <c r="V49" s="550">
        <v>100.49</v>
      </c>
      <c r="W49" s="548"/>
      <c r="X49" s="546">
        <f t="shared" si="19"/>
        <v>-22.840000000000003</v>
      </c>
      <c r="Y49" s="217">
        <f t="shared" si="35"/>
        <v>3.12</v>
      </c>
      <c r="Z49" s="553">
        <f t="shared" si="21"/>
        <v>-0.13660245183887915</v>
      </c>
      <c r="AA49" s="553">
        <f t="shared" si="22"/>
        <v>1.0793980280228333E-2</v>
      </c>
      <c r="AB49" s="423">
        <v>0</v>
      </c>
      <c r="AC49" s="217">
        <f>COTAS!AL17</f>
        <v>-22.840000000000003</v>
      </c>
      <c r="AD49" s="583"/>
      <c r="AE49" s="575">
        <f t="shared" si="25"/>
        <v>120.44117647058823</v>
      </c>
      <c r="AF49" s="585">
        <f t="shared" si="33"/>
        <v>120.44117647058823</v>
      </c>
      <c r="AG49" s="437">
        <v>122.85</v>
      </c>
      <c r="AH49" s="581">
        <f t="shared" si="26"/>
        <v>14796.198529411764</v>
      </c>
      <c r="AI49" s="581">
        <f t="shared" si="27"/>
        <v>14796.198529411764</v>
      </c>
      <c r="AJ49" s="418">
        <f t="shared" si="24"/>
        <v>8.3028083028083028E-3</v>
      </c>
      <c r="AK49" s="418">
        <f t="shared" si="28"/>
        <v>6.7916093312918712E-3</v>
      </c>
      <c r="BF49" s="215" t="s">
        <v>189</v>
      </c>
      <c r="BG49" s="216" t="s">
        <v>190</v>
      </c>
      <c r="BH49" s="215" t="s">
        <v>189</v>
      </c>
      <c r="BI49" s="215" t="s">
        <v>188</v>
      </c>
      <c r="BJ49" s="215" t="s">
        <v>187</v>
      </c>
      <c r="BK49" s="215" t="s">
        <v>186</v>
      </c>
    </row>
    <row r="50" spans="8:63" s="215" customFormat="1">
      <c r="H50" s="211"/>
      <c r="I50" s="211"/>
      <c r="J50" s="211"/>
      <c r="K50" s="211"/>
      <c r="L50" s="211"/>
      <c r="M50" s="211"/>
      <c r="U50" s="211"/>
      <c r="V50" s="211"/>
      <c r="W50" s="211"/>
      <c r="X50" s="551">
        <f>SUM(X34:X49)</f>
        <v>9472.5099999999984</v>
      </c>
      <c r="Y50" s="552">
        <f>SUM(Y34:Y49)</f>
        <v>289.05</v>
      </c>
      <c r="Z50" s="554"/>
      <c r="AA50" s="554">
        <f>SUM(AA34:AA49)</f>
        <v>0.99999999999999989</v>
      </c>
      <c r="AB50" s="216">
        <f t="shared" ref="AB50:AC50" si="36">SUM(AB34:AB49)</f>
        <v>1048.72</v>
      </c>
      <c r="AC50" s="216">
        <f t="shared" si="36"/>
        <v>8423.7899999999991</v>
      </c>
      <c r="AH50" s="217">
        <f>SUM(AH35:AH49)</f>
        <v>85121.382033901886</v>
      </c>
      <c r="AI50" s="424">
        <f>SUM(AI35:AI49)</f>
        <v>76311.575281765137</v>
      </c>
      <c r="AJ50" s="582"/>
      <c r="BF50" s="215">
        <v>1</v>
      </c>
      <c r="BG50" s="216">
        <f>BI27</f>
        <v>100000</v>
      </c>
      <c r="BH50" s="215">
        <v>1</v>
      </c>
      <c r="BI50" s="220">
        <f>BI28</f>
        <v>1.12E-2</v>
      </c>
      <c r="BJ50" s="216">
        <f t="shared" ref="BJ50:BJ113" si="37">BG50*BI50</f>
        <v>1120</v>
      </c>
      <c r="BK50" s="217">
        <f>BI24</f>
        <v>1000</v>
      </c>
    </row>
    <row r="51" spans="8:63" s="215" customFormat="1">
      <c r="H51" s="211"/>
      <c r="I51" s="211"/>
      <c r="J51" s="211"/>
      <c r="K51" s="211"/>
      <c r="L51" s="211"/>
      <c r="M51" s="211"/>
      <c r="Q51" s="587">
        <f>SUM(Q46:Q49,Q35:Q44)/14</f>
        <v>1.1225891187406608E-2</v>
      </c>
      <c r="S51" s="580"/>
      <c r="X51" s="946">
        <f>Y50/X50</f>
        <v>3.0514615450392774E-2</v>
      </c>
      <c r="Y51" s="946"/>
      <c r="BF51" s="215">
        <v>2</v>
      </c>
      <c r="BG51" s="216">
        <f t="shared" ref="BG51:BG114" si="38">BG50+BJ50+BK51</f>
        <v>102120</v>
      </c>
      <c r="BH51" s="215">
        <v>2</v>
      </c>
      <c r="BI51" s="220">
        <f t="shared" ref="BI51:BI114" si="39">BI50</f>
        <v>1.12E-2</v>
      </c>
      <c r="BJ51" s="216">
        <f t="shared" si="37"/>
        <v>1143.7439999999999</v>
      </c>
      <c r="BK51" s="217">
        <f t="shared" ref="BK51:BK114" si="40">BK50</f>
        <v>1000</v>
      </c>
    </row>
    <row r="52" spans="8:63" s="215" customFormat="1">
      <c r="H52" s="211"/>
      <c r="I52" s="211"/>
      <c r="J52" s="211"/>
      <c r="K52" s="211"/>
      <c r="L52" s="211"/>
      <c r="M52" s="211"/>
      <c r="Q52" s="580" t="s">
        <v>502</v>
      </c>
      <c r="S52" s="580"/>
      <c r="BF52" s="215">
        <v>3</v>
      </c>
      <c r="BG52" s="216">
        <f t="shared" si="38"/>
        <v>104263.74400000001</v>
      </c>
      <c r="BH52" s="215">
        <v>3</v>
      </c>
      <c r="BI52" s="220">
        <f t="shared" si="39"/>
        <v>1.12E-2</v>
      </c>
      <c r="BJ52" s="216">
        <f t="shared" si="37"/>
        <v>1167.7539328</v>
      </c>
      <c r="BK52" s="217">
        <f t="shared" si="40"/>
        <v>1000</v>
      </c>
    </row>
    <row r="53" spans="8:63" s="215" customFormat="1">
      <c r="H53" s="211"/>
      <c r="I53" s="211"/>
      <c r="J53" s="211"/>
      <c r="K53" s="211"/>
      <c r="L53" s="211"/>
      <c r="M53" s="211"/>
      <c r="S53" s="580"/>
      <c r="AG53" s="215">
        <v>0.13</v>
      </c>
      <c r="BF53" s="215">
        <v>4</v>
      </c>
      <c r="BG53" s="216">
        <f t="shared" si="38"/>
        <v>106431.4979328</v>
      </c>
      <c r="BH53" s="215">
        <v>4</v>
      </c>
      <c r="BI53" s="220">
        <f t="shared" si="39"/>
        <v>1.12E-2</v>
      </c>
      <c r="BJ53" s="216">
        <f t="shared" si="37"/>
        <v>1192.0327768473601</v>
      </c>
      <c r="BK53" s="217">
        <f t="shared" si="40"/>
        <v>1000</v>
      </c>
    </row>
    <row r="54" spans="8:63" s="215" customFormat="1">
      <c r="H54" s="211"/>
      <c r="I54" s="211"/>
      <c r="J54" s="211"/>
      <c r="K54" s="211"/>
      <c r="L54" s="211"/>
      <c r="M54" s="211"/>
      <c r="W54" s="570"/>
      <c r="AG54" s="216">
        <v>9</v>
      </c>
      <c r="BF54" s="215">
        <v>5</v>
      </c>
      <c r="BG54" s="216">
        <f t="shared" si="38"/>
        <v>108623.53070964737</v>
      </c>
      <c r="BH54" s="215">
        <v>5</v>
      </c>
      <c r="BI54" s="220">
        <f t="shared" si="39"/>
        <v>1.12E-2</v>
      </c>
      <c r="BJ54" s="216">
        <f t="shared" si="37"/>
        <v>1216.5835439480504</v>
      </c>
      <c r="BK54" s="217">
        <f t="shared" si="40"/>
        <v>1000</v>
      </c>
    </row>
    <row r="55" spans="8:63" s="215" customFormat="1">
      <c r="H55" s="211"/>
      <c r="I55" s="211"/>
      <c r="J55" s="211"/>
      <c r="K55" s="211"/>
      <c r="L55" s="211"/>
      <c r="M55" s="211"/>
      <c r="W55" s="570"/>
      <c r="Z55" s="570"/>
      <c r="AG55" s="216">
        <f>AG54*AF56</f>
        <v>623.07692307692309</v>
      </c>
      <c r="BF55" s="215">
        <v>6</v>
      </c>
      <c r="BG55" s="216">
        <f t="shared" si="38"/>
        <v>110840.11425359541</v>
      </c>
      <c r="BH55" s="215">
        <v>6</v>
      </c>
      <c r="BI55" s="220">
        <f t="shared" si="39"/>
        <v>1.12E-2</v>
      </c>
      <c r="BJ55" s="216">
        <f t="shared" si="37"/>
        <v>1241.4092796402686</v>
      </c>
      <c r="BK55" s="217">
        <f t="shared" si="40"/>
        <v>1000</v>
      </c>
    </row>
    <row r="56" spans="8:63" s="215" customFormat="1">
      <c r="H56" s="211"/>
      <c r="I56" s="211"/>
      <c r="J56" s="211"/>
      <c r="K56" s="211"/>
      <c r="L56" s="211"/>
      <c r="M56" s="211"/>
      <c r="Z56" s="570"/>
      <c r="AF56" s="215">
        <f>AG54/AG53</f>
        <v>69.230769230769226</v>
      </c>
      <c r="BF56" s="215">
        <v>7</v>
      </c>
      <c r="BG56" s="216">
        <f t="shared" si="38"/>
        <v>113081.52353323568</v>
      </c>
      <c r="BH56" s="215">
        <v>7</v>
      </c>
      <c r="BI56" s="220">
        <f t="shared" si="39"/>
        <v>1.12E-2</v>
      </c>
      <c r="BJ56" s="216">
        <f t="shared" si="37"/>
        <v>1266.5130635722396</v>
      </c>
      <c r="BK56" s="217">
        <f t="shared" si="40"/>
        <v>1000</v>
      </c>
    </row>
    <row r="57" spans="8:63" s="215" customFormat="1">
      <c r="H57" s="211"/>
      <c r="I57" s="211"/>
      <c r="J57" s="211"/>
      <c r="K57" s="211"/>
      <c r="L57" s="211"/>
      <c r="M57" s="211"/>
      <c r="AG57" s="220">
        <f>AG54/AG55</f>
        <v>1.4444444444444444E-2</v>
      </c>
      <c r="BF57" s="215">
        <v>8</v>
      </c>
      <c r="BG57" s="216">
        <f t="shared" si="38"/>
        <v>115348.03659680793</v>
      </c>
      <c r="BH57" s="215">
        <v>8</v>
      </c>
      <c r="BI57" s="220">
        <f t="shared" si="39"/>
        <v>1.12E-2</v>
      </c>
      <c r="BJ57" s="216">
        <f t="shared" si="37"/>
        <v>1291.8980098842487</v>
      </c>
      <c r="BK57" s="217">
        <f t="shared" si="40"/>
        <v>1000</v>
      </c>
    </row>
    <row r="58" spans="8:63" s="215" customFormat="1">
      <c r="H58" s="211"/>
      <c r="I58" s="211"/>
      <c r="J58" s="211"/>
      <c r="K58" s="211"/>
      <c r="L58" s="211"/>
      <c r="M58" s="211"/>
      <c r="BF58" s="215">
        <v>9</v>
      </c>
      <c r="BG58" s="216">
        <f t="shared" si="38"/>
        <v>117639.93460669217</v>
      </c>
      <c r="BH58" s="215">
        <v>9</v>
      </c>
      <c r="BI58" s="220">
        <f t="shared" si="39"/>
        <v>1.12E-2</v>
      </c>
      <c r="BJ58" s="216">
        <f t="shared" si="37"/>
        <v>1317.5672675949522</v>
      </c>
      <c r="BK58" s="217">
        <f t="shared" si="40"/>
        <v>1000</v>
      </c>
    </row>
    <row r="59" spans="8:63" s="215" customFormat="1">
      <c r="H59" s="211"/>
      <c r="I59" s="211"/>
      <c r="J59" s="211"/>
      <c r="K59" s="211"/>
      <c r="L59" s="211"/>
      <c r="M59" s="211"/>
      <c r="BF59" s="215">
        <v>10</v>
      </c>
      <c r="BG59" s="216">
        <f t="shared" si="38"/>
        <v>119957.50187428712</v>
      </c>
      <c r="BH59" s="215">
        <v>10</v>
      </c>
      <c r="BI59" s="220">
        <f t="shared" si="39"/>
        <v>1.12E-2</v>
      </c>
      <c r="BJ59" s="216">
        <f t="shared" si="37"/>
        <v>1343.5240209920157</v>
      </c>
      <c r="BK59" s="217">
        <f t="shared" si="40"/>
        <v>1000</v>
      </c>
    </row>
    <row r="60" spans="8:63" s="215" customFormat="1">
      <c r="H60" s="211"/>
      <c r="I60" s="211"/>
      <c r="J60" s="211"/>
      <c r="K60" s="211"/>
      <c r="L60" s="211"/>
      <c r="M60" s="211"/>
      <c r="BF60" s="215">
        <v>11</v>
      </c>
      <c r="BG60" s="216">
        <f t="shared" si="38"/>
        <v>122301.02589527913</v>
      </c>
      <c r="BH60" s="215">
        <v>11</v>
      </c>
      <c r="BI60" s="220">
        <f t="shared" si="39"/>
        <v>1.12E-2</v>
      </c>
      <c r="BJ60" s="216">
        <f t="shared" si="37"/>
        <v>1369.7714900271262</v>
      </c>
      <c r="BK60" s="217">
        <f t="shared" si="40"/>
        <v>1000</v>
      </c>
    </row>
    <row r="61" spans="8:63" s="215" customFormat="1">
      <c r="H61" s="211"/>
      <c r="I61" s="211"/>
      <c r="J61" s="211"/>
      <c r="K61" s="211"/>
      <c r="L61" s="211"/>
      <c r="M61" s="211"/>
      <c r="BF61" s="215">
        <v>12</v>
      </c>
      <c r="BG61" s="218">
        <f t="shared" si="38"/>
        <v>124670.79738530626</v>
      </c>
      <c r="BH61" s="215">
        <v>12</v>
      </c>
      <c r="BI61" s="219">
        <f t="shared" si="39"/>
        <v>1.12E-2</v>
      </c>
      <c r="BJ61" s="218">
        <f t="shared" si="37"/>
        <v>1396.3129307154302</v>
      </c>
      <c r="BK61" s="217">
        <f t="shared" si="40"/>
        <v>1000</v>
      </c>
    </row>
    <row r="62" spans="8:63" s="215" customFormat="1">
      <c r="H62" s="211"/>
      <c r="I62" s="211"/>
      <c r="J62" s="211"/>
      <c r="K62" s="211"/>
      <c r="L62" s="211"/>
      <c r="M62" s="211"/>
      <c r="BF62" s="215">
        <v>13</v>
      </c>
      <c r="BG62" s="218">
        <f t="shared" si="38"/>
        <v>127067.11031602169</v>
      </c>
      <c r="BH62" s="215">
        <v>13</v>
      </c>
      <c r="BI62" s="219">
        <f t="shared" si="39"/>
        <v>1.12E-2</v>
      </c>
      <c r="BJ62" s="218">
        <f t="shared" si="37"/>
        <v>1423.1516355394429</v>
      </c>
      <c r="BK62" s="217">
        <f t="shared" si="40"/>
        <v>1000</v>
      </c>
    </row>
    <row r="63" spans="8:63" s="215" customFormat="1">
      <c r="H63" s="211"/>
      <c r="I63" s="211"/>
      <c r="J63" s="211"/>
      <c r="K63" s="211"/>
      <c r="L63" s="211"/>
      <c r="M63" s="211"/>
      <c r="BF63" s="215">
        <v>14</v>
      </c>
      <c r="BG63" s="218">
        <f t="shared" si="38"/>
        <v>129490.26195156113</v>
      </c>
      <c r="BH63" s="215">
        <v>14</v>
      </c>
      <c r="BI63" s="219">
        <f t="shared" si="39"/>
        <v>1.12E-2</v>
      </c>
      <c r="BJ63" s="218">
        <f t="shared" si="37"/>
        <v>1450.2909338574846</v>
      </c>
      <c r="BK63" s="217">
        <f t="shared" si="40"/>
        <v>1000</v>
      </c>
    </row>
    <row r="64" spans="8:63" s="215" customFormat="1">
      <c r="H64" s="211"/>
      <c r="I64" s="211"/>
      <c r="J64" s="211"/>
      <c r="K64" s="211"/>
      <c r="L64" s="211"/>
      <c r="M64" s="211"/>
      <c r="BF64" s="215">
        <v>15</v>
      </c>
      <c r="BG64" s="218">
        <f t="shared" si="38"/>
        <v>131940.55288541861</v>
      </c>
      <c r="BH64" s="215">
        <v>15</v>
      </c>
      <c r="BI64" s="219">
        <f t="shared" si="39"/>
        <v>1.12E-2</v>
      </c>
      <c r="BJ64" s="218">
        <f t="shared" si="37"/>
        <v>1477.7341923166884</v>
      </c>
      <c r="BK64" s="217">
        <f t="shared" si="40"/>
        <v>1000</v>
      </c>
    </row>
    <row r="65" spans="8:63" s="215" customFormat="1">
      <c r="H65" s="211"/>
      <c r="I65" s="211"/>
      <c r="J65" s="211"/>
      <c r="K65" s="211"/>
      <c r="L65" s="211"/>
      <c r="M65" s="211"/>
      <c r="BF65" s="215">
        <v>16</v>
      </c>
      <c r="BG65" s="218">
        <f t="shared" si="38"/>
        <v>134418.28707773529</v>
      </c>
      <c r="BH65" s="215">
        <v>16</v>
      </c>
      <c r="BI65" s="219">
        <f t="shared" si="39"/>
        <v>1.12E-2</v>
      </c>
      <c r="BJ65" s="218">
        <f t="shared" si="37"/>
        <v>1505.4848152706352</v>
      </c>
      <c r="BK65" s="217">
        <f t="shared" si="40"/>
        <v>1000</v>
      </c>
    </row>
    <row r="66" spans="8:63" s="215" customFormat="1">
      <c r="H66" s="211"/>
      <c r="I66" s="211"/>
      <c r="J66" s="211"/>
      <c r="K66" s="211"/>
      <c r="L66" s="211"/>
      <c r="M66" s="211"/>
      <c r="BF66" s="215">
        <v>17</v>
      </c>
      <c r="BG66" s="218">
        <f t="shared" si="38"/>
        <v>136923.77189300593</v>
      </c>
      <c r="BH66" s="215">
        <v>17</v>
      </c>
      <c r="BI66" s="219">
        <f t="shared" si="39"/>
        <v>1.12E-2</v>
      </c>
      <c r="BJ66" s="218">
        <f t="shared" si="37"/>
        <v>1533.5462452016664</v>
      </c>
      <c r="BK66" s="217">
        <f t="shared" si="40"/>
        <v>1000</v>
      </c>
    </row>
    <row r="67" spans="8:63" s="215" customFormat="1">
      <c r="H67" s="211"/>
      <c r="I67" s="211"/>
      <c r="J67" s="211"/>
      <c r="K67" s="211"/>
      <c r="L67" s="211"/>
      <c r="M67" s="211"/>
      <c r="BF67" s="215">
        <v>18</v>
      </c>
      <c r="BG67" s="218">
        <f t="shared" si="38"/>
        <v>139457.3181382076</v>
      </c>
      <c r="BH67" s="215">
        <v>18</v>
      </c>
      <c r="BI67" s="219">
        <f t="shared" si="39"/>
        <v>1.12E-2</v>
      </c>
      <c r="BJ67" s="218">
        <f t="shared" si="37"/>
        <v>1561.921963147925</v>
      </c>
      <c r="BK67" s="217">
        <f t="shared" si="40"/>
        <v>1000</v>
      </c>
    </row>
    <row r="68" spans="8:63" s="215" customFormat="1">
      <c r="H68" s="211"/>
      <c r="I68" s="211"/>
      <c r="J68" s="211"/>
      <c r="K68" s="211"/>
      <c r="L68" s="211"/>
      <c r="M68" s="211"/>
      <c r="BF68" s="215">
        <v>19</v>
      </c>
      <c r="BG68" s="218">
        <f t="shared" si="38"/>
        <v>142019.24010135554</v>
      </c>
      <c r="BH68" s="215">
        <v>19</v>
      </c>
      <c r="BI68" s="219">
        <f t="shared" si="39"/>
        <v>1.12E-2</v>
      </c>
      <c r="BJ68" s="218">
        <f t="shared" si="37"/>
        <v>1590.6154891351821</v>
      </c>
      <c r="BK68" s="217">
        <f t="shared" si="40"/>
        <v>1000</v>
      </c>
    </row>
    <row r="69" spans="8:63" s="215" customFormat="1">
      <c r="H69" s="211"/>
      <c r="I69" s="211"/>
      <c r="J69" s="211"/>
      <c r="K69" s="211"/>
      <c r="L69" s="211"/>
      <c r="M69" s="211"/>
      <c r="BF69" s="215">
        <v>20</v>
      </c>
      <c r="BG69" s="218">
        <f t="shared" si="38"/>
        <v>144609.85559049071</v>
      </c>
      <c r="BH69" s="215">
        <v>20</v>
      </c>
      <c r="BI69" s="219">
        <f t="shared" si="39"/>
        <v>1.12E-2</v>
      </c>
      <c r="BJ69" s="218">
        <f t="shared" si="37"/>
        <v>1619.6303826134961</v>
      </c>
      <c r="BK69" s="217">
        <f t="shared" si="40"/>
        <v>1000</v>
      </c>
    </row>
    <row r="70" spans="8:63" s="215" customFormat="1">
      <c r="H70" s="211"/>
      <c r="I70" s="211"/>
      <c r="J70" s="211"/>
      <c r="K70" s="211"/>
      <c r="L70" s="211"/>
      <c r="M70" s="211"/>
      <c r="BF70" s="215">
        <v>21</v>
      </c>
      <c r="BG70" s="218">
        <f t="shared" si="38"/>
        <v>147229.48597310419</v>
      </c>
      <c r="BH70" s="215">
        <v>21</v>
      </c>
      <c r="BI70" s="219">
        <f t="shared" si="39"/>
        <v>1.12E-2</v>
      </c>
      <c r="BJ70" s="218">
        <f t="shared" si="37"/>
        <v>1648.9702428987669</v>
      </c>
      <c r="BK70" s="217">
        <f t="shared" si="40"/>
        <v>1000</v>
      </c>
    </row>
    <row r="71" spans="8:63" s="215" customFormat="1">
      <c r="H71" s="211"/>
      <c r="I71" s="211"/>
      <c r="J71" s="211"/>
      <c r="K71" s="211"/>
      <c r="L71" s="211"/>
      <c r="M71" s="211"/>
      <c r="BF71" s="215">
        <v>22</v>
      </c>
      <c r="BG71" s="218">
        <f t="shared" si="38"/>
        <v>149878.45621600296</v>
      </c>
      <c r="BH71" s="215">
        <v>22</v>
      </c>
      <c r="BI71" s="219">
        <f t="shared" si="39"/>
        <v>1.12E-2</v>
      </c>
      <c r="BJ71" s="218">
        <f t="shared" si="37"/>
        <v>1678.6387096192332</v>
      </c>
      <c r="BK71" s="217">
        <f t="shared" si="40"/>
        <v>1000</v>
      </c>
    </row>
    <row r="72" spans="8:63" s="215" customFormat="1">
      <c r="H72" s="211"/>
      <c r="I72" s="211"/>
      <c r="J72" s="211"/>
      <c r="K72" s="211"/>
      <c r="L72" s="211"/>
      <c r="M72" s="211"/>
      <c r="BF72" s="215">
        <v>23</v>
      </c>
      <c r="BG72" s="218">
        <f t="shared" si="38"/>
        <v>152557.09492562219</v>
      </c>
      <c r="BH72" s="215">
        <v>23</v>
      </c>
      <c r="BI72" s="219">
        <f t="shared" si="39"/>
        <v>1.12E-2</v>
      </c>
      <c r="BJ72" s="218">
        <f t="shared" si="37"/>
        <v>1708.6394631669687</v>
      </c>
      <c r="BK72" s="217">
        <f t="shared" si="40"/>
        <v>1000</v>
      </c>
    </row>
    <row r="73" spans="8:63" s="215" customFormat="1">
      <c r="H73" s="211"/>
      <c r="I73" s="211"/>
      <c r="J73" s="211"/>
      <c r="K73" s="211"/>
      <c r="L73" s="211"/>
      <c r="M73" s="211"/>
      <c r="BF73" s="215">
        <v>24</v>
      </c>
      <c r="BG73" s="218">
        <f t="shared" si="38"/>
        <v>155265.73438878916</v>
      </c>
      <c r="BH73" s="215">
        <v>24</v>
      </c>
      <c r="BI73" s="219">
        <f t="shared" si="39"/>
        <v>1.12E-2</v>
      </c>
      <c r="BJ73" s="218">
        <f t="shared" si="37"/>
        <v>1738.9762251544387</v>
      </c>
      <c r="BK73" s="217">
        <f t="shared" si="40"/>
        <v>1000</v>
      </c>
    </row>
    <row r="74" spans="8:63" s="215" customFormat="1">
      <c r="H74" s="211"/>
      <c r="I74" s="211"/>
      <c r="J74" s="211"/>
      <c r="K74" s="211"/>
      <c r="L74" s="211"/>
      <c r="M74" s="211"/>
      <c r="BF74" s="215">
        <v>25</v>
      </c>
      <c r="BG74" s="218">
        <f t="shared" si="38"/>
        <v>158004.71061394361</v>
      </c>
      <c r="BH74" s="215">
        <v>25</v>
      </c>
      <c r="BI74" s="219">
        <f t="shared" si="39"/>
        <v>1.12E-2</v>
      </c>
      <c r="BJ74" s="218">
        <f t="shared" si="37"/>
        <v>1769.6527588761685</v>
      </c>
      <c r="BK74" s="217">
        <f t="shared" si="40"/>
        <v>1000</v>
      </c>
    </row>
    <row r="75" spans="8:63" s="215" customFormat="1">
      <c r="H75" s="211"/>
      <c r="I75" s="211"/>
      <c r="J75" s="211"/>
      <c r="K75" s="211"/>
      <c r="L75" s="211"/>
      <c r="M75" s="211"/>
      <c r="BF75" s="215">
        <v>26</v>
      </c>
      <c r="BG75" s="218">
        <f t="shared" si="38"/>
        <v>160774.36337281979</v>
      </c>
      <c r="BH75" s="215">
        <v>26</v>
      </c>
      <c r="BI75" s="219">
        <f t="shared" si="39"/>
        <v>1.12E-2</v>
      </c>
      <c r="BJ75" s="218">
        <f t="shared" si="37"/>
        <v>1800.6728697755816</v>
      </c>
      <c r="BK75" s="217">
        <f t="shared" si="40"/>
        <v>1000</v>
      </c>
    </row>
    <row r="76" spans="8:63" s="215" customFormat="1">
      <c r="H76" s="211"/>
      <c r="I76" s="211"/>
      <c r="J76" s="211"/>
      <c r="K76" s="211"/>
      <c r="L76" s="211"/>
      <c r="M76" s="211"/>
      <c r="BF76" s="215">
        <v>27</v>
      </c>
      <c r="BG76" s="218">
        <f t="shared" si="38"/>
        <v>163575.03624259538</v>
      </c>
      <c r="BH76" s="215">
        <v>27</v>
      </c>
      <c r="BI76" s="219">
        <f t="shared" si="39"/>
        <v>1.12E-2</v>
      </c>
      <c r="BJ76" s="218">
        <f t="shared" si="37"/>
        <v>1832.0404059170683</v>
      </c>
      <c r="BK76" s="217">
        <f t="shared" si="40"/>
        <v>1000</v>
      </c>
    </row>
    <row r="77" spans="8:63" s="215" customFormat="1">
      <c r="H77" s="211"/>
      <c r="I77" s="211"/>
      <c r="J77" s="211"/>
      <c r="K77" s="211"/>
      <c r="L77" s="211"/>
      <c r="M77" s="211"/>
      <c r="BF77" s="215">
        <v>28</v>
      </c>
      <c r="BG77" s="218">
        <f t="shared" si="38"/>
        <v>166407.07664851245</v>
      </c>
      <c r="BH77" s="215">
        <v>28</v>
      </c>
      <c r="BI77" s="219">
        <f t="shared" si="39"/>
        <v>1.12E-2</v>
      </c>
      <c r="BJ77" s="218">
        <f t="shared" si="37"/>
        <v>1863.7592584633394</v>
      </c>
      <c r="BK77" s="217">
        <f t="shared" si="40"/>
        <v>1000</v>
      </c>
    </row>
    <row r="78" spans="8:63" s="215" customFormat="1">
      <c r="H78" s="211"/>
      <c r="I78" s="211"/>
      <c r="J78" s="211"/>
      <c r="K78" s="211"/>
      <c r="L78" s="211"/>
      <c r="M78" s="211"/>
      <c r="BF78" s="215">
        <v>29</v>
      </c>
      <c r="BG78" s="218">
        <f t="shared" si="38"/>
        <v>169270.83590697579</v>
      </c>
      <c r="BH78" s="215">
        <v>29</v>
      </c>
      <c r="BI78" s="219">
        <f t="shared" si="39"/>
        <v>1.12E-2</v>
      </c>
      <c r="BJ78" s="218">
        <f t="shared" si="37"/>
        <v>1895.8333621581287</v>
      </c>
      <c r="BK78" s="217">
        <f t="shared" si="40"/>
        <v>1000</v>
      </c>
    </row>
    <row r="79" spans="8:63" s="215" customFormat="1">
      <c r="H79" s="211"/>
      <c r="I79" s="211"/>
      <c r="J79" s="211"/>
      <c r="K79" s="211"/>
      <c r="L79" s="211"/>
      <c r="M79" s="211"/>
      <c r="BF79" s="215">
        <v>30</v>
      </c>
      <c r="BG79" s="218">
        <f t="shared" si="38"/>
        <v>172166.66926913391</v>
      </c>
      <c r="BH79" s="215">
        <v>30</v>
      </c>
      <c r="BI79" s="219">
        <f t="shared" si="39"/>
        <v>1.12E-2</v>
      </c>
      <c r="BJ79" s="218">
        <f t="shared" si="37"/>
        <v>1928.2666958142997</v>
      </c>
      <c r="BK79" s="217">
        <f t="shared" si="40"/>
        <v>1000</v>
      </c>
    </row>
    <row r="80" spans="8:63" s="215" customFormat="1">
      <c r="H80" s="211"/>
      <c r="I80" s="211"/>
      <c r="J80" s="211"/>
      <c r="K80" s="211"/>
      <c r="L80" s="211"/>
      <c r="M80" s="211"/>
      <c r="BF80" s="215">
        <v>31</v>
      </c>
      <c r="BG80" s="218">
        <f t="shared" si="38"/>
        <v>175094.93596494821</v>
      </c>
      <c r="BH80" s="215">
        <v>31</v>
      </c>
      <c r="BI80" s="219">
        <f t="shared" si="39"/>
        <v>1.12E-2</v>
      </c>
      <c r="BJ80" s="218">
        <f t="shared" si="37"/>
        <v>1961.0632828074199</v>
      </c>
      <c r="BK80" s="217">
        <f t="shared" si="40"/>
        <v>1000</v>
      </c>
    </row>
    <row r="81" spans="8:63" s="215" customFormat="1">
      <c r="H81" s="211"/>
      <c r="I81" s="211"/>
      <c r="J81" s="211"/>
      <c r="K81" s="211"/>
      <c r="L81" s="211"/>
      <c r="M81" s="211"/>
      <c r="BF81" s="215">
        <v>32</v>
      </c>
      <c r="BG81" s="218">
        <f t="shared" si="38"/>
        <v>178055.99924775562</v>
      </c>
      <c r="BH81" s="215">
        <v>32</v>
      </c>
      <c r="BI81" s="219">
        <f t="shared" si="39"/>
        <v>1.12E-2</v>
      </c>
      <c r="BJ81" s="218">
        <f t="shared" si="37"/>
        <v>1994.2271915748629</v>
      </c>
      <c r="BK81" s="217">
        <f t="shared" si="40"/>
        <v>1000</v>
      </c>
    </row>
    <row r="82" spans="8:63" s="215" customFormat="1">
      <c r="H82" s="211"/>
      <c r="I82" s="211"/>
      <c r="J82" s="211"/>
      <c r="K82" s="211"/>
      <c r="L82" s="211"/>
      <c r="M82" s="211"/>
      <c r="BF82" s="215">
        <v>33</v>
      </c>
      <c r="BG82" s="218">
        <f t="shared" si="38"/>
        <v>181050.22643933049</v>
      </c>
      <c r="BH82" s="215">
        <v>33</v>
      </c>
      <c r="BI82" s="219">
        <f t="shared" si="39"/>
        <v>1.12E-2</v>
      </c>
      <c r="BJ82" s="218">
        <f t="shared" si="37"/>
        <v>2027.7625361205014</v>
      </c>
      <c r="BK82" s="217">
        <f t="shared" si="40"/>
        <v>1000</v>
      </c>
    </row>
    <row r="83" spans="8:63" s="215" customFormat="1">
      <c r="H83" s="211"/>
      <c r="I83" s="211"/>
      <c r="J83" s="211"/>
      <c r="K83" s="211"/>
      <c r="L83" s="211"/>
      <c r="M83" s="211"/>
      <c r="BF83" s="215">
        <v>34</v>
      </c>
      <c r="BG83" s="218">
        <f t="shared" si="38"/>
        <v>184077.98897545101</v>
      </c>
      <c r="BH83" s="215">
        <v>34</v>
      </c>
      <c r="BI83" s="219">
        <f t="shared" si="39"/>
        <v>1.12E-2</v>
      </c>
      <c r="BJ83" s="218">
        <f t="shared" si="37"/>
        <v>2061.6734765250512</v>
      </c>
      <c r="BK83" s="217">
        <f t="shared" si="40"/>
        <v>1000</v>
      </c>
    </row>
    <row r="84" spans="8:63" s="215" customFormat="1">
      <c r="H84" s="211"/>
      <c r="I84" s="211"/>
      <c r="J84" s="211"/>
      <c r="K84" s="211"/>
      <c r="L84" s="211"/>
      <c r="M84" s="211"/>
      <c r="BF84" s="215">
        <v>35</v>
      </c>
      <c r="BG84" s="218">
        <f t="shared" si="38"/>
        <v>187139.66245197607</v>
      </c>
      <c r="BH84" s="215">
        <v>35</v>
      </c>
      <c r="BI84" s="219">
        <f t="shared" si="39"/>
        <v>1.12E-2</v>
      </c>
      <c r="BJ84" s="218">
        <f t="shared" si="37"/>
        <v>2095.964219462132</v>
      </c>
      <c r="BK84" s="217">
        <f t="shared" si="40"/>
        <v>1000</v>
      </c>
    </row>
    <row r="85" spans="8:63" s="215" customFormat="1">
      <c r="H85" s="211"/>
      <c r="I85" s="211"/>
      <c r="J85" s="211"/>
      <c r="K85" s="211"/>
      <c r="L85" s="211"/>
      <c r="M85" s="211"/>
      <c r="BF85" s="215">
        <v>36</v>
      </c>
      <c r="BG85" s="218">
        <f t="shared" si="38"/>
        <v>190235.62667143819</v>
      </c>
      <c r="BH85" s="215">
        <v>36</v>
      </c>
      <c r="BI85" s="219">
        <f t="shared" si="39"/>
        <v>1.12E-2</v>
      </c>
      <c r="BJ85" s="218">
        <f t="shared" si="37"/>
        <v>2130.6390187201077</v>
      </c>
      <c r="BK85" s="217">
        <f t="shared" si="40"/>
        <v>1000</v>
      </c>
    </row>
    <row r="86" spans="8:63" s="215" customFormat="1">
      <c r="H86" s="211"/>
      <c r="I86" s="211"/>
      <c r="J86" s="211"/>
      <c r="K86" s="211"/>
      <c r="L86" s="211"/>
      <c r="M86" s="211"/>
      <c r="BF86" s="215">
        <v>37</v>
      </c>
      <c r="BG86" s="218">
        <f t="shared" si="38"/>
        <v>193366.2656901583</v>
      </c>
      <c r="BH86" s="215">
        <v>37</v>
      </c>
      <c r="BI86" s="219">
        <f t="shared" si="39"/>
        <v>1.12E-2</v>
      </c>
      <c r="BJ86" s="218">
        <f t="shared" si="37"/>
        <v>2165.702175729773</v>
      </c>
      <c r="BK86" s="217">
        <f t="shared" si="40"/>
        <v>1000</v>
      </c>
    </row>
    <row r="87" spans="8:63" s="215" customFormat="1">
      <c r="H87" s="211"/>
      <c r="I87" s="211"/>
      <c r="J87" s="211"/>
      <c r="K87" s="211"/>
      <c r="L87" s="211"/>
      <c r="M87" s="211"/>
      <c r="BF87" s="215">
        <v>38</v>
      </c>
      <c r="BG87" s="218">
        <f t="shared" si="38"/>
        <v>196531.96786588806</v>
      </c>
      <c r="BH87" s="215">
        <v>38</v>
      </c>
      <c r="BI87" s="219">
        <f t="shared" si="39"/>
        <v>1.12E-2</v>
      </c>
      <c r="BJ87" s="218">
        <f t="shared" si="37"/>
        <v>2201.158040097946</v>
      </c>
      <c r="BK87" s="217">
        <f t="shared" si="40"/>
        <v>1000</v>
      </c>
    </row>
    <row r="88" spans="8:63" s="215" customFormat="1">
      <c r="H88" s="211"/>
      <c r="I88" s="211"/>
      <c r="J88" s="211"/>
      <c r="K88" s="211"/>
      <c r="L88" s="211"/>
      <c r="M88" s="211"/>
      <c r="BF88" s="215">
        <v>39</v>
      </c>
      <c r="BG88" s="218">
        <f t="shared" si="38"/>
        <v>199733.125905986</v>
      </c>
      <c r="BH88" s="215">
        <v>39</v>
      </c>
      <c r="BI88" s="219">
        <f t="shared" si="39"/>
        <v>1.12E-2</v>
      </c>
      <c r="BJ88" s="218">
        <f t="shared" si="37"/>
        <v>2237.0110101470432</v>
      </c>
      <c r="BK88" s="217">
        <f t="shared" si="40"/>
        <v>1000</v>
      </c>
    </row>
    <row r="89" spans="8:63" s="215" customFormat="1">
      <c r="H89" s="211"/>
      <c r="I89" s="211"/>
      <c r="J89" s="211"/>
      <c r="K89" s="211"/>
      <c r="L89" s="211"/>
      <c r="M89" s="211"/>
      <c r="BF89" s="215">
        <v>40</v>
      </c>
      <c r="BG89" s="218">
        <f t="shared" si="38"/>
        <v>202970.13691613305</v>
      </c>
      <c r="BH89" s="215">
        <v>40</v>
      </c>
      <c r="BI89" s="219">
        <f t="shared" si="39"/>
        <v>1.12E-2</v>
      </c>
      <c r="BJ89" s="218">
        <f t="shared" si="37"/>
        <v>2273.2655334606902</v>
      </c>
      <c r="BK89" s="217">
        <f t="shared" si="40"/>
        <v>1000</v>
      </c>
    </row>
    <row r="90" spans="8:63" s="215" customFormat="1">
      <c r="H90" s="211"/>
      <c r="I90" s="211"/>
      <c r="J90" s="211"/>
      <c r="K90" s="211"/>
      <c r="L90" s="211"/>
      <c r="M90" s="211"/>
      <c r="BF90" s="215">
        <v>41</v>
      </c>
      <c r="BG90" s="218">
        <f t="shared" si="38"/>
        <v>206243.40244959373</v>
      </c>
      <c r="BH90" s="215">
        <v>41</v>
      </c>
      <c r="BI90" s="219">
        <f t="shared" si="39"/>
        <v>1.12E-2</v>
      </c>
      <c r="BJ90" s="218">
        <f t="shared" si="37"/>
        <v>2309.9261074354499</v>
      </c>
      <c r="BK90" s="217">
        <f t="shared" si="40"/>
        <v>1000</v>
      </c>
    </row>
    <row r="91" spans="8:63" s="215" customFormat="1">
      <c r="H91" s="211"/>
      <c r="I91" s="211"/>
      <c r="J91" s="211"/>
      <c r="K91" s="211"/>
      <c r="L91" s="211"/>
      <c r="M91" s="211"/>
      <c r="BF91" s="215">
        <v>42</v>
      </c>
      <c r="BG91" s="218">
        <f t="shared" si="38"/>
        <v>209553.32855702919</v>
      </c>
      <c r="BH91" s="215">
        <v>42</v>
      </c>
      <c r="BI91" s="219">
        <f t="shared" si="39"/>
        <v>1.12E-2</v>
      </c>
      <c r="BJ91" s="218">
        <f t="shared" si="37"/>
        <v>2346.9972798387271</v>
      </c>
      <c r="BK91" s="217">
        <f t="shared" si="40"/>
        <v>1000</v>
      </c>
    </row>
    <row r="92" spans="8:63" s="215" customFormat="1">
      <c r="H92" s="211"/>
      <c r="I92" s="211"/>
      <c r="J92" s="211"/>
      <c r="K92" s="211"/>
      <c r="L92" s="211"/>
      <c r="M92" s="211"/>
      <c r="BF92" s="215">
        <v>43</v>
      </c>
      <c r="BG92" s="218">
        <f t="shared" si="38"/>
        <v>212900.32583686791</v>
      </c>
      <c r="BH92" s="215">
        <v>43</v>
      </c>
      <c r="BI92" s="219">
        <f t="shared" si="39"/>
        <v>1.12E-2</v>
      </c>
      <c r="BJ92" s="218">
        <f t="shared" si="37"/>
        <v>2384.4836493729204</v>
      </c>
      <c r="BK92" s="217">
        <f t="shared" si="40"/>
        <v>1000</v>
      </c>
    </row>
    <row r="93" spans="8:63" s="215" customFormat="1">
      <c r="H93" s="211"/>
      <c r="I93" s="211"/>
      <c r="J93" s="211"/>
      <c r="K93" s="211"/>
      <c r="L93" s="211"/>
      <c r="M93" s="211"/>
      <c r="BF93" s="215">
        <v>44</v>
      </c>
      <c r="BG93" s="218">
        <f t="shared" si="38"/>
        <v>216284.80948624082</v>
      </c>
      <c r="BH93" s="215">
        <v>44</v>
      </c>
      <c r="BI93" s="219">
        <f t="shared" si="39"/>
        <v>1.12E-2</v>
      </c>
      <c r="BJ93" s="218">
        <f t="shared" si="37"/>
        <v>2422.3898662458973</v>
      </c>
      <c r="BK93" s="217">
        <f t="shared" si="40"/>
        <v>1000</v>
      </c>
    </row>
    <row r="94" spans="8:63" s="215" customFormat="1">
      <c r="H94" s="211"/>
      <c r="I94" s="211"/>
      <c r="J94" s="211"/>
      <c r="K94" s="211"/>
      <c r="L94" s="211"/>
      <c r="M94" s="211"/>
      <c r="BF94" s="215">
        <v>45</v>
      </c>
      <c r="BG94" s="218">
        <f t="shared" si="38"/>
        <v>219707.19935248673</v>
      </c>
      <c r="BH94" s="215">
        <v>45</v>
      </c>
      <c r="BI94" s="219">
        <f t="shared" si="39"/>
        <v>1.12E-2</v>
      </c>
      <c r="BJ94" s="218">
        <f t="shared" si="37"/>
        <v>2460.7206327478511</v>
      </c>
      <c r="BK94" s="217">
        <f t="shared" si="40"/>
        <v>1000</v>
      </c>
    </row>
    <row r="95" spans="8:63" s="215" customFormat="1">
      <c r="H95" s="211"/>
      <c r="I95" s="211"/>
      <c r="J95" s="211"/>
      <c r="K95" s="211"/>
      <c r="L95" s="211"/>
      <c r="M95" s="211"/>
      <c r="BF95" s="215">
        <v>46</v>
      </c>
      <c r="BG95" s="218">
        <f t="shared" si="38"/>
        <v>223167.91998523459</v>
      </c>
      <c r="BH95" s="215">
        <v>46</v>
      </c>
      <c r="BI95" s="219">
        <f t="shared" si="39"/>
        <v>1.12E-2</v>
      </c>
      <c r="BJ95" s="218">
        <f t="shared" si="37"/>
        <v>2499.4807038346275</v>
      </c>
      <c r="BK95" s="217">
        <f t="shared" si="40"/>
        <v>1000</v>
      </c>
    </row>
    <row r="96" spans="8:63" s="215" customFormat="1">
      <c r="H96" s="211"/>
      <c r="I96" s="211"/>
      <c r="J96" s="211"/>
      <c r="K96" s="211"/>
      <c r="L96" s="211"/>
      <c r="M96" s="211"/>
      <c r="BF96" s="215">
        <v>47</v>
      </c>
      <c r="BG96" s="218">
        <f t="shared" si="38"/>
        <v>226667.40068906921</v>
      </c>
      <c r="BH96" s="215">
        <v>47</v>
      </c>
      <c r="BI96" s="219">
        <f t="shared" si="39"/>
        <v>1.12E-2</v>
      </c>
      <c r="BJ96" s="218">
        <f t="shared" si="37"/>
        <v>2538.6748877175751</v>
      </c>
      <c r="BK96" s="217">
        <f t="shared" si="40"/>
        <v>1000</v>
      </c>
    </row>
    <row r="97" spans="8:63" s="215" customFormat="1">
      <c r="H97" s="211"/>
      <c r="I97" s="211"/>
      <c r="J97" s="211"/>
      <c r="K97" s="211"/>
      <c r="L97" s="211"/>
      <c r="M97" s="211"/>
      <c r="BF97" s="215">
        <v>48</v>
      </c>
      <c r="BG97" s="218">
        <f t="shared" si="38"/>
        <v>230206.0755767868</v>
      </c>
      <c r="BH97" s="215">
        <v>48</v>
      </c>
      <c r="BI97" s="219">
        <f t="shared" si="39"/>
        <v>1.12E-2</v>
      </c>
      <c r="BJ97" s="218">
        <f t="shared" si="37"/>
        <v>2578.3080464600121</v>
      </c>
      <c r="BK97" s="217">
        <f t="shared" si="40"/>
        <v>1000</v>
      </c>
    </row>
    <row r="98" spans="8:63" s="215" customFormat="1">
      <c r="H98" s="211"/>
      <c r="I98" s="211"/>
      <c r="J98" s="211"/>
      <c r="K98" s="211"/>
      <c r="L98" s="211"/>
      <c r="M98" s="211"/>
      <c r="BF98" s="215">
        <v>49</v>
      </c>
      <c r="BG98" s="218">
        <f t="shared" si="38"/>
        <v>233784.3836232468</v>
      </c>
      <c r="BH98" s="215">
        <v>49</v>
      </c>
      <c r="BI98" s="219">
        <f t="shared" si="39"/>
        <v>1.12E-2</v>
      </c>
      <c r="BJ98" s="218">
        <f t="shared" si="37"/>
        <v>2618.385096580364</v>
      </c>
      <c r="BK98" s="217">
        <f t="shared" si="40"/>
        <v>1000</v>
      </c>
    </row>
    <row r="99" spans="8:63" s="215" customFormat="1">
      <c r="H99" s="211"/>
      <c r="I99" s="211"/>
      <c r="J99" s="211"/>
      <c r="K99" s="211"/>
      <c r="L99" s="211"/>
      <c r="M99" s="211"/>
      <c r="BF99" s="215">
        <v>50</v>
      </c>
      <c r="BG99" s="218">
        <f t="shared" si="38"/>
        <v>237402.76871982717</v>
      </c>
      <c r="BH99" s="215">
        <v>50</v>
      </c>
      <c r="BI99" s="219">
        <f t="shared" si="39"/>
        <v>1.12E-2</v>
      </c>
      <c r="BJ99" s="218">
        <f t="shared" si="37"/>
        <v>2658.9110096620643</v>
      </c>
      <c r="BK99" s="217">
        <f t="shared" si="40"/>
        <v>1000</v>
      </c>
    </row>
    <row r="100" spans="8:63" s="215" customFormat="1">
      <c r="H100" s="211"/>
      <c r="I100" s="211"/>
      <c r="J100" s="211"/>
      <c r="K100" s="211"/>
      <c r="L100" s="211"/>
      <c r="M100" s="211"/>
      <c r="BF100" s="215">
        <v>51</v>
      </c>
      <c r="BG100" s="218">
        <f t="shared" si="38"/>
        <v>241061.67972948923</v>
      </c>
      <c r="BH100" s="215">
        <v>51</v>
      </c>
      <c r="BI100" s="219">
        <f t="shared" si="39"/>
        <v>1.12E-2</v>
      </c>
      <c r="BJ100" s="218">
        <f t="shared" si="37"/>
        <v>2699.8908129702795</v>
      </c>
      <c r="BK100" s="217">
        <f t="shared" si="40"/>
        <v>1000</v>
      </c>
    </row>
    <row r="101" spans="8:63" s="215" customFormat="1">
      <c r="H101" s="211"/>
      <c r="I101" s="211"/>
      <c r="J101" s="211"/>
      <c r="K101" s="211"/>
      <c r="L101" s="211"/>
      <c r="M101" s="211"/>
      <c r="BF101" s="215">
        <v>52</v>
      </c>
      <c r="BG101" s="218">
        <f t="shared" si="38"/>
        <v>244761.57054245952</v>
      </c>
      <c r="BH101" s="215">
        <v>52</v>
      </c>
      <c r="BI101" s="219">
        <f t="shared" si="39"/>
        <v>1.12E-2</v>
      </c>
      <c r="BJ101" s="218">
        <f t="shared" si="37"/>
        <v>2741.3295900755465</v>
      </c>
      <c r="BK101" s="217">
        <f t="shared" si="40"/>
        <v>1000</v>
      </c>
    </row>
    <row r="102" spans="8:63" s="215" customFormat="1">
      <c r="H102" s="211"/>
      <c r="I102" s="211"/>
      <c r="J102" s="211"/>
      <c r="K102" s="211"/>
      <c r="L102" s="211"/>
      <c r="M102" s="211"/>
      <c r="BF102" s="215">
        <v>53</v>
      </c>
      <c r="BG102" s="218">
        <f t="shared" si="38"/>
        <v>248502.90013253505</v>
      </c>
      <c r="BH102" s="215">
        <v>53</v>
      </c>
      <c r="BI102" s="219">
        <f t="shared" si="39"/>
        <v>1.12E-2</v>
      </c>
      <c r="BJ102" s="218">
        <f t="shared" si="37"/>
        <v>2783.2324814843928</v>
      </c>
      <c r="BK102" s="217">
        <f t="shared" si="40"/>
        <v>1000</v>
      </c>
    </row>
    <row r="103" spans="8:63" s="215" customFormat="1">
      <c r="H103" s="211"/>
      <c r="I103" s="211"/>
      <c r="J103" s="211"/>
      <c r="K103" s="211"/>
      <c r="L103" s="211"/>
      <c r="M103" s="211"/>
      <c r="BF103" s="215">
        <v>54</v>
      </c>
      <c r="BG103" s="218">
        <f t="shared" si="38"/>
        <v>252286.13261401944</v>
      </c>
      <c r="BH103" s="215">
        <v>54</v>
      </c>
      <c r="BI103" s="219">
        <f t="shared" si="39"/>
        <v>1.12E-2</v>
      </c>
      <c r="BJ103" s="218">
        <f t="shared" si="37"/>
        <v>2825.6046852770178</v>
      </c>
      <c r="BK103" s="217">
        <f t="shared" si="40"/>
        <v>1000</v>
      </c>
    </row>
    <row r="104" spans="8:63" s="215" customFormat="1">
      <c r="H104" s="211"/>
      <c r="I104" s="211"/>
      <c r="J104" s="211"/>
      <c r="K104" s="211"/>
      <c r="L104" s="211"/>
      <c r="M104" s="211"/>
      <c r="BF104" s="215">
        <v>55</v>
      </c>
      <c r="BG104" s="218">
        <f t="shared" si="38"/>
        <v>256111.73729929645</v>
      </c>
      <c r="BH104" s="215">
        <v>55</v>
      </c>
      <c r="BI104" s="219">
        <f t="shared" si="39"/>
        <v>1.12E-2</v>
      </c>
      <c r="BJ104" s="218">
        <f t="shared" si="37"/>
        <v>2868.4514577521204</v>
      </c>
      <c r="BK104" s="217">
        <f t="shared" si="40"/>
        <v>1000</v>
      </c>
    </row>
    <row r="105" spans="8:63" s="215" customFormat="1">
      <c r="H105" s="211"/>
      <c r="I105" s="211"/>
      <c r="J105" s="211"/>
      <c r="K105" s="211"/>
      <c r="L105" s="211"/>
      <c r="M105" s="211"/>
      <c r="BF105" s="215">
        <v>56</v>
      </c>
      <c r="BG105" s="218">
        <f t="shared" si="38"/>
        <v>259980.18875704857</v>
      </c>
      <c r="BH105" s="215">
        <v>56</v>
      </c>
      <c r="BI105" s="219">
        <f t="shared" si="39"/>
        <v>1.12E-2</v>
      </c>
      <c r="BJ105" s="218">
        <f t="shared" si="37"/>
        <v>2911.7781140789439</v>
      </c>
      <c r="BK105" s="217">
        <f t="shared" si="40"/>
        <v>1000</v>
      </c>
    </row>
    <row r="106" spans="8:63" s="215" customFormat="1">
      <c r="H106" s="211"/>
      <c r="I106" s="211"/>
      <c r="J106" s="211"/>
      <c r="K106" s="211"/>
      <c r="L106" s="211"/>
      <c r="M106" s="211"/>
      <c r="BF106" s="215">
        <v>57</v>
      </c>
      <c r="BG106" s="218">
        <f t="shared" si="38"/>
        <v>263891.96687112749</v>
      </c>
      <c r="BH106" s="215">
        <v>57</v>
      </c>
      <c r="BI106" s="219">
        <f t="shared" si="39"/>
        <v>1.12E-2</v>
      </c>
      <c r="BJ106" s="218">
        <f t="shared" si="37"/>
        <v>2955.590028956628</v>
      </c>
      <c r="BK106" s="217">
        <f t="shared" si="40"/>
        <v>1000</v>
      </c>
    </row>
    <row r="107" spans="8:63" s="215" customFormat="1">
      <c r="H107" s="211"/>
      <c r="I107" s="211"/>
      <c r="J107" s="211"/>
      <c r="K107" s="211"/>
      <c r="L107" s="211"/>
      <c r="M107" s="211"/>
      <c r="BF107" s="215">
        <v>58</v>
      </c>
      <c r="BG107" s="218">
        <f t="shared" si="38"/>
        <v>267847.55690008414</v>
      </c>
      <c r="BH107" s="215">
        <v>58</v>
      </c>
      <c r="BI107" s="219">
        <f t="shared" si="39"/>
        <v>1.12E-2</v>
      </c>
      <c r="BJ107" s="218">
        <f t="shared" si="37"/>
        <v>2999.8926372809424</v>
      </c>
      <c r="BK107" s="217">
        <f t="shared" si="40"/>
        <v>1000</v>
      </c>
    </row>
    <row r="108" spans="8:63" s="215" customFormat="1">
      <c r="H108" s="211"/>
      <c r="I108" s="211"/>
      <c r="J108" s="211"/>
      <c r="K108" s="211"/>
      <c r="L108" s="211"/>
      <c r="M108" s="211"/>
      <c r="BF108" s="215">
        <v>59</v>
      </c>
      <c r="BG108" s="218">
        <f t="shared" si="38"/>
        <v>271847.44953736506</v>
      </c>
      <c r="BH108" s="215">
        <v>59</v>
      </c>
      <c r="BI108" s="219">
        <f t="shared" si="39"/>
        <v>1.12E-2</v>
      </c>
      <c r="BJ108" s="218">
        <f t="shared" si="37"/>
        <v>3044.6914348184887</v>
      </c>
      <c r="BK108" s="217">
        <f t="shared" si="40"/>
        <v>1000</v>
      </c>
    </row>
    <row r="109" spans="8:63" s="215" customFormat="1">
      <c r="H109" s="211"/>
      <c r="I109" s="211"/>
      <c r="J109" s="211"/>
      <c r="K109" s="211"/>
      <c r="L109" s="211"/>
      <c r="M109" s="211"/>
      <c r="BF109" s="215">
        <v>60</v>
      </c>
      <c r="BG109" s="218">
        <f t="shared" si="38"/>
        <v>275892.14097218355</v>
      </c>
      <c r="BH109" s="215">
        <v>60</v>
      </c>
      <c r="BI109" s="219">
        <f t="shared" si="39"/>
        <v>1.12E-2</v>
      </c>
      <c r="BJ109" s="218">
        <f t="shared" si="37"/>
        <v>3089.9919788884558</v>
      </c>
      <c r="BK109" s="217">
        <f t="shared" si="40"/>
        <v>1000</v>
      </c>
    </row>
    <row r="110" spans="8:63" s="215" customFormat="1">
      <c r="H110" s="211"/>
      <c r="I110" s="211"/>
      <c r="J110" s="211"/>
      <c r="K110" s="211"/>
      <c r="L110" s="211"/>
      <c r="M110" s="211"/>
      <c r="BF110" s="215">
        <v>61</v>
      </c>
      <c r="BG110" s="218">
        <f t="shared" si="38"/>
        <v>279982.13295107201</v>
      </c>
      <c r="BH110" s="215">
        <v>61</v>
      </c>
      <c r="BI110" s="219">
        <f t="shared" si="39"/>
        <v>1.12E-2</v>
      </c>
      <c r="BJ110" s="218">
        <f t="shared" si="37"/>
        <v>3135.7998890520066</v>
      </c>
      <c r="BK110" s="217">
        <f t="shared" si="40"/>
        <v>1000</v>
      </c>
    </row>
    <row r="111" spans="8:63" s="215" customFormat="1">
      <c r="H111" s="211"/>
      <c r="I111" s="211"/>
      <c r="J111" s="211"/>
      <c r="K111" s="211"/>
      <c r="L111" s="211"/>
      <c r="M111" s="211"/>
      <c r="BF111" s="215">
        <v>62</v>
      </c>
      <c r="BG111" s="218">
        <f t="shared" si="38"/>
        <v>284117.93284012401</v>
      </c>
      <c r="BH111" s="215">
        <v>62</v>
      </c>
      <c r="BI111" s="219">
        <f t="shared" si="39"/>
        <v>1.12E-2</v>
      </c>
      <c r="BJ111" s="218">
        <f t="shared" si="37"/>
        <v>3182.120847809389</v>
      </c>
      <c r="BK111" s="217">
        <f t="shared" si="40"/>
        <v>1000</v>
      </c>
    </row>
    <row r="112" spans="8:63" s="215" customFormat="1">
      <c r="H112" s="211"/>
      <c r="I112" s="211"/>
      <c r="J112" s="211"/>
      <c r="K112" s="211"/>
      <c r="L112" s="211"/>
      <c r="M112" s="211"/>
      <c r="BF112" s="215">
        <v>63</v>
      </c>
      <c r="BG112" s="218">
        <f t="shared" si="38"/>
        <v>288300.05368793337</v>
      </c>
      <c r="BH112" s="215">
        <v>63</v>
      </c>
      <c r="BI112" s="219">
        <f t="shared" si="39"/>
        <v>1.12E-2</v>
      </c>
      <c r="BJ112" s="218">
        <f t="shared" si="37"/>
        <v>3228.9606013048538</v>
      </c>
      <c r="BK112" s="217">
        <f t="shared" si="40"/>
        <v>1000</v>
      </c>
    </row>
    <row r="113" spans="8:63" s="215" customFormat="1">
      <c r="H113" s="211"/>
      <c r="I113" s="211"/>
      <c r="J113" s="211"/>
      <c r="K113" s="211"/>
      <c r="L113" s="211"/>
      <c r="M113" s="211"/>
      <c r="BF113" s="215">
        <v>64</v>
      </c>
      <c r="BG113" s="218">
        <f t="shared" si="38"/>
        <v>292529.0142892382</v>
      </c>
      <c r="BH113" s="215">
        <v>64</v>
      </c>
      <c r="BI113" s="219">
        <f t="shared" si="39"/>
        <v>1.12E-2</v>
      </c>
      <c r="BJ113" s="218">
        <f t="shared" si="37"/>
        <v>3276.3249600394679</v>
      </c>
      <c r="BK113" s="217">
        <f t="shared" si="40"/>
        <v>1000</v>
      </c>
    </row>
    <row r="114" spans="8:63" s="215" customFormat="1">
      <c r="H114" s="211"/>
      <c r="I114" s="211"/>
      <c r="J114" s="211"/>
      <c r="K114" s="211"/>
      <c r="L114" s="211"/>
      <c r="M114" s="211"/>
      <c r="BF114" s="215">
        <v>65</v>
      </c>
      <c r="BG114" s="218">
        <f t="shared" si="38"/>
        <v>296805.33924927766</v>
      </c>
      <c r="BH114" s="215">
        <v>65</v>
      </c>
      <c r="BI114" s="219">
        <f t="shared" si="39"/>
        <v>1.12E-2</v>
      </c>
      <c r="BJ114" s="218">
        <f t="shared" ref="BJ114:BJ177" si="41">BG114*BI114</f>
        <v>3324.2197995919096</v>
      </c>
      <c r="BK114" s="217">
        <f t="shared" si="40"/>
        <v>1000</v>
      </c>
    </row>
    <row r="115" spans="8:63" s="215" customFormat="1">
      <c r="H115" s="211"/>
      <c r="I115" s="211"/>
      <c r="J115" s="211"/>
      <c r="K115" s="211"/>
      <c r="L115" s="211"/>
      <c r="M115" s="211"/>
      <c r="BF115" s="215">
        <v>66</v>
      </c>
      <c r="BG115" s="218">
        <f t="shared" ref="BG115:BG178" si="42">BG114+BJ114+BK115</f>
        <v>301129.55904886959</v>
      </c>
      <c r="BH115" s="215">
        <v>66</v>
      </c>
      <c r="BI115" s="219">
        <f t="shared" ref="BI115:BI178" si="43">BI114</f>
        <v>1.12E-2</v>
      </c>
      <c r="BJ115" s="218">
        <f t="shared" si="41"/>
        <v>3372.6510613473392</v>
      </c>
      <c r="BK115" s="217">
        <f t="shared" ref="BK115:BK178" si="44">BK114</f>
        <v>1000</v>
      </c>
    </row>
    <row r="116" spans="8:63" s="215" customFormat="1">
      <c r="H116" s="211"/>
      <c r="I116" s="211"/>
      <c r="J116" s="211"/>
      <c r="K116" s="211"/>
      <c r="L116" s="211"/>
      <c r="M116" s="211"/>
      <c r="BF116" s="215">
        <v>67</v>
      </c>
      <c r="BG116" s="218">
        <f t="shared" si="42"/>
        <v>305502.21011021693</v>
      </c>
      <c r="BH116" s="215">
        <v>67</v>
      </c>
      <c r="BI116" s="219">
        <f t="shared" si="43"/>
        <v>1.12E-2</v>
      </c>
      <c r="BJ116" s="218">
        <f t="shared" si="41"/>
        <v>3421.6247532344296</v>
      </c>
      <c r="BK116" s="217">
        <f t="shared" si="44"/>
        <v>1000</v>
      </c>
    </row>
    <row r="117" spans="8:63" s="215" customFormat="1">
      <c r="H117" s="211"/>
      <c r="I117" s="211"/>
      <c r="J117" s="211"/>
      <c r="K117" s="211"/>
      <c r="L117" s="211"/>
      <c r="M117" s="211"/>
      <c r="BF117" s="215">
        <v>68</v>
      </c>
      <c r="BG117" s="218">
        <f t="shared" si="42"/>
        <v>309923.83486345137</v>
      </c>
      <c r="BH117" s="215">
        <v>68</v>
      </c>
      <c r="BI117" s="219">
        <f t="shared" si="43"/>
        <v>1.12E-2</v>
      </c>
      <c r="BJ117" s="218">
        <f t="shared" si="41"/>
        <v>3471.1469504706552</v>
      </c>
      <c r="BK117" s="217">
        <f t="shared" si="44"/>
        <v>1000</v>
      </c>
    </row>
    <row r="118" spans="8:63" s="215" customFormat="1">
      <c r="H118" s="211"/>
      <c r="I118" s="211"/>
      <c r="J118" s="211"/>
      <c r="K118" s="211"/>
      <c r="L118" s="211"/>
      <c r="M118" s="211"/>
      <c r="BF118" s="215">
        <v>69</v>
      </c>
      <c r="BG118" s="218">
        <f t="shared" si="42"/>
        <v>314394.981813922</v>
      </c>
      <c r="BH118" s="215">
        <v>69</v>
      </c>
      <c r="BI118" s="219">
        <f t="shared" si="43"/>
        <v>1.12E-2</v>
      </c>
      <c r="BJ118" s="218">
        <f t="shared" si="41"/>
        <v>3521.2237963159264</v>
      </c>
      <c r="BK118" s="217">
        <f t="shared" si="44"/>
        <v>1000</v>
      </c>
    </row>
    <row r="119" spans="8:63" s="215" customFormat="1">
      <c r="H119" s="211"/>
      <c r="I119" s="211"/>
      <c r="J119" s="211"/>
      <c r="K119" s="211"/>
      <c r="L119" s="211"/>
      <c r="M119" s="211"/>
      <c r="BF119" s="215">
        <v>70</v>
      </c>
      <c r="BG119" s="218">
        <f t="shared" si="42"/>
        <v>318916.2056102379</v>
      </c>
      <c r="BH119" s="215">
        <v>70</v>
      </c>
      <c r="BI119" s="219">
        <f t="shared" si="43"/>
        <v>1.12E-2</v>
      </c>
      <c r="BJ119" s="218">
        <f t="shared" si="41"/>
        <v>3571.8615028346644</v>
      </c>
      <c r="BK119" s="217">
        <f t="shared" si="44"/>
        <v>1000</v>
      </c>
    </row>
    <row r="120" spans="8:63" s="215" customFormat="1">
      <c r="H120" s="211"/>
      <c r="I120" s="211"/>
      <c r="J120" s="211"/>
      <c r="K120" s="211"/>
      <c r="L120" s="211"/>
      <c r="M120" s="211"/>
      <c r="BF120" s="215">
        <v>71</v>
      </c>
      <c r="BG120" s="218">
        <f t="shared" si="42"/>
        <v>323488.06711307255</v>
      </c>
      <c r="BH120" s="215">
        <v>71</v>
      </c>
      <c r="BI120" s="219">
        <f t="shared" si="43"/>
        <v>1.12E-2</v>
      </c>
      <c r="BJ120" s="218">
        <f t="shared" si="41"/>
        <v>3623.0663516664126</v>
      </c>
      <c r="BK120" s="217">
        <f t="shared" si="44"/>
        <v>1000</v>
      </c>
    </row>
    <row r="121" spans="8:63" s="215" customFormat="1">
      <c r="H121" s="211"/>
      <c r="I121" s="211"/>
      <c r="J121" s="211"/>
      <c r="K121" s="211"/>
      <c r="L121" s="211"/>
      <c r="M121" s="211"/>
      <c r="BF121" s="215">
        <v>72</v>
      </c>
      <c r="BG121" s="218">
        <f t="shared" si="42"/>
        <v>328111.13346473896</v>
      </c>
      <c r="BH121" s="215">
        <v>72</v>
      </c>
      <c r="BI121" s="219">
        <f t="shared" si="43"/>
        <v>1.12E-2</v>
      </c>
      <c r="BJ121" s="218">
        <f t="shared" si="41"/>
        <v>3674.8446948050764</v>
      </c>
      <c r="BK121" s="217">
        <f t="shared" si="44"/>
        <v>1000</v>
      </c>
    </row>
    <row r="122" spans="8:63" s="215" customFormat="1">
      <c r="H122" s="211"/>
      <c r="I122" s="211"/>
      <c r="J122" s="211"/>
      <c r="K122" s="211"/>
      <c r="L122" s="211"/>
      <c r="M122" s="211"/>
      <c r="BF122" s="215">
        <v>73</v>
      </c>
      <c r="BG122" s="218">
        <f t="shared" si="42"/>
        <v>332785.97815954406</v>
      </c>
      <c r="BH122" s="215">
        <v>73</v>
      </c>
      <c r="BI122" s="219">
        <f t="shared" si="43"/>
        <v>1.12E-2</v>
      </c>
      <c r="BJ122" s="218">
        <f t="shared" si="41"/>
        <v>3727.2029553868933</v>
      </c>
      <c r="BK122" s="217">
        <f t="shared" si="44"/>
        <v>1000</v>
      </c>
    </row>
    <row r="123" spans="8:63" s="215" customFormat="1">
      <c r="H123" s="211"/>
      <c r="I123" s="211"/>
      <c r="J123" s="211"/>
      <c r="K123" s="211"/>
      <c r="L123" s="211"/>
      <c r="M123" s="211"/>
      <c r="BF123" s="215">
        <v>74</v>
      </c>
      <c r="BG123" s="218">
        <f t="shared" si="42"/>
        <v>337513.18111493095</v>
      </c>
      <c r="BH123" s="215">
        <v>74</v>
      </c>
      <c r="BI123" s="219">
        <f t="shared" si="43"/>
        <v>1.12E-2</v>
      </c>
      <c r="BJ123" s="218">
        <f t="shared" si="41"/>
        <v>3780.1476284872265</v>
      </c>
      <c r="BK123" s="217">
        <f t="shared" si="44"/>
        <v>1000</v>
      </c>
    </row>
    <row r="124" spans="8:63" s="215" customFormat="1">
      <c r="H124" s="211"/>
      <c r="I124" s="211"/>
      <c r="J124" s="211"/>
      <c r="K124" s="211"/>
      <c r="L124" s="211"/>
      <c r="M124" s="211"/>
      <c r="BF124" s="215">
        <v>75</v>
      </c>
      <c r="BG124" s="218">
        <f t="shared" si="42"/>
        <v>342293.32874341815</v>
      </c>
      <c r="BH124" s="215">
        <v>75</v>
      </c>
      <c r="BI124" s="219">
        <f t="shared" si="43"/>
        <v>1.12E-2</v>
      </c>
      <c r="BJ124" s="218">
        <f t="shared" si="41"/>
        <v>3833.6852819262831</v>
      </c>
      <c r="BK124" s="217">
        <f t="shared" si="44"/>
        <v>1000</v>
      </c>
    </row>
    <row r="125" spans="8:63" s="215" customFormat="1">
      <c r="H125" s="211"/>
      <c r="I125" s="211"/>
      <c r="J125" s="211"/>
      <c r="K125" s="211"/>
      <c r="L125" s="211"/>
      <c r="M125" s="211"/>
      <c r="BF125" s="215">
        <v>76</v>
      </c>
      <c r="BG125" s="218">
        <f t="shared" si="42"/>
        <v>347127.01402534446</v>
      </c>
      <c r="BH125" s="215">
        <v>76</v>
      </c>
      <c r="BI125" s="219">
        <f t="shared" si="43"/>
        <v>1.12E-2</v>
      </c>
      <c r="BJ125" s="218">
        <f t="shared" si="41"/>
        <v>3887.8225570838576</v>
      </c>
      <c r="BK125" s="217">
        <f t="shared" si="44"/>
        <v>1000</v>
      </c>
    </row>
    <row r="126" spans="8:63" s="215" customFormat="1">
      <c r="H126" s="211"/>
      <c r="I126" s="211"/>
      <c r="J126" s="211"/>
      <c r="K126" s="211"/>
      <c r="L126" s="211"/>
      <c r="M126" s="211"/>
      <c r="BF126" s="215">
        <v>77</v>
      </c>
      <c r="BG126" s="218">
        <f t="shared" si="42"/>
        <v>352014.83658242831</v>
      </c>
      <c r="BH126" s="215">
        <v>77</v>
      </c>
      <c r="BI126" s="219">
        <f t="shared" si="43"/>
        <v>1.12E-2</v>
      </c>
      <c r="BJ126" s="218">
        <f t="shared" si="41"/>
        <v>3942.5661697231972</v>
      </c>
      <c r="BK126" s="217">
        <f t="shared" si="44"/>
        <v>1000</v>
      </c>
    </row>
    <row r="127" spans="8:63" s="215" customFormat="1">
      <c r="H127" s="211"/>
      <c r="I127" s="211"/>
      <c r="J127" s="211"/>
      <c r="K127" s="211"/>
      <c r="L127" s="211"/>
      <c r="M127" s="211"/>
      <c r="BF127" s="215">
        <v>78</v>
      </c>
      <c r="BG127" s="218">
        <f t="shared" si="42"/>
        <v>356957.40275215148</v>
      </c>
      <c r="BH127" s="215">
        <v>78</v>
      </c>
      <c r="BI127" s="219">
        <f t="shared" si="43"/>
        <v>1.12E-2</v>
      </c>
      <c r="BJ127" s="218">
        <f t="shared" si="41"/>
        <v>3997.9229108240966</v>
      </c>
      <c r="BK127" s="217">
        <f t="shared" si="44"/>
        <v>1000</v>
      </c>
    </row>
    <row r="128" spans="8:63" s="215" customFormat="1">
      <c r="H128" s="211"/>
      <c r="I128" s="211"/>
      <c r="J128" s="211"/>
      <c r="K128" s="211"/>
      <c r="L128" s="211"/>
      <c r="M128" s="211"/>
      <c r="BF128" s="215">
        <v>79</v>
      </c>
      <c r="BG128" s="218">
        <f t="shared" si="42"/>
        <v>361955.32566297555</v>
      </c>
      <c r="BH128" s="215">
        <v>79</v>
      </c>
      <c r="BI128" s="219">
        <f t="shared" si="43"/>
        <v>1.12E-2</v>
      </c>
      <c r="BJ128" s="218">
        <f t="shared" si="41"/>
        <v>4053.8996474253263</v>
      </c>
      <c r="BK128" s="217">
        <f t="shared" si="44"/>
        <v>1000</v>
      </c>
    </row>
    <row r="129" spans="8:63" s="215" customFormat="1">
      <c r="H129" s="211"/>
      <c r="I129" s="211"/>
      <c r="J129" s="211"/>
      <c r="K129" s="211"/>
      <c r="L129" s="211"/>
      <c r="M129" s="211"/>
      <c r="BF129" s="215">
        <v>80</v>
      </c>
      <c r="BG129" s="218">
        <f t="shared" si="42"/>
        <v>367009.22531040089</v>
      </c>
      <c r="BH129" s="215">
        <v>80</v>
      </c>
      <c r="BI129" s="219">
        <f t="shared" si="43"/>
        <v>1.12E-2</v>
      </c>
      <c r="BJ129" s="218">
        <f t="shared" si="41"/>
        <v>4110.5033234764896</v>
      </c>
      <c r="BK129" s="217">
        <f t="shared" si="44"/>
        <v>1000</v>
      </c>
    </row>
    <row r="130" spans="8:63" s="215" customFormat="1">
      <c r="H130" s="211"/>
      <c r="I130" s="211"/>
      <c r="J130" s="211"/>
      <c r="K130" s="211"/>
      <c r="L130" s="211"/>
      <c r="M130" s="211"/>
      <c r="BF130" s="215">
        <v>81</v>
      </c>
      <c r="BG130" s="218">
        <f t="shared" si="42"/>
        <v>372119.72863387736</v>
      </c>
      <c r="BH130" s="215">
        <v>81</v>
      </c>
      <c r="BI130" s="219">
        <f t="shared" si="43"/>
        <v>1.12E-2</v>
      </c>
      <c r="BJ130" s="218">
        <f t="shared" si="41"/>
        <v>4167.7409606994261</v>
      </c>
      <c r="BK130" s="217">
        <f t="shared" si="44"/>
        <v>1000</v>
      </c>
    </row>
    <row r="131" spans="8:63" s="215" customFormat="1">
      <c r="H131" s="211"/>
      <c r="I131" s="211"/>
      <c r="J131" s="211"/>
      <c r="K131" s="211"/>
      <c r="L131" s="211"/>
      <c r="M131" s="211"/>
      <c r="BF131" s="215">
        <v>82</v>
      </c>
      <c r="BG131" s="218">
        <f t="shared" si="42"/>
        <v>377287.4695945768</v>
      </c>
      <c r="BH131" s="215">
        <v>82</v>
      </c>
      <c r="BI131" s="219">
        <f t="shared" si="43"/>
        <v>1.12E-2</v>
      </c>
      <c r="BJ131" s="218">
        <f t="shared" si="41"/>
        <v>4225.6196594592602</v>
      </c>
      <c r="BK131" s="217">
        <f t="shared" si="44"/>
        <v>1000</v>
      </c>
    </row>
    <row r="132" spans="8:63" s="215" customFormat="1">
      <c r="H132" s="211"/>
      <c r="I132" s="211"/>
      <c r="J132" s="211"/>
      <c r="K132" s="211"/>
      <c r="L132" s="211"/>
      <c r="M132" s="211"/>
      <c r="BF132" s="215">
        <v>83</v>
      </c>
      <c r="BG132" s="218">
        <f t="shared" si="42"/>
        <v>382513.08925403608</v>
      </c>
      <c r="BH132" s="215">
        <v>83</v>
      </c>
      <c r="BI132" s="219">
        <f t="shared" si="43"/>
        <v>1.12E-2</v>
      </c>
      <c r="BJ132" s="218">
        <f t="shared" si="41"/>
        <v>4284.1465996452043</v>
      </c>
      <c r="BK132" s="217">
        <f t="shared" si="44"/>
        <v>1000</v>
      </c>
    </row>
    <row r="133" spans="8:63" s="215" customFormat="1">
      <c r="H133" s="211"/>
      <c r="I133" s="211"/>
      <c r="J133" s="211"/>
      <c r="K133" s="211"/>
      <c r="L133" s="211"/>
      <c r="M133" s="211"/>
      <c r="BF133" s="215">
        <v>84</v>
      </c>
      <c r="BG133" s="218">
        <f t="shared" si="42"/>
        <v>387797.23585368128</v>
      </c>
      <c r="BH133" s="215">
        <v>84</v>
      </c>
      <c r="BI133" s="219">
        <f t="shared" si="43"/>
        <v>1.12E-2</v>
      </c>
      <c r="BJ133" s="218">
        <f t="shared" si="41"/>
        <v>4343.32904156123</v>
      </c>
      <c r="BK133" s="217">
        <f t="shared" si="44"/>
        <v>1000</v>
      </c>
    </row>
    <row r="134" spans="8:63" s="215" customFormat="1">
      <c r="H134" s="211"/>
      <c r="I134" s="211"/>
      <c r="J134" s="211"/>
      <c r="K134" s="211"/>
      <c r="L134" s="211"/>
      <c r="M134" s="211"/>
      <c r="BF134" s="215">
        <v>85</v>
      </c>
      <c r="BG134" s="218">
        <f t="shared" si="42"/>
        <v>393140.56489524251</v>
      </c>
      <c r="BH134" s="215">
        <v>85</v>
      </c>
      <c r="BI134" s="219">
        <f t="shared" si="43"/>
        <v>1.12E-2</v>
      </c>
      <c r="BJ134" s="218">
        <f t="shared" si="41"/>
        <v>4403.1743268267164</v>
      </c>
      <c r="BK134" s="217">
        <f t="shared" si="44"/>
        <v>1000</v>
      </c>
    </row>
    <row r="135" spans="8:63" s="215" customFormat="1">
      <c r="H135" s="211"/>
      <c r="I135" s="211"/>
      <c r="J135" s="211"/>
      <c r="K135" s="211"/>
      <c r="L135" s="211"/>
      <c r="M135" s="211"/>
      <c r="BF135" s="215">
        <v>86</v>
      </c>
      <c r="BG135" s="218">
        <f t="shared" si="42"/>
        <v>398543.73922206921</v>
      </c>
      <c r="BH135" s="215">
        <v>86</v>
      </c>
      <c r="BI135" s="219">
        <f t="shared" si="43"/>
        <v>1.12E-2</v>
      </c>
      <c r="BJ135" s="218">
        <f t="shared" si="41"/>
        <v>4463.6898792871752</v>
      </c>
      <c r="BK135" s="217">
        <f t="shared" si="44"/>
        <v>1000</v>
      </c>
    </row>
    <row r="136" spans="8:63" s="215" customFormat="1">
      <c r="H136" s="211"/>
      <c r="I136" s="211"/>
      <c r="J136" s="211"/>
      <c r="K136" s="211"/>
      <c r="L136" s="211"/>
      <c r="M136" s="211"/>
      <c r="BF136" s="215">
        <v>87</v>
      </c>
      <c r="BG136" s="218">
        <f t="shared" si="42"/>
        <v>404007.42910135636</v>
      </c>
      <c r="BH136" s="215">
        <v>87</v>
      </c>
      <c r="BI136" s="219">
        <f t="shared" si="43"/>
        <v>1.12E-2</v>
      </c>
      <c r="BJ136" s="218">
        <f t="shared" si="41"/>
        <v>4524.8832059351917</v>
      </c>
      <c r="BK136" s="217">
        <f t="shared" si="44"/>
        <v>1000</v>
      </c>
    </row>
    <row r="137" spans="8:63" s="215" customFormat="1">
      <c r="H137" s="211"/>
      <c r="I137" s="211"/>
      <c r="J137" s="211"/>
      <c r="K137" s="211"/>
      <c r="L137" s="211"/>
      <c r="M137" s="211"/>
      <c r="BF137" s="215">
        <v>88</v>
      </c>
      <c r="BG137" s="218">
        <f t="shared" si="42"/>
        <v>409532.31230729155</v>
      </c>
      <c r="BH137" s="215">
        <v>88</v>
      </c>
      <c r="BI137" s="219">
        <f t="shared" si="43"/>
        <v>1.12E-2</v>
      </c>
      <c r="BJ137" s="218">
        <f t="shared" si="41"/>
        <v>4586.7618978416649</v>
      </c>
      <c r="BK137" s="217">
        <f t="shared" si="44"/>
        <v>1000</v>
      </c>
    </row>
    <row r="138" spans="8:63" s="215" customFormat="1">
      <c r="H138" s="211"/>
      <c r="I138" s="211"/>
      <c r="J138" s="211"/>
      <c r="K138" s="211"/>
      <c r="L138" s="211"/>
      <c r="M138" s="211"/>
      <c r="BF138" s="215">
        <v>89</v>
      </c>
      <c r="BG138" s="218">
        <f t="shared" si="42"/>
        <v>415119.07420513319</v>
      </c>
      <c r="BH138" s="215">
        <v>89</v>
      </c>
      <c r="BI138" s="219">
        <f t="shared" si="43"/>
        <v>1.12E-2</v>
      </c>
      <c r="BJ138" s="218">
        <f t="shared" si="41"/>
        <v>4649.3336310974919</v>
      </c>
      <c r="BK138" s="217">
        <f t="shared" si="44"/>
        <v>1000</v>
      </c>
    </row>
    <row r="139" spans="8:63" s="215" customFormat="1">
      <c r="H139" s="211"/>
      <c r="I139" s="211"/>
      <c r="J139" s="211"/>
      <c r="K139" s="211"/>
      <c r="L139" s="211"/>
      <c r="M139" s="211"/>
      <c r="BF139" s="215">
        <v>90</v>
      </c>
      <c r="BG139" s="218">
        <f t="shared" si="42"/>
        <v>420768.4078362307</v>
      </c>
      <c r="BH139" s="215">
        <v>90</v>
      </c>
      <c r="BI139" s="219">
        <f t="shared" si="43"/>
        <v>1.12E-2</v>
      </c>
      <c r="BJ139" s="218">
        <f t="shared" si="41"/>
        <v>4712.6061677657835</v>
      </c>
      <c r="BK139" s="217">
        <f t="shared" si="44"/>
        <v>1000</v>
      </c>
    </row>
    <row r="140" spans="8:63" s="215" customFormat="1">
      <c r="H140" s="211"/>
      <c r="I140" s="211"/>
      <c r="J140" s="211"/>
      <c r="K140" s="211"/>
      <c r="L140" s="211"/>
      <c r="M140" s="211"/>
      <c r="BF140" s="215">
        <v>91</v>
      </c>
      <c r="BG140" s="218">
        <f t="shared" si="42"/>
        <v>426481.0140039965</v>
      </c>
      <c r="BH140" s="215">
        <v>91</v>
      </c>
      <c r="BI140" s="219">
        <f t="shared" si="43"/>
        <v>1.12E-2</v>
      </c>
      <c r="BJ140" s="218">
        <f t="shared" si="41"/>
        <v>4776.5873568447605</v>
      </c>
      <c r="BK140" s="217">
        <f t="shared" si="44"/>
        <v>1000</v>
      </c>
    </row>
    <row r="141" spans="8:63" s="215" customFormat="1">
      <c r="H141" s="211"/>
      <c r="I141" s="211"/>
      <c r="J141" s="211"/>
      <c r="K141" s="211"/>
      <c r="L141" s="211"/>
      <c r="M141" s="211"/>
      <c r="BF141" s="215">
        <v>92</v>
      </c>
      <c r="BG141" s="218">
        <f t="shared" si="42"/>
        <v>432257.60136084125</v>
      </c>
      <c r="BH141" s="215">
        <v>92</v>
      </c>
      <c r="BI141" s="219">
        <f t="shared" si="43"/>
        <v>1.12E-2</v>
      </c>
      <c r="BJ141" s="218">
        <f t="shared" si="41"/>
        <v>4841.2851352414218</v>
      </c>
      <c r="BK141" s="217">
        <f t="shared" si="44"/>
        <v>1000</v>
      </c>
    </row>
    <row r="142" spans="8:63" s="215" customFormat="1">
      <c r="H142" s="211"/>
      <c r="I142" s="211"/>
      <c r="J142" s="211"/>
      <c r="K142" s="211"/>
      <c r="L142" s="211"/>
      <c r="M142" s="211"/>
      <c r="BF142" s="215">
        <v>93</v>
      </c>
      <c r="BG142" s="218">
        <f t="shared" si="42"/>
        <v>438098.88649608265</v>
      </c>
      <c r="BH142" s="215">
        <v>93</v>
      </c>
      <c r="BI142" s="219">
        <f t="shared" si="43"/>
        <v>1.12E-2</v>
      </c>
      <c r="BJ142" s="218">
        <f t="shared" si="41"/>
        <v>4906.7075287561256</v>
      </c>
      <c r="BK142" s="217">
        <f t="shared" si="44"/>
        <v>1000</v>
      </c>
    </row>
    <row r="143" spans="8:63" s="215" customFormat="1">
      <c r="H143" s="211"/>
      <c r="I143" s="211"/>
      <c r="J143" s="211"/>
      <c r="K143" s="211"/>
      <c r="L143" s="211"/>
      <c r="M143" s="211"/>
      <c r="BF143" s="215">
        <v>94</v>
      </c>
      <c r="BG143" s="218">
        <f t="shared" si="42"/>
        <v>444005.59402483876</v>
      </c>
      <c r="BH143" s="215">
        <v>94</v>
      </c>
      <c r="BI143" s="219">
        <f t="shared" si="43"/>
        <v>1.12E-2</v>
      </c>
      <c r="BJ143" s="218">
        <f t="shared" si="41"/>
        <v>4972.8626530781939</v>
      </c>
      <c r="BK143" s="217">
        <f t="shared" si="44"/>
        <v>1000</v>
      </c>
    </row>
    <row r="144" spans="8:63" s="215" customFormat="1">
      <c r="H144" s="211"/>
      <c r="I144" s="211"/>
      <c r="J144" s="211"/>
      <c r="K144" s="211"/>
      <c r="L144" s="211"/>
      <c r="M144" s="211"/>
      <c r="BF144" s="215">
        <v>95</v>
      </c>
      <c r="BG144" s="218">
        <f t="shared" si="42"/>
        <v>449978.45667791698</v>
      </c>
      <c r="BH144" s="215">
        <v>95</v>
      </c>
      <c r="BI144" s="219">
        <f t="shared" si="43"/>
        <v>1.12E-2</v>
      </c>
      <c r="BJ144" s="218">
        <f t="shared" si="41"/>
        <v>5039.7587147926706</v>
      </c>
      <c r="BK144" s="217">
        <f t="shared" si="44"/>
        <v>1000</v>
      </c>
    </row>
    <row r="145" spans="8:63" s="215" customFormat="1">
      <c r="H145" s="211"/>
      <c r="I145" s="211"/>
      <c r="J145" s="211"/>
      <c r="K145" s="211"/>
      <c r="L145" s="211"/>
      <c r="M145" s="211"/>
      <c r="BF145" s="215">
        <v>96</v>
      </c>
      <c r="BG145" s="218">
        <f t="shared" si="42"/>
        <v>456018.21539270965</v>
      </c>
      <c r="BH145" s="215">
        <v>96</v>
      </c>
      <c r="BI145" s="219">
        <f t="shared" si="43"/>
        <v>1.12E-2</v>
      </c>
      <c r="BJ145" s="218">
        <f t="shared" si="41"/>
        <v>5107.4040123983477</v>
      </c>
      <c r="BK145" s="217">
        <f t="shared" si="44"/>
        <v>1000</v>
      </c>
    </row>
    <row r="146" spans="8:63" s="215" customFormat="1">
      <c r="H146" s="211"/>
      <c r="I146" s="211"/>
      <c r="J146" s="211"/>
      <c r="K146" s="211"/>
      <c r="L146" s="211"/>
      <c r="M146" s="211"/>
      <c r="BF146" s="215">
        <v>97</v>
      </c>
      <c r="BG146" s="218">
        <f t="shared" si="42"/>
        <v>462125.61940510798</v>
      </c>
      <c r="BH146" s="215">
        <v>97</v>
      </c>
      <c r="BI146" s="219">
        <f t="shared" si="43"/>
        <v>1.12E-2</v>
      </c>
      <c r="BJ146" s="218">
        <f t="shared" si="41"/>
        <v>5175.8069373372091</v>
      </c>
      <c r="BK146" s="217">
        <f t="shared" si="44"/>
        <v>1000</v>
      </c>
    </row>
    <row r="147" spans="8:63" s="215" customFormat="1">
      <c r="H147" s="211"/>
      <c r="I147" s="211"/>
      <c r="J147" s="211"/>
      <c r="K147" s="211"/>
      <c r="L147" s="211"/>
      <c r="M147" s="211"/>
      <c r="BF147" s="215">
        <v>98</v>
      </c>
      <c r="BG147" s="218">
        <f t="shared" si="42"/>
        <v>468301.42634244519</v>
      </c>
      <c r="BH147" s="215">
        <v>98</v>
      </c>
      <c r="BI147" s="219">
        <f t="shared" si="43"/>
        <v>1.12E-2</v>
      </c>
      <c r="BJ147" s="218">
        <f t="shared" si="41"/>
        <v>5244.975975035386</v>
      </c>
      <c r="BK147" s="217">
        <f t="shared" si="44"/>
        <v>1000</v>
      </c>
    </row>
    <row r="148" spans="8:63" s="215" customFormat="1">
      <c r="H148" s="211"/>
      <c r="I148" s="211"/>
      <c r="J148" s="211"/>
      <c r="K148" s="211"/>
      <c r="L148" s="211"/>
      <c r="M148" s="211"/>
      <c r="BF148" s="215">
        <v>99</v>
      </c>
      <c r="BG148" s="218">
        <f t="shared" si="42"/>
        <v>474546.40231748059</v>
      </c>
      <c r="BH148" s="215">
        <v>99</v>
      </c>
      <c r="BI148" s="219">
        <f t="shared" si="43"/>
        <v>1.12E-2</v>
      </c>
      <c r="BJ148" s="218">
        <f t="shared" si="41"/>
        <v>5314.9197059557828</v>
      </c>
      <c r="BK148" s="217">
        <f t="shared" si="44"/>
        <v>1000</v>
      </c>
    </row>
    <row r="149" spans="8:63" s="215" customFormat="1">
      <c r="H149" s="211"/>
      <c r="I149" s="211"/>
      <c r="J149" s="211"/>
      <c r="K149" s="211"/>
      <c r="L149" s="211"/>
      <c r="M149" s="211"/>
      <c r="BF149" s="215">
        <v>100</v>
      </c>
      <c r="BG149" s="218">
        <f t="shared" si="42"/>
        <v>480861.32202343637</v>
      </c>
      <c r="BH149" s="215">
        <v>100</v>
      </c>
      <c r="BI149" s="219">
        <f t="shared" si="43"/>
        <v>1.12E-2</v>
      </c>
      <c r="BJ149" s="218">
        <f t="shared" si="41"/>
        <v>5385.6468066624875</v>
      </c>
      <c r="BK149" s="217">
        <f t="shared" si="44"/>
        <v>1000</v>
      </c>
    </row>
    <row r="150" spans="8:63" s="215" customFormat="1">
      <c r="H150" s="211"/>
      <c r="I150" s="211"/>
      <c r="J150" s="211"/>
      <c r="K150" s="211"/>
      <c r="L150" s="211"/>
      <c r="M150" s="211"/>
      <c r="BF150" s="215">
        <v>101</v>
      </c>
      <c r="BG150" s="218">
        <f t="shared" si="42"/>
        <v>487246.96883009886</v>
      </c>
      <c r="BH150" s="215">
        <v>101</v>
      </c>
      <c r="BI150" s="219">
        <f t="shared" si="43"/>
        <v>1.12E-2</v>
      </c>
      <c r="BJ150" s="218">
        <f t="shared" si="41"/>
        <v>5457.1660508971072</v>
      </c>
      <c r="BK150" s="217">
        <f t="shared" si="44"/>
        <v>1000</v>
      </c>
    </row>
    <row r="151" spans="8:63" s="215" customFormat="1">
      <c r="H151" s="211"/>
      <c r="I151" s="211"/>
      <c r="J151" s="211"/>
      <c r="K151" s="211"/>
      <c r="L151" s="211"/>
      <c r="M151" s="211"/>
      <c r="BF151" s="215">
        <v>102</v>
      </c>
      <c r="BG151" s="218">
        <f t="shared" si="42"/>
        <v>493704.13488099596</v>
      </c>
      <c r="BH151" s="215">
        <v>102</v>
      </c>
      <c r="BI151" s="219">
        <f t="shared" si="43"/>
        <v>1.12E-2</v>
      </c>
      <c r="BJ151" s="218">
        <f t="shared" si="41"/>
        <v>5529.4863106671546</v>
      </c>
      <c r="BK151" s="217">
        <f t="shared" si="44"/>
        <v>1000</v>
      </c>
    </row>
    <row r="152" spans="8:63" s="215" customFormat="1">
      <c r="H152" s="211"/>
      <c r="I152" s="211"/>
      <c r="J152" s="211"/>
      <c r="K152" s="211"/>
      <c r="L152" s="211"/>
      <c r="M152" s="211"/>
      <c r="BF152" s="215">
        <v>103</v>
      </c>
      <c r="BG152" s="218">
        <f t="shared" si="42"/>
        <v>500233.62119166309</v>
      </c>
      <c r="BH152" s="215">
        <v>103</v>
      </c>
      <c r="BI152" s="219">
        <f t="shared" si="43"/>
        <v>1.12E-2</v>
      </c>
      <c r="BJ152" s="218">
        <f t="shared" si="41"/>
        <v>5602.6165573466269</v>
      </c>
      <c r="BK152" s="217">
        <f t="shared" si="44"/>
        <v>1000</v>
      </c>
    </row>
    <row r="153" spans="8:63" s="215" customFormat="1">
      <c r="H153" s="211"/>
      <c r="I153" s="211"/>
      <c r="J153" s="211"/>
      <c r="K153" s="211"/>
      <c r="L153" s="211"/>
      <c r="M153" s="211"/>
      <c r="BF153" s="215">
        <v>104</v>
      </c>
      <c r="BG153" s="218">
        <f t="shared" si="42"/>
        <v>506836.23774900968</v>
      </c>
      <c r="BH153" s="215">
        <v>104</v>
      </c>
      <c r="BI153" s="219">
        <f t="shared" si="43"/>
        <v>1.12E-2</v>
      </c>
      <c r="BJ153" s="218">
        <f t="shared" si="41"/>
        <v>5676.5658627889088</v>
      </c>
      <c r="BK153" s="217">
        <f t="shared" si="44"/>
        <v>1000</v>
      </c>
    </row>
    <row r="154" spans="8:63" s="215" customFormat="1">
      <c r="H154" s="211"/>
      <c r="I154" s="211"/>
      <c r="J154" s="211"/>
      <c r="K154" s="211"/>
      <c r="L154" s="211"/>
      <c r="M154" s="211"/>
      <c r="BF154" s="215">
        <v>105</v>
      </c>
      <c r="BG154" s="218">
        <f t="shared" si="42"/>
        <v>513512.80361179862</v>
      </c>
      <c r="BH154" s="215">
        <v>105</v>
      </c>
      <c r="BI154" s="219">
        <f t="shared" si="43"/>
        <v>1.12E-2</v>
      </c>
      <c r="BJ154" s="218">
        <f t="shared" si="41"/>
        <v>5751.3434004521441</v>
      </c>
      <c r="BK154" s="217">
        <f t="shared" si="44"/>
        <v>1000</v>
      </c>
    </row>
    <row r="155" spans="8:63" s="215" customFormat="1">
      <c r="H155" s="211"/>
      <c r="I155" s="211"/>
      <c r="J155" s="211"/>
      <c r="K155" s="211"/>
      <c r="L155" s="211"/>
      <c r="M155" s="211"/>
      <c r="BF155" s="215">
        <v>106</v>
      </c>
      <c r="BG155" s="218">
        <f t="shared" si="42"/>
        <v>520264.14701225079</v>
      </c>
      <c r="BH155" s="215">
        <v>106</v>
      </c>
      <c r="BI155" s="219">
        <f t="shared" si="43"/>
        <v>1.12E-2</v>
      </c>
      <c r="BJ155" s="218">
        <f t="shared" si="41"/>
        <v>5826.9584465372091</v>
      </c>
      <c r="BK155" s="217">
        <f t="shared" si="44"/>
        <v>1000</v>
      </c>
    </row>
    <row r="156" spans="8:63" s="215" customFormat="1">
      <c r="H156" s="211"/>
      <c r="I156" s="211"/>
      <c r="J156" s="211"/>
      <c r="K156" s="211"/>
      <c r="L156" s="211"/>
      <c r="M156" s="211"/>
      <c r="BF156" s="215">
        <v>107</v>
      </c>
      <c r="BG156" s="218">
        <f t="shared" si="42"/>
        <v>527091.10545878799</v>
      </c>
      <c r="BH156" s="215">
        <v>107</v>
      </c>
      <c r="BI156" s="219">
        <f t="shared" si="43"/>
        <v>1.12E-2</v>
      </c>
      <c r="BJ156" s="218">
        <f t="shared" si="41"/>
        <v>5903.420381138425</v>
      </c>
      <c r="BK156" s="217">
        <f t="shared" si="44"/>
        <v>1000</v>
      </c>
    </row>
    <row r="157" spans="8:63" s="215" customFormat="1">
      <c r="H157" s="211"/>
      <c r="I157" s="211"/>
      <c r="J157" s="211"/>
      <c r="K157" s="211"/>
      <c r="L157" s="211"/>
      <c r="M157" s="211"/>
      <c r="BF157" s="215">
        <v>108</v>
      </c>
      <c r="BG157" s="218">
        <f t="shared" si="42"/>
        <v>533994.52583992644</v>
      </c>
      <c r="BH157" s="215">
        <v>108</v>
      </c>
      <c r="BI157" s="219">
        <f t="shared" si="43"/>
        <v>1.12E-2</v>
      </c>
      <c r="BJ157" s="218">
        <f t="shared" si="41"/>
        <v>5980.738689407176</v>
      </c>
      <c r="BK157" s="217">
        <f t="shared" si="44"/>
        <v>1000</v>
      </c>
    </row>
    <row r="158" spans="8:63" s="215" customFormat="1">
      <c r="H158" s="211"/>
      <c r="I158" s="211"/>
      <c r="J158" s="211"/>
      <c r="K158" s="211"/>
      <c r="L158" s="211"/>
      <c r="M158" s="211"/>
      <c r="BF158" s="215">
        <v>109</v>
      </c>
      <c r="BG158" s="218">
        <f t="shared" si="42"/>
        <v>540975.26452933357</v>
      </c>
      <c r="BH158" s="215">
        <v>109</v>
      </c>
      <c r="BI158" s="219">
        <f t="shared" si="43"/>
        <v>1.12E-2</v>
      </c>
      <c r="BJ158" s="218">
        <f t="shared" si="41"/>
        <v>6058.9229627285358</v>
      </c>
      <c r="BK158" s="217">
        <f t="shared" si="44"/>
        <v>1000</v>
      </c>
    </row>
    <row r="159" spans="8:63" s="215" customFormat="1">
      <c r="H159" s="211"/>
      <c r="I159" s="211"/>
      <c r="J159" s="211"/>
      <c r="K159" s="211"/>
      <c r="L159" s="211"/>
      <c r="M159" s="211"/>
      <c r="BF159" s="215">
        <v>110</v>
      </c>
      <c r="BG159" s="218">
        <f t="shared" si="42"/>
        <v>548034.1874920621</v>
      </c>
      <c r="BH159" s="215">
        <v>110</v>
      </c>
      <c r="BI159" s="219">
        <f t="shared" si="43"/>
        <v>1.12E-2</v>
      </c>
      <c r="BJ159" s="218">
        <f t="shared" si="41"/>
        <v>6137.982899911096</v>
      </c>
      <c r="BK159" s="217">
        <f t="shared" si="44"/>
        <v>1000</v>
      </c>
    </row>
    <row r="160" spans="8:63" s="215" customFormat="1">
      <c r="H160" s="211"/>
      <c r="I160" s="211"/>
      <c r="J160" s="211"/>
      <c r="K160" s="211"/>
      <c r="L160" s="211"/>
      <c r="M160" s="211"/>
      <c r="BF160" s="215">
        <v>111</v>
      </c>
      <c r="BG160" s="218">
        <f t="shared" si="42"/>
        <v>555172.17039197322</v>
      </c>
      <c r="BH160" s="215">
        <v>111</v>
      </c>
      <c r="BI160" s="219">
        <f t="shared" si="43"/>
        <v>1.12E-2</v>
      </c>
      <c r="BJ160" s="218">
        <f t="shared" si="41"/>
        <v>6217.9283083901</v>
      </c>
      <c r="BK160" s="217">
        <f t="shared" si="44"/>
        <v>1000</v>
      </c>
    </row>
    <row r="161" spans="8:63" s="215" customFormat="1">
      <c r="H161" s="211"/>
      <c r="I161" s="211"/>
      <c r="J161" s="211"/>
      <c r="K161" s="211"/>
      <c r="L161" s="211"/>
      <c r="M161" s="211"/>
      <c r="BF161" s="215">
        <v>112</v>
      </c>
      <c r="BG161" s="218">
        <f t="shared" si="42"/>
        <v>562390.09870036331</v>
      </c>
      <c r="BH161" s="215">
        <v>112</v>
      </c>
      <c r="BI161" s="219">
        <f t="shared" si="43"/>
        <v>1.12E-2</v>
      </c>
      <c r="BJ161" s="218">
        <f t="shared" si="41"/>
        <v>6298.7691054440693</v>
      </c>
      <c r="BK161" s="217">
        <f t="shared" si="44"/>
        <v>1000</v>
      </c>
    </row>
    <row r="162" spans="8:63" s="215" customFormat="1">
      <c r="H162" s="211"/>
      <c r="I162" s="211"/>
      <c r="J162" s="211"/>
      <c r="K162" s="211"/>
      <c r="L162" s="211"/>
      <c r="M162" s="211"/>
      <c r="BF162" s="215">
        <v>113</v>
      </c>
      <c r="BG162" s="218">
        <f t="shared" si="42"/>
        <v>569688.86780580739</v>
      </c>
      <c r="BH162" s="215">
        <v>113</v>
      </c>
      <c r="BI162" s="219">
        <f t="shared" si="43"/>
        <v>1.12E-2</v>
      </c>
      <c r="BJ162" s="218">
        <f t="shared" si="41"/>
        <v>6380.5153194250424</v>
      </c>
      <c r="BK162" s="217">
        <f t="shared" si="44"/>
        <v>1000</v>
      </c>
    </row>
    <row r="163" spans="8:63" s="215" customFormat="1">
      <c r="H163" s="211"/>
      <c r="I163" s="211"/>
      <c r="J163" s="211"/>
      <c r="K163" s="211"/>
      <c r="L163" s="211"/>
      <c r="M163" s="211"/>
      <c r="BF163" s="215">
        <v>114</v>
      </c>
      <c r="BG163" s="218">
        <f t="shared" si="42"/>
        <v>577069.38312523242</v>
      </c>
      <c r="BH163" s="215">
        <v>114</v>
      </c>
      <c r="BI163" s="219">
        <f t="shared" si="43"/>
        <v>1.12E-2</v>
      </c>
      <c r="BJ163" s="218">
        <f t="shared" si="41"/>
        <v>6463.1770910026034</v>
      </c>
      <c r="BK163" s="217">
        <f t="shared" si="44"/>
        <v>1000</v>
      </c>
    </row>
    <row r="164" spans="8:63" s="215" customFormat="1">
      <c r="H164" s="211"/>
      <c r="I164" s="211"/>
      <c r="J164" s="211"/>
      <c r="K164" s="211"/>
      <c r="L164" s="211"/>
      <c r="M164" s="211"/>
      <c r="BF164" s="215">
        <v>115</v>
      </c>
      <c r="BG164" s="218">
        <f t="shared" si="42"/>
        <v>584532.560216235</v>
      </c>
      <c r="BH164" s="215">
        <v>115</v>
      </c>
      <c r="BI164" s="219">
        <f t="shared" si="43"/>
        <v>1.12E-2</v>
      </c>
      <c r="BJ164" s="218">
        <f t="shared" si="41"/>
        <v>6546.7646744218318</v>
      </c>
      <c r="BK164" s="217">
        <f t="shared" si="44"/>
        <v>1000</v>
      </c>
    </row>
    <row r="165" spans="8:63" s="215" customFormat="1">
      <c r="H165" s="211"/>
      <c r="I165" s="211"/>
      <c r="J165" s="211"/>
      <c r="K165" s="211"/>
      <c r="L165" s="211"/>
      <c r="M165" s="211"/>
      <c r="BF165" s="215">
        <v>116</v>
      </c>
      <c r="BG165" s="218">
        <f t="shared" si="42"/>
        <v>592079.32489065686</v>
      </c>
      <c r="BH165" s="215">
        <v>116</v>
      </c>
      <c r="BI165" s="219">
        <f t="shared" si="43"/>
        <v>1.12E-2</v>
      </c>
      <c r="BJ165" s="218">
        <f t="shared" si="41"/>
        <v>6631.2884387753566</v>
      </c>
      <c r="BK165" s="217">
        <f t="shared" si="44"/>
        <v>1000</v>
      </c>
    </row>
    <row r="166" spans="8:63" s="215" customFormat="1">
      <c r="H166" s="211"/>
      <c r="I166" s="211"/>
      <c r="J166" s="211"/>
      <c r="K166" s="211"/>
      <c r="L166" s="211"/>
      <c r="M166" s="211"/>
      <c r="BF166" s="215">
        <v>117</v>
      </c>
      <c r="BG166" s="218">
        <f t="shared" si="42"/>
        <v>599710.61332943221</v>
      </c>
      <c r="BH166" s="215">
        <v>117</v>
      </c>
      <c r="BI166" s="219">
        <f t="shared" si="43"/>
        <v>1.12E-2</v>
      </c>
      <c r="BJ166" s="218">
        <f t="shared" si="41"/>
        <v>6716.7588692896406</v>
      </c>
      <c r="BK166" s="217">
        <f t="shared" si="44"/>
        <v>1000</v>
      </c>
    </row>
    <row r="167" spans="8:63" s="215" customFormat="1">
      <c r="H167" s="211"/>
      <c r="I167" s="211"/>
      <c r="J167" s="211"/>
      <c r="K167" s="211"/>
      <c r="L167" s="211"/>
      <c r="M167" s="211"/>
      <c r="BF167" s="215">
        <v>118</v>
      </c>
      <c r="BG167" s="218">
        <f t="shared" si="42"/>
        <v>607427.37219872186</v>
      </c>
      <c r="BH167" s="215">
        <v>118</v>
      </c>
      <c r="BI167" s="219">
        <f t="shared" si="43"/>
        <v>1.12E-2</v>
      </c>
      <c r="BJ167" s="218">
        <f t="shared" si="41"/>
        <v>6803.1865686256851</v>
      </c>
      <c r="BK167" s="217">
        <f t="shared" si="44"/>
        <v>1000</v>
      </c>
    </row>
    <row r="168" spans="8:63" s="215" customFormat="1">
      <c r="H168" s="211"/>
      <c r="I168" s="211"/>
      <c r="J168" s="211"/>
      <c r="K168" s="211"/>
      <c r="L168" s="211"/>
      <c r="M168" s="211"/>
      <c r="BF168" s="215">
        <v>119</v>
      </c>
      <c r="BG168" s="218">
        <f t="shared" si="42"/>
        <v>615230.5587673476</v>
      </c>
      <c r="BH168" s="215">
        <v>119</v>
      </c>
      <c r="BI168" s="219">
        <f t="shared" si="43"/>
        <v>1.12E-2</v>
      </c>
      <c r="BJ168" s="218">
        <f t="shared" si="41"/>
        <v>6890.582258194293</v>
      </c>
      <c r="BK168" s="217">
        <f t="shared" si="44"/>
        <v>1000</v>
      </c>
    </row>
    <row r="169" spans="8:63" s="215" customFormat="1">
      <c r="H169" s="211"/>
      <c r="I169" s="211"/>
      <c r="J169" s="211"/>
      <c r="K169" s="211"/>
      <c r="L169" s="211"/>
      <c r="M169" s="211"/>
      <c r="BF169" s="215">
        <v>120</v>
      </c>
      <c r="BG169" s="218">
        <f t="shared" si="42"/>
        <v>623121.14102554193</v>
      </c>
      <c r="BH169" s="215">
        <v>120</v>
      </c>
      <c r="BI169" s="219">
        <f t="shared" si="43"/>
        <v>1.12E-2</v>
      </c>
      <c r="BJ169" s="218">
        <f t="shared" si="41"/>
        <v>6978.9567794860695</v>
      </c>
      <c r="BK169" s="217">
        <f t="shared" si="44"/>
        <v>1000</v>
      </c>
    </row>
    <row r="170" spans="8:63" s="215" customFormat="1">
      <c r="H170" s="211"/>
      <c r="I170" s="211"/>
      <c r="J170" s="211"/>
      <c r="K170" s="211"/>
      <c r="L170" s="211"/>
      <c r="M170" s="211"/>
      <c r="BF170" s="215">
        <v>121</v>
      </c>
      <c r="BG170" s="218">
        <f t="shared" si="42"/>
        <v>631100.09780502797</v>
      </c>
      <c r="BH170" s="215">
        <v>121</v>
      </c>
      <c r="BI170" s="219">
        <f t="shared" si="43"/>
        <v>1.12E-2</v>
      </c>
      <c r="BJ170" s="218">
        <f t="shared" si="41"/>
        <v>7068.3210954163133</v>
      </c>
      <c r="BK170" s="217">
        <f t="shared" si="44"/>
        <v>1000</v>
      </c>
    </row>
    <row r="171" spans="8:63" s="215" customFormat="1">
      <c r="H171" s="211"/>
      <c r="I171" s="211"/>
      <c r="J171" s="211"/>
      <c r="K171" s="211"/>
      <c r="L171" s="211"/>
      <c r="M171" s="211"/>
      <c r="BF171" s="215">
        <v>122</v>
      </c>
      <c r="BG171" s="218">
        <f t="shared" si="42"/>
        <v>639168.41890044429</v>
      </c>
      <c r="BH171" s="215">
        <v>122</v>
      </c>
      <c r="BI171" s="219">
        <f t="shared" si="43"/>
        <v>1.12E-2</v>
      </c>
      <c r="BJ171" s="218">
        <f t="shared" si="41"/>
        <v>7158.6862916849759</v>
      </c>
      <c r="BK171" s="217">
        <f t="shared" si="44"/>
        <v>1000</v>
      </c>
    </row>
    <row r="172" spans="8:63" s="215" customFormat="1">
      <c r="H172" s="211"/>
      <c r="I172" s="211"/>
      <c r="J172" s="211"/>
      <c r="K172" s="211"/>
      <c r="L172" s="211"/>
      <c r="M172" s="211"/>
      <c r="BF172" s="215">
        <v>123</v>
      </c>
      <c r="BG172" s="218">
        <f t="shared" si="42"/>
        <v>647327.10519212927</v>
      </c>
      <c r="BH172" s="215">
        <v>123</v>
      </c>
      <c r="BI172" s="219">
        <f t="shared" si="43"/>
        <v>1.12E-2</v>
      </c>
      <c r="BJ172" s="218">
        <f t="shared" si="41"/>
        <v>7250.0635781518477</v>
      </c>
      <c r="BK172" s="217">
        <f t="shared" si="44"/>
        <v>1000</v>
      </c>
    </row>
    <row r="173" spans="8:63" s="215" customFormat="1">
      <c r="H173" s="211"/>
      <c r="I173" s="211"/>
      <c r="J173" s="211"/>
      <c r="K173" s="211"/>
      <c r="L173" s="211"/>
      <c r="M173" s="211"/>
      <c r="BF173" s="215">
        <v>124</v>
      </c>
      <c r="BG173" s="218">
        <f t="shared" si="42"/>
        <v>655577.16877028113</v>
      </c>
      <c r="BH173" s="215">
        <v>124</v>
      </c>
      <c r="BI173" s="219">
        <f t="shared" si="43"/>
        <v>1.12E-2</v>
      </c>
      <c r="BJ173" s="218">
        <f t="shared" si="41"/>
        <v>7342.4642902271489</v>
      </c>
      <c r="BK173" s="217">
        <f t="shared" si="44"/>
        <v>1000</v>
      </c>
    </row>
    <row r="174" spans="8:63" s="215" customFormat="1">
      <c r="H174" s="211"/>
      <c r="I174" s="211"/>
      <c r="J174" s="211"/>
      <c r="K174" s="211"/>
      <c r="L174" s="211"/>
      <c r="M174" s="211"/>
      <c r="BF174" s="215">
        <v>125</v>
      </c>
      <c r="BG174" s="218">
        <f t="shared" si="42"/>
        <v>663919.63306050829</v>
      </c>
      <c r="BH174" s="215">
        <v>125</v>
      </c>
      <c r="BI174" s="219">
        <f t="shared" si="43"/>
        <v>1.12E-2</v>
      </c>
      <c r="BJ174" s="218">
        <f t="shared" si="41"/>
        <v>7435.899890277693</v>
      </c>
      <c r="BK174" s="217">
        <f t="shared" si="44"/>
        <v>1000</v>
      </c>
    </row>
    <row r="175" spans="8:63" s="215" customFormat="1">
      <c r="H175" s="211"/>
      <c r="I175" s="211"/>
      <c r="J175" s="211"/>
      <c r="K175" s="211"/>
      <c r="L175" s="211"/>
      <c r="M175" s="211"/>
      <c r="BF175" s="215">
        <v>126</v>
      </c>
      <c r="BG175" s="218">
        <f t="shared" si="42"/>
        <v>672355.53295078594</v>
      </c>
      <c r="BH175" s="215">
        <v>126</v>
      </c>
      <c r="BI175" s="219">
        <f t="shared" si="43"/>
        <v>1.12E-2</v>
      </c>
      <c r="BJ175" s="218">
        <f t="shared" si="41"/>
        <v>7530.3819690488026</v>
      </c>
      <c r="BK175" s="217">
        <f t="shared" si="44"/>
        <v>1000</v>
      </c>
    </row>
    <row r="176" spans="8:63" s="215" customFormat="1">
      <c r="H176" s="211"/>
      <c r="I176" s="211"/>
      <c r="J176" s="211"/>
      <c r="K176" s="211"/>
      <c r="L176" s="211"/>
      <c r="M176" s="211"/>
      <c r="BF176" s="215">
        <v>127</v>
      </c>
      <c r="BG176" s="218">
        <f t="shared" si="42"/>
        <v>680885.9149198347</v>
      </c>
      <c r="BH176" s="215">
        <v>127</v>
      </c>
      <c r="BI176" s="219">
        <f t="shared" si="43"/>
        <v>1.12E-2</v>
      </c>
      <c r="BJ176" s="218">
        <f t="shared" si="41"/>
        <v>7625.9222471021485</v>
      </c>
      <c r="BK176" s="217">
        <f t="shared" si="44"/>
        <v>1000</v>
      </c>
    </row>
    <row r="177" spans="8:63" s="215" customFormat="1">
      <c r="H177" s="211"/>
      <c r="I177" s="211"/>
      <c r="J177" s="211"/>
      <c r="K177" s="211"/>
      <c r="L177" s="211"/>
      <c r="M177" s="211"/>
      <c r="BF177" s="215">
        <v>128</v>
      </c>
      <c r="BG177" s="218">
        <f t="shared" si="42"/>
        <v>689511.83716693684</v>
      </c>
      <c r="BH177" s="215">
        <v>128</v>
      </c>
      <c r="BI177" s="219">
        <f t="shared" si="43"/>
        <v>1.12E-2</v>
      </c>
      <c r="BJ177" s="218">
        <f t="shared" si="41"/>
        <v>7722.5325762696921</v>
      </c>
      <c r="BK177" s="217">
        <f t="shared" si="44"/>
        <v>1000</v>
      </c>
    </row>
    <row r="178" spans="8:63" s="215" customFormat="1">
      <c r="H178" s="211"/>
      <c r="I178" s="211"/>
      <c r="J178" s="211"/>
      <c r="K178" s="211"/>
      <c r="L178" s="211"/>
      <c r="M178" s="211"/>
      <c r="BF178" s="215">
        <v>129</v>
      </c>
      <c r="BG178" s="218">
        <f t="shared" si="42"/>
        <v>698234.36974320654</v>
      </c>
      <c r="BH178" s="215">
        <v>129</v>
      </c>
      <c r="BI178" s="219">
        <f t="shared" si="43"/>
        <v>1.12E-2</v>
      </c>
      <c r="BJ178" s="218">
        <f t="shared" ref="BJ178:BJ241" si="45">BG178*BI178</f>
        <v>7820.2249411239136</v>
      </c>
      <c r="BK178" s="217">
        <f t="shared" si="44"/>
        <v>1000</v>
      </c>
    </row>
    <row r="179" spans="8:63" s="215" customFormat="1">
      <c r="H179" s="211"/>
      <c r="I179" s="211"/>
      <c r="J179" s="211"/>
      <c r="K179" s="211"/>
      <c r="L179" s="211"/>
      <c r="M179" s="211"/>
      <c r="BF179" s="215">
        <v>130</v>
      </c>
      <c r="BG179" s="218">
        <f t="shared" ref="BG179:BG242" si="46">BG178+BJ178+BK179</f>
        <v>707054.5946843304</v>
      </c>
      <c r="BH179" s="215">
        <v>130</v>
      </c>
      <c r="BI179" s="219">
        <f t="shared" ref="BI179:BI242" si="47">BI178</f>
        <v>1.12E-2</v>
      </c>
      <c r="BJ179" s="218">
        <f t="shared" si="45"/>
        <v>7919.0114604645005</v>
      </c>
      <c r="BK179" s="217">
        <f t="shared" ref="BK179:BK242" si="48">BK178</f>
        <v>1000</v>
      </c>
    </row>
    <row r="180" spans="8:63" s="215" customFormat="1">
      <c r="H180" s="211"/>
      <c r="I180" s="211"/>
      <c r="J180" s="211"/>
      <c r="K180" s="211"/>
      <c r="L180" s="211"/>
      <c r="M180" s="211"/>
      <c r="BF180" s="215">
        <v>131</v>
      </c>
      <c r="BG180" s="218">
        <f t="shared" si="46"/>
        <v>715973.60614479485</v>
      </c>
      <c r="BH180" s="215">
        <v>131</v>
      </c>
      <c r="BI180" s="219">
        <f t="shared" si="47"/>
        <v>1.12E-2</v>
      </c>
      <c r="BJ180" s="218">
        <f t="shared" si="45"/>
        <v>8018.904388821702</v>
      </c>
      <c r="BK180" s="217">
        <f t="shared" si="48"/>
        <v>1000</v>
      </c>
    </row>
    <row r="181" spans="8:63" s="215" customFormat="1">
      <c r="H181" s="211"/>
      <c r="I181" s="211"/>
      <c r="J181" s="211"/>
      <c r="K181" s="211"/>
      <c r="L181" s="211"/>
      <c r="M181" s="211"/>
      <c r="BF181" s="215">
        <v>132</v>
      </c>
      <c r="BG181" s="218">
        <f t="shared" si="46"/>
        <v>724992.51053361653</v>
      </c>
      <c r="BH181" s="215">
        <v>132</v>
      </c>
      <c r="BI181" s="219">
        <f t="shared" si="47"/>
        <v>1.12E-2</v>
      </c>
      <c r="BJ181" s="218">
        <f t="shared" si="45"/>
        <v>8119.9161179765051</v>
      </c>
      <c r="BK181" s="217">
        <f t="shared" si="48"/>
        <v>1000</v>
      </c>
    </row>
    <row r="182" spans="8:63" s="215" customFormat="1">
      <c r="H182" s="211"/>
      <c r="I182" s="211"/>
      <c r="J182" s="211"/>
      <c r="K182" s="211"/>
      <c r="L182" s="211"/>
      <c r="M182" s="211"/>
      <c r="BF182" s="215">
        <v>133</v>
      </c>
      <c r="BG182" s="218">
        <f t="shared" si="46"/>
        <v>734112.42665159306</v>
      </c>
      <c r="BH182" s="215">
        <v>133</v>
      </c>
      <c r="BI182" s="219">
        <f t="shared" si="47"/>
        <v>1.12E-2</v>
      </c>
      <c r="BJ182" s="218">
        <f t="shared" si="45"/>
        <v>8222.0591784978424</v>
      </c>
      <c r="BK182" s="217">
        <f t="shared" si="48"/>
        <v>1000</v>
      </c>
    </row>
    <row r="183" spans="8:63" s="215" customFormat="1">
      <c r="H183" s="211"/>
      <c r="I183" s="211"/>
      <c r="J183" s="211"/>
      <c r="K183" s="211"/>
      <c r="L183" s="211"/>
      <c r="M183" s="211"/>
      <c r="BF183" s="215">
        <v>134</v>
      </c>
      <c r="BG183" s="218">
        <f t="shared" si="46"/>
        <v>743334.48583009094</v>
      </c>
      <c r="BH183" s="215">
        <v>134</v>
      </c>
      <c r="BI183" s="219">
        <f t="shared" si="47"/>
        <v>1.12E-2</v>
      </c>
      <c r="BJ183" s="218">
        <f t="shared" si="45"/>
        <v>8325.3462412970184</v>
      </c>
      <c r="BK183" s="217">
        <f t="shared" si="48"/>
        <v>1000</v>
      </c>
    </row>
    <row r="184" spans="8:63" s="215" customFormat="1">
      <c r="H184" s="211"/>
      <c r="I184" s="211"/>
      <c r="J184" s="211"/>
      <c r="K184" s="211"/>
      <c r="L184" s="211"/>
      <c r="M184" s="211"/>
      <c r="BF184" s="215">
        <v>135</v>
      </c>
      <c r="BG184" s="218">
        <f t="shared" si="46"/>
        <v>752659.83207138791</v>
      </c>
      <c r="BH184" s="215">
        <v>135</v>
      </c>
      <c r="BI184" s="219">
        <f t="shared" si="47"/>
        <v>1.12E-2</v>
      </c>
      <c r="BJ184" s="218">
        <f t="shared" si="45"/>
        <v>8429.7901191995443</v>
      </c>
      <c r="BK184" s="217">
        <f t="shared" si="48"/>
        <v>1000</v>
      </c>
    </row>
    <row r="185" spans="8:63" s="215" customFormat="1">
      <c r="H185" s="211"/>
      <c r="I185" s="211"/>
      <c r="J185" s="211"/>
      <c r="K185" s="211"/>
      <c r="L185" s="211"/>
      <c r="M185" s="211"/>
      <c r="BF185" s="215">
        <v>136</v>
      </c>
      <c r="BG185" s="218">
        <f t="shared" si="46"/>
        <v>762089.62219058746</v>
      </c>
      <c r="BH185" s="215">
        <v>136</v>
      </c>
      <c r="BI185" s="219">
        <f t="shared" si="47"/>
        <v>1.12E-2</v>
      </c>
      <c r="BJ185" s="218">
        <f t="shared" si="45"/>
        <v>8535.4037685345793</v>
      </c>
      <c r="BK185" s="217">
        <f t="shared" si="48"/>
        <v>1000</v>
      </c>
    </row>
    <row r="186" spans="8:63" s="215" customFormat="1">
      <c r="H186" s="211"/>
      <c r="I186" s="211"/>
      <c r="J186" s="211"/>
      <c r="K186" s="211"/>
      <c r="L186" s="211"/>
      <c r="M186" s="211"/>
      <c r="BF186" s="215">
        <v>137</v>
      </c>
      <c r="BG186" s="218">
        <f t="shared" si="46"/>
        <v>771625.02595912199</v>
      </c>
      <c r="BH186" s="215">
        <v>137</v>
      </c>
      <c r="BI186" s="219">
        <f t="shared" si="47"/>
        <v>1.12E-2</v>
      </c>
      <c r="BJ186" s="218">
        <f t="shared" si="45"/>
        <v>8642.2002907421665</v>
      </c>
      <c r="BK186" s="217">
        <f t="shared" si="48"/>
        <v>1000</v>
      </c>
    </row>
    <row r="187" spans="8:63" s="215" customFormat="1">
      <c r="H187" s="211"/>
      <c r="I187" s="211"/>
      <c r="J187" s="211"/>
      <c r="K187" s="211"/>
      <c r="L187" s="211"/>
      <c r="M187" s="211"/>
      <c r="BF187" s="215">
        <v>138</v>
      </c>
      <c r="BG187" s="218">
        <f t="shared" si="46"/>
        <v>781267.22624986421</v>
      </c>
      <c r="BH187" s="215">
        <v>138</v>
      </c>
      <c r="BI187" s="219">
        <f t="shared" si="47"/>
        <v>1.12E-2</v>
      </c>
      <c r="BJ187" s="218">
        <f t="shared" si="45"/>
        <v>8750.1929339984799</v>
      </c>
      <c r="BK187" s="217">
        <f t="shared" si="48"/>
        <v>1000</v>
      </c>
    </row>
    <row r="188" spans="8:63" s="215" customFormat="1">
      <c r="H188" s="211"/>
      <c r="I188" s="211"/>
      <c r="J188" s="211"/>
      <c r="K188" s="211"/>
      <c r="L188" s="211"/>
      <c r="M188" s="211"/>
      <c r="BF188" s="215">
        <v>139</v>
      </c>
      <c r="BG188" s="218">
        <f t="shared" si="46"/>
        <v>791017.41918386274</v>
      </c>
      <c r="BH188" s="215">
        <v>139</v>
      </c>
      <c r="BI188" s="219">
        <f t="shared" si="47"/>
        <v>1.12E-2</v>
      </c>
      <c r="BJ188" s="218">
        <f t="shared" si="45"/>
        <v>8859.3950948592628</v>
      </c>
      <c r="BK188" s="217">
        <f t="shared" si="48"/>
        <v>1000</v>
      </c>
    </row>
    <row r="189" spans="8:63" s="215" customFormat="1">
      <c r="H189" s="211"/>
      <c r="I189" s="211"/>
      <c r="J189" s="211"/>
      <c r="K189" s="211"/>
      <c r="L189" s="211"/>
      <c r="M189" s="211"/>
      <c r="BF189" s="215">
        <v>140</v>
      </c>
      <c r="BG189" s="218">
        <f t="shared" si="46"/>
        <v>800876.81427872204</v>
      </c>
      <c r="BH189" s="215">
        <v>140</v>
      </c>
      <c r="BI189" s="219">
        <f t="shared" si="47"/>
        <v>1.12E-2</v>
      </c>
      <c r="BJ189" s="218">
        <f t="shared" si="45"/>
        <v>8969.820319921686</v>
      </c>
      <c r="BK189" s="217">
        <f t="shared" si="48"/>
        <v>1000</v>
      </c>
    </row>
    <row r="190" spans="8:63" s="215" customFormat="1">
      <c r="H190" s="211"/>
      <c r="I190" s="211"/>
      <c r="J190" s="211"/>
      <c r="K190" s="211"/>
      <c r="L190" s="211"/>
      <c r="M190" s="211"/>
      <c r="BF190" s="215">
        <v>141</v>
      </c>
      <c r="BG190" s="218">
        <f t="shared" si="46"/>
        <v>810846.63459864375</v>
      </c>
      <c r="BH190" s="215">
        <v>141</v>
      </c>
      <c r="BI190" s="219">
        <f t="shared" si="47"/>
        <v>1.12E-2</v>
      </c>
      <c r="BJ190" s="218">
        <f t="shared" si="45"/>
        <v>9081.4823075048098</v>
      </c>
      <c r="BK190" s="217">
        <f t="shared" si="48"/>
        <v>1000</v>
      </c>
    </row>
    <row r="191" spans="8:63" s="215" customFormat="1">
      <c r="H191" s="211"/>
      <c r="I191" s="211"/>
      <c r="J191" s="211"/>
      <c r="K191" s="211"/>
      <c r="L191" s="211"/>
      <c r="M191" s="211"/>
      <c r="BF191" s="215">
        <v>142</v>
      </c>
      <c r="BG191" s="218">
        <f t="shared" si="46"/>
        <v>820928.11690614861</v>
      </c>
      <c r="BH191" s="215">
        <v>142</v>
      </c>
      <c r="BI191" s="219">
        <f t="shared" si="47"/>
        <v>1.12E-2</v>
      </c>
      <c r="BJ191" s="218">
        <f t="shared" si="45"/>
        <v>9194.3949093488645</v>
      </c>
      <c r="BK191" s="217">
        <f t="shared" si="48"/>
        <v>1000</v>
      </c>
    </row>
    <row r="192" spans="8:63" s="215" customFormat="1">
      <c r="H192" s="211"/>
      <c r="I192" s="211"/>
      <c r="J192" s="211"/>
      <c r="K192" s="211"/>
      <c r="L192" s="211"/>
      <c r="M192" s="211"/>
      <c r="BF192" s="215">
        <v>143</v>
      </c>
      <c r="BG192" s="218">
        <f t="shared" si="46"/>
        <v>831122.51181549754</v>
      </c>
      <c r="BH192" s="215">
        <v>143</v>
      </c>
      <c r="BI192" s="219">
        <f t="shared" si="47"/>
        <v>1.12E-2</v>
      </c>
      <c r="BJ192" s="218">
        <f t="shared" si="45"/>
        <v>9308.5721323335729</v>
      </c>
      <c r="BK192" s="217">
        <f t="shared" si="48"/>
        <v>1000</v>
      </c>
    </row>
    <row r="193" spans="8:63" s="215" customFormat="1">
      <c r="H193" s="211"/>
      <c r="I193" s="211"/>
      <c r="J193" s="211"/>
      <c r="K193" s="211"/>
      <c r="L193" s="211"/>
      <c r="M193" s="211"/>
      <c r="BF193" s="215">
        <v>144</v>
      </c>
      <c r="BG193" s="218">
        <f t="shared" si="46"/>
        <v>841431.08394783107</v>
      </c>
      <c r="BH193" s="215">
        <v>144</v>
      </c>
      <c r="BI193" s="219">
        <f t="shared" si="47"/>
        <v>1.12E-2</v>
      </c>
      <c r="BJ193" s="218">
        <f t="shared" si="45"/>
        <v>9424.028140215707</v>
      </c>
      <c r="BK193" s="217">
        <f t="shared" si="48"/>
        <v>1000</v>
      </c>
    </row>
    <row r="194" spans="8:63" s="215" customFormat="1">
      <c r="H194" s="211"/>
      <c r="I194" s="211"/>
      <c r="J194" s="211"/>
      <c r="K194" s="211"/>
      <c r="L194" s="211"/>
      <c r="M194" s="211"/>
      <c r="BF194" s="215">
        <v>145</v>
      </c>
      <c r="BG194" s="218">
        <f t="shared" si="46"/>
        <v>851855.11208804674</v>
      </c>
      <c r="BH194" s="215">
        <v>145</v>
      </c>
      <c r="BI194" s="219">
        <f t="shared" si="47"/>
        <v>1.12E-2</v>
      </c>
      <c r="BJ194" s="218">
        <f t="shared" si="45"/>
        <v>9540.7772553861232</v>
      </c>
      <c r="BK194" s="217">
        <f t="shared" si="48"/>
        <v>1000</v>
      </c>
    </row>
    <row r="195" spans="8:63" s="215" customFormat="1">
      <c r="H195" s="211"/>
      <c r="I195" s="211"/>
      <c r="J195" s="211"/>
      <c r="K195" s="211"/>
      <c r="L195" s="211"/>
      <c r="M195" s="211"/>
      <c r="BF195" s="215">
        <v>146</v>
      </c>
      <c r="BG195" s="218">
        <f t="shared" si="46"/>
        <v>862395.88934343285</v>
      </c>
      <c r="BH195" s="215">
        <v>146</v>
      </c>
      <c r="BI195" s="219">
        <f t="shared" si="47"/>
        <v>1.12E-2</v>
      </c>
      <c r="BJ195" s="218">
        <f t="shared" si="45"/>
        <v>9658.8339606464469</v>
      </c>
      <c r="BK195" s="217">
        <f t="shared" si="48"/>
        <v>1000</v>
      </c>
    </row>
    <row r="196" spans="8:63" s="215" customFormat="1">
      <c r="H196" s="211"/>
      <c r="I196" s="211"/>
      <c r="J196" s="211"/>
      <c r="K196" s="211"/>
      <c r="L196" s="211"/>
      <c r="M196" s="211"/>
      <c r="BF196" s="215">
        <v>147</v>
      </c>
      <c r="BG196" s="218">
        <f t="shared" si="46"/>
        <v>873054.72330407926</v>
      </c>
      <c r="BH196" s="215">
        <v>147</v>
      </c>
      <c r="BI196" s="219">
        <f t="shared" si="47"/>
        <v>1.12E-2</v>
      </c>
      <c r="BJ196" s="218">
        <f t="shared" si="45"/>
        <v>9778.2129010056869</v>
      </c>
      <c r="BK196" s="217">
        <f t="shared" si="48"/>
        <v>1000</v>
      </c>
    </row>
    <row r="197" spans="8:63" s="215" customFormat="1">
      <c r="H197" s="211"/>
      <c r="I197" s="211"/>
      <c r="J197" s="211"/>
      <c r="K197" s="211"/>
      <c r="L197" s="211"/>
      <c r="M197" s="211"/>
      <c r="BF197" s="215">
        <v>148</v>
      </c>
      <c r="BG197" s="218">
        <f t="shared" si="46"/>
        <v>883832.9362050849</v>
      </c>
      <c r="BH197" s="215">
        <v>148</v>
      </c>
      <c r="BI197" s="219">
        <f t="shared" si="47"/>
        <v>1.12E-2</v>
      </c>
      <c r="BJ197" s="218">
        <f t="shared" si="45"/>
        <v>9898.9288854969509</v>
      </c>
      <c r="BK197" s="217">
        <f t="shared" si="48"/>
        <v>1000</v>
      </c>
    </row>
    <row r="198" spans="8:63" s="215" customFormat="1">
      <c r="H198" s="211"/>
      <c r="I198" s="211"/>
      <c r="J198" s="211"/>
      <c r="K198" s="211"/>
      <c r="L198" s="211"/>
      <c r="M198" s="211"/>
      <c r="BF198" s="215">
        <v>149</v>
      </c>
      <c r="BG198" s="218">
        <f t="shared" si="46"/>
        <v>894731.86509058182</v>
      </c>
      <c r="BH198" s="215">
        <v>149</v>
      </c>
      <c r="BI198" s="219">
        <f t="shared" si="47"/>
        <v>1.12E-2</v>
      </c>
      <c r="BJ198" s="218">
        <f t="shared" si="45"/>
        <v>10020.996889014516</v>
      </c>
      <c r="BK198" s="217">
        <f t="shared" si="48"/>
        <v>1000</v>
      </c>
    </row>
    <row r="199" spans="8:63" s="215" customFormat="1">
      <c r="H199" s="211"/>
      <c r="I199" s="211"/>
      <c r="J199" s="211"/>
      <c r="K199" s="211"/>
      <c r="L199" s="211"/>
      <c r="M199" s="211"/>
      <c r="BF199" s="215">
        <v>150</v>
      </c>
      <c r="BG199" s="218">
        <f t="shared" si="46"/>
        <v>905752.86197959632</v>
      </c>
      <c r="BH199" s="215">
        <v>150</v>
      </c>
      <c r="BI199" s="219">
        <f t="shared" si="47"/>
        <v>1.12E-2</v>
      </c>
      <c r="BJ199" s="218">
        <f t="shared" si="45"/>
        <v>10144.432054171479</v>
      </c>
      <c r="BK199" s="217">
        <f t="shared" si="48"/>
        <v>1000</v>
      </c>
    </row>
    <row r="200" spans="8:63" s="215" customFormat="1">
      <c r="H200" s="211"/>
      <c r="I200" s="211"/>
      <c r="J200" s="211"/>
      <c r="K200" s="211"/>
      <c r="L200" s="211"/>
      <c r="M200" s="211"/>
      <c r="BF200" s="215">
        <v>151</v>
      </c>
      <c r="BG200" s="218">
        <f t="shared" si="46"/>
        <v>916897.29403376777</v>
      </c>
      <c r="BH200" s="215">
        <v>151</v>
      </c>
      <c r="BI200" s="219">
        <f t="shared" si="47"/>
        <v>1.12E-2</v>
      </c>
      <c r="BJ200" s="218">
        <f t="shared" si="45"/>
        <v>10269.249693178199</v>
      </c>
      <c r="BK200" s="217">
        <f t="shared" si="48"/>
        <v>1000</v>
      </c>
    </row>
    <row r="201" spans="8:63" s="215" customFormat="1">
      <c r="H201" s="211"/>
      <c r="I201" s="211"/>
      <c r="J201" s="211"/>
      <c r="K201" s="211"/>
      <c r="L201" s="211"/>
      <c r="M201" s="211"/>
      <c r="BF201" s="215">
        <v>152</v>
      </c>
      <c r="BG201" s="218">
        <f t="shared" si="46"/>
        <v>928166.54372694599</v>
      </c>
      <c r="BH201" s="215">
        <v>152</v>
      </c>
      <c r="BI201" s="219">
        <f t="shared" si="47"/>
        <v>1.12E-2</v>
      </c>
      <c r="BJ201" s="218">
        <f t="shared" si="45"/>
        <v>10395.465289741795</v>
      </c>
      <c r="BK201" s="217">
        <f t="shared" si="48"/>
        <v>1000</v>
      </c>
    </row>
    <row r="202" spans="8:63" s="215" customFormat="1">
      <c r="H202" s="211"/>
      <c r="I202" s="211"/>
      <c r="J202" s="211"/>
      <c r="K202" s="211"/>
      <c r="L202" s="211"/>
      <c r="M202" s="211"/>
      <c r="BF202" s="215">
        <v>153</v>
      </c>
      <c r="BG202" s="218">
        <f t="shared" si="46"/>
        <v>939562.00901668775</v>
      </c>
      <c r="BH202" s="215">
        <v>153</v>
      </c>
      <c r="BI202" s="219">
        <f t="shared" si="47"/>
        <v>1.12E-2</v>
      </c>
      <c r="BJ202" s="218">
        <f t="shared" si="45"/>
        <v>10523.094500986903</v>
      </c>
      <c r="BK202" s="217">
        <f t="shared" si="48"/>
        <v>1000</v>
      </c>
    </row>
    <row r="203" spans="8:63" s="215" customFormat="1">
      <c r="H203" s="211"/>
      <c r="I203" s="211"/>
      <c r="J203" s="211"/>
      <c r="K203" s="211"/>
      <c r="L203" s="211"/>
      <c r="M203" s="211"/>
      <c r="BF203" s="215">
        <v>154</v>
      </c>
      <c r="BG203" s="218">
        <f t="shared" si="46"/>
        <v>951085.10351767461</v>
      </c>
      <c r="BH203" s="215">
        <v>154</v>
      </c>
      <c r="BI203" s="219">
        <f t="shared" si="47"/>
        <v>1.12E-2</v>
      </c>
      <c r="BJ203" s="218">
        <f t="shared" si="45"/>
        <v>10652.153159397956</v>
      </c>
      <c r="BK203" s="217">
        <f t="shared" si="48"/>
        <v>1000</v>
      </c>
    </row>
    <row r="204" spans="8:63" s="215" customFormat="1">
      <c r="H204" s="211"/>
      <c r="I204" s="211"/>
      <c r="J204" s="211"/>
      <c r="K204" s="211"/>
      <c r="L204" s="211"/>
      <c r="M204" s="211"/>
      <c r="BF204" s="215">
        <v>155</v>
      </c>
      <c r="BG204" s="218">
        <f t="shared" si="46"/>
        <v>962737.25667707261</v>
      </c>
      <c r="BH204" s="215">
        <v>155</v>
      </c>
      <c r="BI204" s="219">
        <f t="shared" si="47"/>
        <v>1.12E-2</v>
      </c>
      <c r="BJ204" s="218">
        <f t="shared" si="45"/>
        <v>10782.657274783212</v>
      </c>
      <c r="BK204" s="217">
        <f t="shared" si="48"/>
        <v>1000</v>
      </c>
    </row>
    <row r="205" spans="8:63" s="215" customFormat="1">
      <c r="H205" s="211"/>
      <c r="I205" s="211"/>
      <c r="J205" s="211"/>
      <c r="K205" s="211"/>
      <c r="L205" s="211"/>
      <c r="M205" s="211"/>
      <c r="BF205" s="215">
        <v>156</v>
      </c>
      <c r="BG205" s="218">
        <f t="shared" si="46"/>
        <v>974519.91395185585</v>
      </c>
      <c r="BH205" s="215">
        <v>156</v>
      </c>
      <c r="BI205" s="219">
        <f t="shared" si="47"/>
        <v>1.12E-2</v>
      </c>
      <c r="BJ205" s="218">
        <f t="shared" si="45"/>
        <v>10914.623036260786</v>
      </c>
      <c r="BK205" s="217">
        <f t="shared" si="48"/>
        <v>1000</v>
      </c>
    </row>
    <row r="206" spans="8:63" s="215" customFormat="1">
      <c r="H206" s="211"/>
      <c r="I206" s="211"/>
      <c r="J206" s="211"/>
      <c r="K206" s="211"/>
      <c r="L206" s="211"/>
      <c r="M206" s="211"/>
      <c r="BF206" s="215">
        <v>157</v>
      </c>
      <c r="BG206" s="218">
        <f t="shared" si="46"/>
        <v>986434.53698811668</v>
      </c>
      <c r="BH206" s="215">
        <v>157</v>
      </c>
      <c r="BI206" s="219">
        <f t="shared" si="47"/>
        <v>1.12E-2</v>
      </c>
      <c r="BJ206" s="218">
        <f t="shared" si="45"/>
        <v>11048.066814266907</v>
      </c>
      <c r="BK206" s="217">
        <f t="shared" si="48"/>
        <v>1000</v>
      </c>
    </row>
    <row r="207" spans="8:63" s="215" customFormat="1">
      <c r="H207" s="211"/>
      <c r="I207" s="211"/>
      <c r="J207" s="211"/>
      <c r="K207" s="211"/>
      <c r="L207" s="211"/>
      <c r="M207" s="211"/>
      <c r="BF207" s="215">
        <v>158</v>
      </c>
      <c r="BG207" s="218">
        <f t="shared" si="46"/>
        <v>998482.60380238364</v>
      </c>
      <c r="BH207" s="215">
        <v>158</v>
      </c>
      <c r="BI207" s="219">
        <f t="shared" si="47"/>
        <v>1.12E-2</v>
      </c>
      <c r="BJ207" s="218">
        <f t="shared" si="45"/>
        <v>11183.005162586696</v>
      </c>
      <c r="BK207" s="217">
        <f t="shared" si="48"/>
        <v>1000</v>
      </c>
    </row>
    <row r="208" spans="8:63" s="215" customFormat="1">
      <c r="H208" s="211"/>
      <c r="I208" s="211"/>
      <c r="J208" s="211"/>
      <c r="K208" s="211"/>
      <c r="L208" s="211"/>
      <c r="M208" s="211"/>
      <c r="BF208" s="215">
        <v>159</v>
      </c>
      <c r="BG208" s="218">
        <f t="shared" si="46"/>
        <v>1010665.6089649703</v>
      </c>
      <c r="BH208" s="215">
        <v>159</v>
      </c>
      <c r="BI208" s="219">
        <f t="shared" si="47"/>
        <v>1.12E-2</v>
      </c>
      <c r="BJ208" s="218">
        <f t="shared" si="45"/>
        <v>11319.454820407667</v>
      </c>
      <c r="BK208" s="217">
        <f t="shared" si="48"/>
        <v>1000</v>
      </c>
    </row>
    <row r="209" spans="8:63" s="215" customFormat="1">
      <c r="H209" s="211"/>
      <c r="I209" s="211"/>
      <c r="J209" s="211"/>
      <c r="K209" s="211"/>
      <c r="L209" s="211"/>
      <c r="M209" s="211"/>
      <c r="BF209" s="215">
        <v>160</v>
      </c>
      <c r="BG209" s="218">
        <f t="shared" si="46"/>
        <v>1022985.063785378</v>
      </c>
      <c r="BH209" s="215">
        <v>160</v>
      </c>
      <c r="BI209" s="219">
        <f t="shared" si="47"/>
        <v>1.12E-2</v>
      </c>
      <c r="BJ209" s="218">
        <f t="shared" si="45"/>
        <v>11457.432714396233</v>
      </c>
      <c r="BK209" s="217">
        <f t="shared" si="48"/>
        <v>1000</v>
      </c>
    </row>
    <row r="210" spans="8:63" s="215" customFormat="1">
      <c r="H210" s="211"/>
      <c r="I210" s="211"/>
      <c r="J210" s="211"/>
      <c r="K210" s="211"/>
      <c r="L210" s="211"/>
      <c r="M210" s="211"/>
      <c r="BF210" s="215">
        <v>161</v>
      </c>
      <c r="BG210" s="218">
        <f t="shared" si="46"/>
        <v>1035442.4964997743</v>
      </c>
      <c r="BH210" s="215">
        <v>161</v>
      </c>
      <c r="BI210" s="219">
        <f t="shared" si="47"/>
        <v>1.12E-2</v>
      </c>
      <c r="BJ210" s="218">
        <f t="shared" si="45"/>
        <v>11596.955960797472</v>
      </c>
      <c r="BK210" s="217">
        <f t="shared" si="48"/>
        <v>1000</v>
      </c>
    </row>
    <row r="211" spans="8:63" s="215" customFormat="1">
      <c r="H211" s="211"/>
      <c r="I211" s="211"/>
      <c r="J211" s="211"/>
      <c r="K211" s="211"/>
      <c r="L211" s="211"/>
      <c r="M211" s="211"/>
      <c r="BF211" s="215">
        <v>162</v>
      </c>
      <c r="BG211" s="218">
        <f t="shared" si="46"/>
        <v>1048039.4524605718</v>
      </c>
      <c r="BH211" s="215">
        <v>162</v>
      </c>
      <c r="BI211" s="219">
        <f t="shared" si="47"/>
        <v>1.12E-2</v>
      </c>
      <c r="BJ211" s="218">
        <f t="shared" si="45"/>
        <v>11738.041867558404</v>
      </c>
      <c r="BK211" s="217">
        <f t="shared" si="48"/>
        <v>1000</v>
      </c>
    </row>
    <row r="212" spans="8:63" s="215" customFormat="1">
      <c r="H212" s="211"/>
      <c r="I212" s="211"/>
      <c r="J212" s="211"/>
      <c r="K212" s="211"/>
      <c r="L212" s="211"/>
      <c r="M212" s="211"/>
      <c r="BF212" s="215">
        <v>163</v>
      </c>
      <c r="BG212" s="218">
        <f t="shared" si="46"/>
        <v>1060777.4943281303</v>
      </c>
      <c r="BH212" s="215">
        <v>163</v>
      </c>
      <c r="BI212" s="219">
        <f t="shared" si="47"/>
        <v>1.12E-2</v>
      </c>
      <c r="BJ212" s="218">
        <f t="shared" si="45"/>
        <v>11880.707936475059</v>
      </c>
      <c r="BK212" s="217">
        <f t="shared" si="48"/>
        <v>1000</v>
      </c>
    </row>
    <row r="213" spans="8:63" s="215" customFormat="1">
      <c r="H213" s="211"/>
      <c r="I213" s="211"/>
      <c r="J213" s="211"/>
      <c r="K213" s="211"/>
      <c r="L213" s="211"/>
      <c r="M213" s="211"/>
      <c r="BF213" s="215">
        <v>164</v>
      </c>
      <c r="BG213" s="218">
        <f t="shared" si="46"/>
        <v>1073658.2022646053</v>
      </c>
      <c r="BH213" s="215">
        <v>164</v>
      </c>
      <c r="BI213" s="219">
        <f t="shared" si="47"/>
        <v>1.12E-2</v>
      </c>
      <c r="BJ213" s="218">
        <f t="shared" si="45"/>
        <v>12024.971865363579</v>
      </c>
      <c r="BK213" s="217">
        <f t="shared" si="48"/>
        <v>1000</v>
      </c>
    </row>
    <row r="214" spans="8:63" s="215" customFormat="1">
      <c r="H214" s="211"/>
      <c r="I214" s="211"/>
      <c r="J214" s="211"/>
      <c r="K214" s="211"/>
      <c r="L214" s="211"/>
      <c r="M214" s="211"/>
      <c r="BF214" s="215">
        <v>165</v>
      </c>
      <c r="BG214" s="218">
        <f t="shared" si="46"/>
        <v>1086683.174129969</v>
      </c>
      <c r="BH214" s="215">
        <v>165</v>
      </c>
      <c r="BI214" s="219">
        <f t="shared" si="47"/>
        <v>1.12E-2</v>
      </c>
      <c r="BJ214" s="218">
        <f t="shared" si="45"/>
        <v>12170.851550255653</v>
      </c>
      <c r="BK214" s="217">
        <f t="shared" si="48"/>
        <v>1000</v>
      </c>
    </row>
    <row r="215" spans="8:63" s="215" customFormat="1">
      <c r="H215" s="211"/>
      <c r="I215" s="211"/>
      <c r="J215" s="211"/>
      <c r="K215" s="211"/>
      <c r="L215" s="211"/>
      <c r="M215" s="211"/>
      <c r="BF215" s="215">
        <v>166</v>
      </c>
      <c r="BG215" s="218">
        <f t="shared" si="46"/>
        <v>1099854.0256802246</v>
      </c>
      <c r="BH215" s="215">
        <v>166</v>
      </c>
      <c r="BI215" s="219">
        <f t="shared" si="47"/>
        <v>1.12E-2</v>
      </c>
      <c r="BJ215" s="218">
        <f t="shared" si="45"/>
        <v>12318.365087618517</v>
      </c>
      <c r="BK215" s="217">
        <f t="shared" si="48"/>
        <v>1000</v>
      </c>
    </row>
    <row r="216" spans="8:63" s="215" customFormat="1">
      <c r="H216" s="211"/>
      <c r="I216" s="211"/>
      <c r="J216" s="211"/>
      <c r="K216" s="211"/>
      <c r="L216" s="211"/>
      <c r="M216" s="211"/>
      <c r="BF216" s="215">
        <v>167</v>
      </c>
      <c r="BG216" s="218">
        <f t="shared" si="46"/>
        <v>1113172.3907678432</v>
      </c>
      <c r="BH216" s="215">
        <v>167</v>
      </c>
      <c r="BI216" s="219">
        <f t="shared" si="47"/>
        <v>1.12E-2</v>
      </c>
      <c r="BJ216" s="218">
        <f t="shared" si="45"/>
        <v>12467.530776599844</v>
      </c>
      <c r="BK216" s="217">
        <f t="shared" si="48"/>
        <v>1000</v>
      </c>
    </row>
    <row r="217" spans="8:63" s="215" customFormat="1">
      <c r="H217" s="211"/>
      <c r="I217" s="211"/>
      <c r="J217" s="211"/>
      <c r="K217" s="211"/>
      <c r="L217" s="211"/>
      <c r="M217" s="211"/>
      <c r="BF217" s="215">
        <v>168</v>
      </c>
      <c r="BG217" s="218">
        <f t="shared" si="46"/>
        <v>1126639.9215444431</v>
      </c>
      <c r="BH217" s="215">
        <v>168</v>
      </c>
      <c r="BI217" s="219">
        <f t="shared" si="47"/>
        <v>1.12E-2</v>
      </c>
      <c r="BJ217" s="218">
        <f t="shared" si="45"/>
        <v>12618.367121297762</v>
      </c>
      <c r="BK217" s="217">
        <f t="shared" si="48"/>
        <v>1000</v>
      </c>
    </row>
    <row r="218" spans="8:63" s="215" customFormat="1">
      <c r="H218" s="211"/>
      <c r="I218" s="211"/>
      <c r="J218" s="211"/>
      <c r="K218" s="211"/>
      <c r="L218" s="211"/>
      <c r="M218" s="211"/>
      <c r="BF218" s="215">
        <v>169</v>
      </c>
      <c r="BG218" s="218">
        <f t="shared" si="46"/>
        <v>1140258.288665741</v>
      </c>
      <c r="BH218" s="215">
        <v>169</v>
      </c>
      <c r="BI218" s="219">
        <f t="shared" si="47"/>
        <v>1.12E-2</v>
      </c>
      <c r="BJ218" s="218">
        <f t="shared" si="45"/>
        <v>12770.892833056299</v>
      </c>
      <c r="BK218" s="217">
        <f t="shared" si="48"/>
        <v>1000</v>
      </c>
    </row>
    <row r="219" spans="8:63" s="215" customFormat="1">
      <c r="H219" s="211"/>
      <c r="I219" s="211"/>
      <c r="J219" s="211"/>
      <c r="K219" s="211"/>
      <c r="L219" s="211"/>
      <c r="M219" s="211"/>
      <c r="BF219" s="215">
        <v>170</v>
      </c>
      <c r="BG219" s="218">
        <f t="shared" si="46"/>
        <v>1154029.1814987974</v>
      </c>
      <c r="BH219" s="215">
        <v>170</v>
      </c>
      <c r="BI219" s="219">
        <f t="shared" si="47"/>
        <v>1.12E-2</v>
      </c>
      <c r="BJ219" s="218">
        <f t="shared" si="45"/>
        <v>12925.126832786531</v>
      </c>
      <c r="BK219" s="217">
        <f t="shared" si="48"/>
        <v>1000</v>
      </c>
    </row>
    <row r="220" spans="8:63" s="215" customFormat="1">
      <c r="H220" s="211"/>
      <c r="I220" s="211"/>
      <c r="J220" s="211"/>
      <c r="K220" s="211"/>
      <c r="L220" s="211"/>
      <c r="M220" s="211"/>
      <c r="BF220" s="215">
        <v>171</v>
      </c>
      <c r="BG220" s="218">
        <f t="shared" si="46"/>
        <v>1167954.3083315839</v>
      </c>
      <c r="BH220" s="215">
        <v>171</v>
      </c>
      <c r="BI220" s="219">
        <f t="shared" si="47"/>
        <v>1.12E-2</v>
      </c>
      <c r="BJ220" s="218">
        <f t="shared" si="45"/>
        <v>13081.088253313739</v>
      </c>
      <c r="BK220" s="217">
        <f t="shared" si="48"/>
        <v>1000</v>
      </c>
    </row>
    <row r="221" spans="8:63" s="215" customFormat="1">
      <c r="H221" s="211"/>
      <c r="I221" s="211"/>
      <c r="J221" s="211"/>
      <c r="K221" s="211"/>
      <c r="L221" s="211"/>
      <c r="M221" s="211"/>
      <c r="BF221" s="215">
        <v>172</v>
      </c>
      <c r="BG221" s="218">
        <f t="shared" si="46"/>
        <v>1182035.3965848975</v>
      </c>
      <c r="BH221" s="215">
        <v>172</v>
      </c>
      <c r="BI221" s="219">
        <f t="shared" si="47"/>
        <v>1.12E-2</v>
      </c>
      <c r="BJ221" s="218">
        <f t="shared" si="45"/>
        <v>13238.796441750852</v>
      </c>
      <c r="BK221" s="217">
        <f t="shared" si="48"/>
        <v>1000</v>
      </c>
    </row>
    <row r="222" spans="8:63" s="215" customFormat="1">
      <c r="H222" s="211"/>
      <c r="I222" s="211"/>
      <c r="J222" s="211"/>
      <c r="K222" s="211"/>
      <c r="L222" s="211"/>
      <c r="M222" s="211"/>
      <c r="BF222" s="215">
        <v>173</v>
      </c>
      <c r="BG222" s="218">
        <f t="shared" si="46"/>
        <v>1196274.1930266484</v>
      </c>
      <c r="BH222" s="215">
        <v>173</v>
      </c>
      <c r="BI222" s="219">
        <f t="shared" si="47"/>
        <v>1.12E-2</v>
      </c>
      <c r="BJ222" s="218">
        <f t="shared" si="45"/>
        <v>13398.270961898461</v>
      </c>
      <c r="BK222" s="217">
        <f t="shared" si="48"/>
        <v>1000</v>
      </c>
    </row>
    <row r="223" spans="8:63" s="215" customFormat="1">
      <c r="H223" s="211"/>
      <c r="I223" s="211"/>
      <c r="J223" s="211"/>
      <c r="K223" s="211"/>
      <c r="L223" s="211"/>
      <c r="M223" s="211"/>
      <c r="BF223" s="215">
        <v>174</v>
      </c>
      <c r="BG223" s="218">
        <f t="shared" si="46"/>
        <v>1210672.4639885467</v>
      </c>
      <c r="BH223" s="215">
        <v>174</v>
      </c>
      <c r="BI223" s="219">
        <f t="shared" si="47"/>
        <v>1.12E-2</v>
      </c>
      <c r="BJ223" s="218">
        <f t="shared" si="45"/>
        <v>13559.531596671723</v>
      </c>
      <c r="BK223" s="217">
        <f t="shared" si="48"/>
        <v>1000</v>
      </c>
    </row>
    <row r="224" spans="8:63" s="215" customFormat="1">
      <c r="H224" s="211"/>
      <c r="I224" s="211"/>
      <c r="J224" s="211"/>
      <c r="K224" s="211"/>
      <c r="L224" s="211"/>
      <c r="M224" s="211"/>
      <c r="BF224" s="215">
        <v>175</v>
      </c>
      <c r="BG224" s="218">
        <f t="shared" si="46"/>
        <v>1225231.9955852185</v>
      </c>
      <c r="BH224" s="215">
        <v>175</v>
      </c>
      <c r="BI224" s="219">
        <f t="shared" si="47"/>
        <v>1.12E-2</v>
      </c>
      <c r="BJ224" s="218">
        <f t="shared" si="45"/>
        <v>13722.598350554448</v>
      </c>
      <c r="BK224" s="217">
        <f t="shared" si="48"/>
        <v>1000</v>
      </c>
    </row>
    <row r="225" spans="8:63" s="215" customFormat="1">
      <c r="H225" s="211"/>
      <c r="I225" s="211"/>
      <c r="J225" s="211"/>
      <c r="K225" s="211"/>
      <c r="L225" s="211"/>
      <c r="M225" s="211"/>
      <c r="BF225" s="215">
        <v>176</v>
      </c>
      <c r="BG225" s="218">
        <f t="shared" si="46"/>
        <v>1239954.593935773</v>
      </c>
      <c r="BH225" s="215">
        <v>176</v>
      </c>
      <c r="BI225" s="219">
        <f t="shared" si="47"/>
        <v>1.12E-2</v>
      </c>
      <c r="BJ225" s="218">
        <f t="shared" si="45"/>
        <v>13887.491452080658</v>
      </c>
      <c r="BK225" s="217">
        <f t="shared" si="48"/>
        <v>1000</v>
      </c>
    </row>
    <row r="226" spans="8:63" s="215" customFormat="1">
      <c r="H226" s="211"/>
      <c r="I226" s="211"/>
      <c r="J226" s="211"/>
      <c r="K226" s="211"/>
      <c r="L226" s="211"/>
      <c r="M226" s="211"/>
      <c r="BF226" s="215">
        <v>177</v>
      </c>
      <c r="BG226" s="218">
        <f t="shared" si="46"/>
        <v>1254842.0853878537</v>
      </c>
      <c r="BH226" s="215">
        <v>177</v>
      </c>
      <c r="BI226" s="219">
        <f t="shared" si="47"/>
        <v>1.12E-2</v>
      </c>
      <c r="BJ226" s="218">
        <f t="shared" si="45"/>
        <v>14054.23135634396</v>
      </c>
      <c r="BK226" s="217">
        <f t="shared" si="48"/>
        <v>1000</v>
      </c>
    </row>
    <row r="227" spans="8:63" s="215" customFormat="1">
      <c r="H227" s="211"/>
      <c r="I227" s="211"/>
      <c r="J227" s="211"/>
      <c r="K227" s="211"/>
      <c r="L227" s="211"/>
      <c r="M227" s="211"/>
      <c r="BF227" s="215">
        <v>178</v>
      </c>
      <c r="BG227" s="218">
        <f t="shared" si="46"/>
        <v>1269896.3167441976</v>
      </c>
      <c r="BH227" s="215">
        <v>178</v>
      </c>
      <c r="BI227" s="219">
        <f t="shared" si="47"/>
        <v>1.12E-2</v>
      </c>
      <c r="BJ227" s="218">
        <f t="shared" si="45"/>
        <v>14222.838747535014</v>
      </c>
      <c r="BK227" s="217">
        <f t="shared" si="48"/>
        <v>1000</v>
      </c>
    </row>
    <row r="228" spans="8:63" s="215" customFormat="1">
      <c r="H228" s="211"/>
      <c r="I228" s="211"/>
      <c r="J228" s="211"/>
      <c r="K228" s="211"/>
      <c r="L228" s="211"/>
      <c r="M228" s="211"/>
      <c r="BF228" s="215">
        <v>179</v>
      </c>
      <c r="BG228" s="218">
        <f t="shared" si="46"/>
        <v>1285119.1554917325</v>
      </c>
      <c r="BH228" s="215">
        <v>179</v>
      </c>
      <c r="BI228" s="219">
        <f t="shared" si="47"/>
        <v>1.12E-2</v>
      </c>
      <c r="BJ228" s="218">
        <f t="shared" si="45"/>
        <v>14393.334541507404</v>
      </c>
      <c r="BK228" s="217">
        <f t="shared" si="48"/>
        <v>1000</v>
      </c>
    </row>
    <row r="229" spans="8:63" s="215" customFormat="1">
      <c r="H229" s="211"/>
      <c r="I229" s="211"/>
      <c r="J229" s="211"/>
      <c r="K229" s="211"/>
      <c r="L229" s="211"/>
      <c r="M229" s="211"/>
      <c r="BF229" s="215">
        <v>180</v>
      </c>
      <c r="BG229" s="218">
        <f t="shared" si="46"/>
        <v>1300512.4900332398</v>
      </c>
      <c r="BH229" s="215">
        <v>180</v>
      </c>
      <c r="BI229" s="219">
        <f t="shared" si="47"/>
        <v>1.12E-2</v>
      </c>
      <c r="BJ229" s="218">
        <f t="shared" si="45"/>
        <v>14565.739888372285</v>
      </c>
      <c r="BK229" s="217">
        <f t="shared" si="48"/>
        <v>1000</v>
      </c>
    </row>
    <row r="230" spans="8:63" s="215" customFormat="1">
      <c r="H230" s="211"/>
      <c r="I230" s="211"/>
      <c r="J230" s="211"/>
      <c r="K230" s="211"/>
      <c r="L230" s="211"/>
      <c r="M230" s="211"/>
      <c r="BF230" s="215">
        <v>181</v>
      </c>
      <c r="BG230" s="218">
        <f t="shared" si="46"/>
        <v>1316078.2299216122</v>
      </c>
      <c r="BH230" s="215">
        <v>181</v>
      </c>
      <c r="BI230" s="219">
        <f t="shared" si="47"/>
        <v>1.12E-2</v>
      </c>
      <c r="BJ230" s="218">
        <f t="shared" si="45"/>
        <v>14740.076175122056</v>
      </c>
      <c r="BK230" s="217">
        <f t="shared" si="48"/>
        <v>1000</v>
      </c>
    </row>
    <row r="231" spans="8:63" s="215" customFormat="1">
      <c r="H231" s="211"/>
      <c r="I231" s="211"/>
      <c r="J231" s="211"/>
      <c r="K231" s="211"/>
      <c r="L231" s="211"/>
      <c r="M231" s="211"/>
      <c r="BF231" s="215">
        <v>182</v>
      </c>
      <c r="BG231" s="218">
        <f t="shared" si="46"/>
        <v>1331818.3060967342</v>
      </c>
      <c r="BH231" s="215">
        <v>182</v>
      </c>
      <c r="BI231" s="219">
        <f t="shared" si="47"/>
        <v>1.12E-2</v>
      </c>
      <c r="BJ231" s="218">
        <f t="shared" si="45"/>
        <v>14916.365028283424</v>
      </c>
      <c r="BK231" s="217">
        <f t="shared" si="48"/>
        <v>1000</v>
      </c>
    </row>
    <row r="232" spans="8:63" s="215" customFormat="1">
      <c r="H232" s="211"/>
      <c r="I232" s="211"/>
      <c r="J232" s="211"/>
      <c r="K232" s="211"/>
      <c r="L232" s="211"/>
      <c r="M232" s="211"/>
      <c r="BF232" s="215">
        <v>183</v>
      </c>
      <c r="BG232" s="218">
        <f t="shared" si="46"/>
        <v>1347734.6711250176</v>
      </c>
      <c r="BH232" s="215">
        <v>183</v>
      </c>
      <c r="BI232" s="219">
        <f t="shared" si="47"/>
        <v>1.12E-2</v>
      </c>
      <c r="BJ232" s="218">
        <f t="shared" si="45"/>
        <v>15094.628316600196</v>
      </c>
      <c r="BK232" s="217">
        <f t="shared" si="48"/>
        <v>1000</v>
      </c>
    </row>
    <row r="233" spans="8:63" s="215" customFormat="1">
      <c r="H233" s="211"/>
      <c r="I233" s="211"/>
      <c r="J233" s="211"/>
      <c r="K233" s="211"/>
      <c r="L233" s="211"/>
      <c r="M233" s="211"/>
      <c r="BF233" s="215">
        <v>184</v>
      </c>
      <c r="BG233" s="218">
        <f t="shared" si="46"/>
        <v>1363829.2994416177</v>
      </c>
      <c r="BH233" s="215">
        <v>184</v>
      </c>
      <c r="BI233" s="219">
        <f t="shared" si="47"/>
        <v>1.12E-2</v>
      </c>
      <c r="BJ233" s="218">
        <f t="shared" si="45"/>
        <v>15274.888153746118</v>
      </c>
      <c r="BK233" s="217">
        <f t="shared" si="48"/>
        <v>1000</v>
      </c>
    </row>
    <row r="234" spans="8:63" s="215" customFormat="1">
      <c r="H234" s="211"/>
      <c r="I234" s="211"/>
      <c r="J234" s="211"/>
      <c r="K234" s="211"/>
      <c r="L234" s="211"/>
      <c r="M234" s="211"/>
      <c r="BF234" s="215">
        <v>185</v>
      </c>
      <c r="BG234" s="218">
        <f t="shared" si="46"/>
        <v>1380104.1875953637</v>
      </c>
      <c r="BH234" s="215">
        <v>185</v>
      </c>
      <c r="BI234" s="219">
        <f t="shared" si="47"/>
        <v>1.12E-2</v>
      </c>
      <c r="BJ234" s="218">
        <f t="shared" si="45"/>
        <v>15457.166901068073</v>
      </c>
      <c r="BK234" s="217">
        <f t="shared" si="48"/>
        <v>1000</v>
      </c>
    </row>
    <row r="235" spans="8:63" s="215" customFormat="1">
      <c r="H235" s="211"/>
      <c r="I235" s="211"/>
      <c r="J235" s="211"/>
      <c r="K235" s="211"/>
      <c r="L235" s="211"/>
      <c r="M235" s="211"/>
      <c r="BF235" s="215">
        <v>186</v>
      </c>
      <c r="BG235" s="218">
        <f t="shared" si="46"/>
        <v>1396561.3544964318</v>
      </c>
      <c r="BH235" s="215">
        <v>186</v>
      </c>
      <c r="BI235" s="219">
        <f t="shared" si="47"/>
        <v>1.12E-2</v>
      </c>
      <c r="BJ235" s="218">
        <f t="shared" si="45"/>
        <v>15641.487170360037</v>
      </c>
      <c r="BK235" s="217">
        <f t="shared" si="48"/>
        <v>1000</v>
      </c>
    </row>
    <row r="236" spans="8:63" s="215" customFormat="1">
      <c r="H236" s="211"/>
      <c r="I236" s="211"/>
      <c r="J236" s="211"/>
      <c r="K236" s="211"/>
      <c r="L236" s="211"/>
      <c r="M236" s="211"/>
      <c r="BF236" s="215">
        <v>187</v>
      </c>
      <c r="BG236" s="218">
        <f t="shared" si="46"/>
        <v>1413202.8416667918</v>
      </c>
      <c r="BH236" s="215">
        <v>187</v>
      </c>
      <c r="BI236" s="219">
        <f t="shared" si="47"/>
        <v>1.12E-2</v>
      </c>
      <c r="BJ236" s="218">
        <f t="shared" si="45"/>
        <v>15827.871826668068</v>
      </c>
      <c r="BK236" s="217">
        <f t="shared" si="48"/>
        <v>1000</v>
      </c>
    </row>
    <row r="237" spans="8:63" s="215" customFormat="1">
      <c r="H237" s="211"/>
      <c r="I237" s="211"/>
      <c r="J237" s="211"/>
      <c r="K237" s="211"/>
      <c r="L237" s="211"/>
      <c r="M237" s="211"/>
      <c r="BF237" s="215">
        <v>188</v>
      </c>
      <c r="BG237" s="218">
        <f t="shared" si="46"/>
        <v>1430030.7134934599</v>
      </c>
      <c r="BH237" s="215">
        <v>188</v>
      </c>
      <c r="BI237" s="219">
        <f t="shared" si="47"/>
        <v>1.12E-2</v>
      </c>
      <c r="BJ237" s="218">
        <f t="shared" si="45"/>
        <v>16016.343991126751</v>
      </c>
      <c r="BK237" s="217">
        <f t="shared" si="48"/>
        <v>1000</v>
      </c>
    </row>
    <row r="238" spans="8:63" s="215" customFormat="1">
      <c r="H238" s="211"/>
      <c r="I238" s="211"/>
      <c r="J238" s="211"/>
      <c r="K238" s="211"/>
      <c r="L238" s="211"/>
      <c r="M238" s="211"/>
      <c r="BF238" s="215">
        <v>189</v>
      </c>
      <c r="BG238" s="218">
        <f t="shared" si="46"/>
        <v>1447047.0574845867</v>
      </c>
      <c r="BH238" s="215">
        <v>189</v>
      </c>
      <c r="BI238" s="219">
        <f t="shared" si="47"/>
        <v>1.12E-2</v>
      </c>
      <c r="BJ238" s="218">
        <f t="shared" si="45"/>
        <v>16206.927043827371</v>
      </c>
      <c r="BK238" s="217">
        <f t="shared" si="48"/>
        <v>1000</v>
      </c>
    </row>
    <row r="239" spans="8:63" s="215" customFormat="1">
      <c r="H239" s="211"/>
      <c r="I239" s="211"/>
      <c r="J239" s="211"/>
      <c r="K239" s="211"/>
      <c r="L239" s="211"/>
      <c r="M239" s="211"/>
      <c r="BF239" s="215">
        <v>190</v>
      </c>
      <c r="BG239" s="218">
        <f t="shared" si="46"/>
        <v>1464253.9845284142</v>
      </c>
      <c r="BH239" s="215">
        <v>190</v>
      </c>
      <c r="BI239" s="219">
        <f t="shared" si="47"/>
        <v>1.12E-2</v>
      </c>
      <c r="BJ239" s="218">
        <f t="shared" si="45"/>
        <v>16399.64462671824</v>
      </c>
      <c r="BK239" s="217">
        <f t="shared" si="48"/>
        <v>1000</v>
      </c>
    </row>
    <row r="240" spans="8:63" s="215" customFormat="1">
      <c r="H240" s="211"/>
      <c r="I240" s="211"/>
      <c r="J240" s="211"/>
      <c r="K240" s="211"/>
      <c r="L240" s="211"/>
      <c r="M240" s="211"/>
      <c r="BF240" s="215">
        <v>191</v>
      </c>
      <c r="BG240" s="218">
        <f t="shared" si="46"/>
        <v>1481653.6291551325</v>
      </c>
      <c r="BH240" s="215">
        <v>191</v>
      </c>
      <c r="BI240" s="219">
        <f t="shared" si="47"/>
        <v>1.12E-2</v>
      </c>
      <c r="BJ240" s="218">
        <f t="shared" si="45"/>
        <v>16594.520646537483</v>
      </c>
      <c r="BK240" s="217">
        <f t="shared" si="48"/>
        <v>1000</v>
      </c>
    </row>
    <row r="241" spans="8:63" s="215" customFormat="1">
      <c r="H241" s="211"/>
      <c r="I241" s="211"/>
      <c r="J241" s="211"/>
      <c r="K241" s="211"/>
      <c r="L241" s="211"/>
      <c r="M241" s="211"/>
      <c r="BF241" s="215">
        <v>192</v>
      </c>
      <c r="BG241" s="218">
        <f t="shared" si="46"/>
        <v>1499248.1498016699</v>
      </c>
      <c r="BH241" s="215">
        <v>192</v>
      </c>
      <c r="BI241" s="219">
        <f t="shared" si="47"/>
        <v>1.12E-2</v>
      </c>
      <c r="BJ241" s="218">
        <f t="shared" si="45"/>
        <v>16791.579277778703</v>
      </c>
      <c r="BK241" s="217">
        <f t="shared" si="48"/>
        <v>1000</v>
      </c>
    </row>
    <row r="242" spans="8:63" s="215" customFormat="1">
      <c r="H242" s="211"/>
      <c r="I242" s="211"/>
      <c r="J242" s="211"/>
      <c r="K242" s="211"/>
      <c r="L242" s="211"/>
      <c r="M242" s="211"/>
      <c r="BF242" s="215">
        <v>193</v>
      </c>
      <c r="BG242" s="218">
        <f t="shared" si="46"/>
        <v>1517039.7290794486</v>
      </c>
      <c r="BH242" s="215">
        <v>193</v>
      </c>
      <c r="BI242" s="219">
        <f t="shared" si="47"/>
        <v>1.12E-2</v>
      </c>
      <c r="BJ242" s="218">
        <f t="shared" ref="BJ242:BJ305" si="49">BG242*BI242</f>
        <v>16990.844965689823</v>
      </c>
      <c r="BK242" s="217">
        <f t="shared" si="48"/>
        <v>1000</v>
      </c>
    </row>
    <row r="243" spans="8:63" s="215" customFormat="1">
      <c r="H243" s="211"/>
      <c r="I243" s="211"/>
      <c r="J243" s="211"/>
      <c r="K243" s="211"/>
      <c r="L243" s="211"/>
      <c r="M243" s="211"/>
      <c r="BF243" s="215">
        <v>194</v>
      </c>
      <c r="BG243" s="218">
        <f t="shared" ref="BG243:BG306" si="50">BG242+BJ242+BK243</f>
        <v>1535030.5740451384</v>
      </c>
      <c r="BH243" s="215">
        <v>194</v>
      </c>
      <c r="BI243" s="219">
        <f t="shared" ref="BI243:BI306" si="51">BI242</f>
        <v>1.12E-2</v>
      </c>
      <c r="BJ243" s="218">
        <f t="shared" si="49"/>
        <v>17192.34242930555</v>
      </c>
      <c r="BK243" s="217">
        <f t="shared" ref="BK243:BK306" si="52">BK242</f>
        <v>1000</v>
      </c>
    </row>
    <row r="244" spans="8:63" s="215" customFormat="1">
      <c r="H244" s="211"/>
      <c r="I244" s="211"/>
      <c r="J244" s="211"/>
      <c r="K244" s="211"/>
      <c r="L244" s="211"/>
      <c r="M244" s="211"/>
      <c r="BF244" s="215">
        <v>195</v>
      </c>
      <c r="BG244" s="218">
        <f t="shared" si="50"/>
        <v>1553222.9164744441</v>
      </c>
      <c r="BH244" s="215">
        <v>195</v>
      </c>
      <c r="BI244" s="219">
        <f t="shared" si="51"/>
        <v>1.12E-2</v>
      </c>
      <c r="BJ244" s="218">
        <f t="shared" si="49"/>
        <v>17396.096664513774</v>
      </c>
      <c r="BK244" s="217">
        <f t="shared" si="52"/>
        <v>1000</v>
      </c>
    </row>
    <row r="245" spans="8:63" s="215" customFormat="1">
      <c r="H245" s="211"/>
      <c r="I245" s="211"/>
      <c r="J245" s="211"/>
      <c r="K245" s="211"/>
      <c r="L245" s="211"/>
      <c r="M245" s="211"/>
      <c r="BF245" s="215">
        <v>196</v>
      </c>
      <c r="BG245" s="218">
        <f t="shared" si="50"/>
        <v>1571619.0131389578</v>
      </c>
      <c r="BH245" s="215">
        <v>196</v>
      </c>
      <c r="BI245" s="219">
        <f t="shared" si="51"/>
        <v>1.12E-2</v>
      </c>
      <c r="BJ245" s="218">
        <f t="shared" si="49"/>
        <v>17602.132947156326</v>
      </c>
      <c r="BK245" s="217">
        <f t="shared" si="52"/>
        <v>1000</v>
      </c>
    </row>
    <row r="246" spans="8:63" s="215" customFormat="1">
      <c r="H246" s="211"/>
      <c r="I246" s="211"/>
      <c r="J246" s="211"/>
      <c r="K246" s="211"/>
      <c r="L246" s="211"/>
      <c r="M246" s="211"/>
      <c r="BF246" s="215">
        <v>197</v>
      </c>
      <c r="BG246" s="218">
        <f t="shared" si="50"/>
        <v>1590221.1460861142</v>
      </c>
      <c r="BH246" s="215">
        <v>197</v>
      </c>
      <c r="BI246" s="219">
        <f t="shared" si="51"/>
        <v>1.12E-2</v>
      </c>
      <c r="BJ246" s="218">
        <f t="shared" si="49"/>
        <v>17810.476836164478</v>
      </c>
      <c r="BK246" s="217">
        <f t="shared" si="52"/>
        <v>1000</v>
      </c>
    </row>
    <row r="247" spans="8:63" s="215" customFormat="1">
      <c r="H247" s="211"/>
      <c r="I247" s="211"/>
      <c r="J247" s="211"/>
      <c r="K247" s="211"/>
      <c r="L247" s="211"/>
      <c r="M247" s="211"/>
      <c r="BF247" s="215">
        <v>198</v>
      </c>
      <c r="BG247" s="218">
        <f t="shared" si="50"/>
        <v>1609031.6229222787</v>
      </c>
      <c r="BH247" s="215">
        <v>198</v>
      </c>
      <c r="BI247" s="219">
        <f t="shared" si="51"/>
        <v>1.12E-2</v>
      </c>
      <c r="BJ247" s="218">
        <f t="shared" si="49"/>
        <v>18021.15417672952</v>
      </c>
      <c r="BK247" s="217">
        <f t="shared" si="52"/>
        <v>1000</v>
      </c>
    </row>
    <row r="248" spans="8:63" s="215" customFormat="1">
      <c r="H248" s="211"/>
      <c r="I248" s="211"/>
      <c r="J248" s="211"/>
      <c r="K248" s="211"/>
      <c r="L248" s="211"/>
      <c r="M248" s="211"/>
      <c r="BF248" s="215">
        <v>199</v>
      </c>
      <c r="BG248" s="218">
        <f t="shared" si="50"/>
        <v>1628052.7770990082</v>
      </c>
      <c r="BH248" s="215">
        <v>199</v>
      </c>
      <c r="BI248" s="219">
        <f t="shared" si="51"/>
        <v>1.12E-2</v>
      </c>
      <c r="BJ248" s="218">
        <f t="shared" si="49"/>
        <v>18234.191103508892</v>
      </c>
      <c r="BK248" s="217">
        <f t="shared" si="52"/>
        <v>1000</v>
      </c>
    </row>
    <row r="249" spans="8:63" s="215" customFormat="1">
      <c r="H249" s="211"/>
      <c r="I249" s="211"/>
      <c r="J249" s="211"/>
      <c r="K249" s="211"/>
      <c r="L249" s="211"/>
      <c r="M249" s="211"/>
      <c r="BF249" s="215">
        <v>200</v>
      </c>
      <c r="BG249" s="218">
        <f t="shared" si="50"/>
        <v>1647286.9682025171</v>
      </c>
      <c r="BH249" s="215">
        <v>200</v>
      </c>
      <c r="BI249" s="219">
        <f t="shared" si="51"/>
        <v>1.12E-2</v>
      </c>
      <c r="BJ249" s="218">
        <f t="shared" si="49"/>
        <v>18449.61404386819</v>
      </c>
      <c r="BK249" s="217">
        <f t="shared" si="52"/>
        <v>1000</v>
      </c>
    </row>
    <row r="250" spans="8:63" s="215" customFormat="1">
      <c r="H250" s="211"/>
      <c r="I250" s="211"/>
      <c r="J250" s="211"/>
      <c r="K250" s="211"/>
      <c r="L250" s="211"/>
      <c r="M250" s="211"/>
      <c r="BF250" s="215">
        <v>201</v>
      </c>
      <c r="BG250" s="218">
        <f t="shared" si="50"/>
        <v>1666736.5822463853</v>
      </c>
      <c r="BH250" s="215">
        <v>201</v>
      </c>
      <c r="BI250" s="219">
        <f t="shared" si="51"/>
        <v>1.12E-2</v>
      </c>
      <c r="BJ250" s="218">
        <f t="shared" si="49"/>
        <v>18667.449721159515</v>
      </c>
      <c r="BK250" s="217">
        <f t="shared" si="52"/>
        <v>1000</v>
      </c>
    </row>
    <row r="251" spans="8:63" s="215" customFormat="1">
      <c r="H251" s="211"/>
      <c r="I251" s="211"/>
      <c r="J251" s="211"/>
      <c r="K251" s="211"/>
      <c r="L251" s="211"/>
      <c r="M251" s="211"/>
      <c r="BF251" s="215">
        <v>202</v>
      </c>
      <c r="BG251" s="218">
        <f t="shared" si="50"/>
        <v>1686404.0319675447</v>
      </c>
      <c r="BH251" s="215">
        <v>202</v>
      </c>
      <c r="BI251" s="219">
        <f t="shared" si="51"/>
        <v>1.12E-2</v>
      </c>
      <c r="BJ251" s="218">
        <f t="shared" si="49"/>
        <v>18887.725158036501</v>
      </c>
      <c r="BK251" s="217">
        <f t="shared" si="52"/>
        <v>1000</v>
      </c>
    </row>
    <row r="252" spans="8:63" s="215" customFormat="1">
      <c r="H252" s="211"/>
      <c r="I252" s="211"/>
      <c r="J252" s="211"/>
      <c r="K252" s="211"/>
      <c r="L252" s="211"/>
      <c r="M252" s="211"/>
      <c r="BF252" s="215">
        <v>203</v>
      </c>
      <c r="BG252" s="218">
        <f t="shared" si="50"/>
        <v>1706291.7571255811</v>
      </c>
      <c r="BH252" s="215">
        <v>203</v>
      </c>
      <c r="BI252" s="219">
        <f t="shared" si="51"/>
        <v>1.12E-2</v>
      </c>
      <c r="BJ252" s="218">
        <f t="shared" si="49"/>
        <v>19110.467679806508</v>
      </c>
      <c r="BK252" s="217">
        <f t="shared" si="52"/>
        <v>1000</v>
      </c>
    </row>
    <row r="253" spans="8:63" s="215" customFormat="1">
      <c r="H253" s="211"/>
      <c r="I253" s="211"/>
      <c r="J253" s="211"/>
      <c r="K253" s="211"/>
      <c r="L253" s="211"/>
      <c r="M253" s="211"/>
      <c r="BF253" s="215">
        <v>204</v>
      </c>
      <c r="BG253" s="218">
        <f t="shared" si="50"/>
        <v>1726402.2248053877</v>
      </c>
      <c r="BH253" s="215">
        <v>204</v>
      </c>
      <c r="BI253" s="219">
        <f t="shared" si="51"/>
        <v>1.12E-2</v>
      </c>
      <c r="BJ253" s="218">
        <f t="shared" si="49"/>
        <v>19335.704917820342</v>
      </c>
      <c r="BK253" s="217">
        <f t="shared" si="52"/>
        <v>1000</v>
      </c>
    </row>
    <row r="254" spans="8:63" s="215" customFormat="1">
      <c r="H254" s="211"/>
      <c r="I254" s="211"/>
      <c r="J254" s="211"/>
      <c r="K254" s="211"/>
      <c r="L254" s="211"/>
      <c r="M254" s="211"/>
      <c r="BF254" s="215">
        <v>205</v>
      </c>
      <c r="BG254" s="218">
        <f t="shared" si="50"/>
        <v>1746737.9297232081</v>
      </c>
      <c r="BH254" s="215">
        <v>205</v>
      </c>
      <c r="BI254" s="219">
        <f t="shared" si="51"/>
        <v>1.12E-2</v>
      </c>
      <c r="BJ254" s="218">
        <f t="shared" si="49"/>
        <v>19563.464812899929</v>
      </c>
      <c r="BK254" s="217">
        <f t="shared" si="52"/>
        <v>1000</v>
      </c>
    </row>
    <row r="255" spans="8:63" s="215" customFormat="1">
      <c r="H255" s="211"/>
      <c r="I255" s="211"/>
      <c r="J255" s="211"/>
      <c r="K255" s="211"/>
      <c r="L255" s="211"/>
      <c r="M255" s="211"/>
      <c r="BF255" s="215">
        <v>206</v>
      </c>
      <c r="BG255" s="218">
        <f t="shared" si="50"/>
        <v>1767301.394536108</v>
      </c>
      <c r="BH255" s="215">
        <v>206</v>
      </c>
      <c r="BI255" s="219">
        <f t="shared" si="51"/>
        <v>1.12E-2</v>
      </c>
      <c r="BJ255" s="218">
        <f t="shared" si="49"/>
        <v>19793.775618804408</v>
      </c>
      <c r="BK255" s="217">
        <f t="shared" si="52"/>
        <v>1000</v>
      </c>
    </row>
    <row r="256" spans="8:63" s="215" customFormat="1">
      <c r="H256" s="211"/>
      <c r="I256" s="211"/>
      <c r="J256" s="211"/>
      <c r="K256" s="211"/>
      <c r="L256" s="211"/>
      <c r="M256" s="211"/>
      <c r="BF256" s="215">
        <v>207</v>
      </c>
      <c r="BG256" s="218">
        <f t="shared" si="50"/>
        <v>1788095.1701549124</v>
      </c>
      <c r="BH256" s="215">
        <v>207</v>
      </c>
      <c r="BI256" s="219">
        <f t="shared" si="51"/>
        <v>1.12E-2</v>
      </c>
      <c r="BJ256" s="218">
        <f t="shared" si="49"/>
        <v>20026.665905735019</v>
      </c>
      <c r="BK256" s="217">
        <f t="shared" si="52"/>
        <v>1000</v>
      </c>
    </row>
    <row r="257" spans="8:63" s="215" customFormat="1">
      <c r="H257" s="211"/>
      <c r="I257" s="211"/>
      <c r="J257" s="211"/>
      <c r="K257" s="211"/>
      <c r="L257" s="211"/>
      <c r="M257" s="211"/>
      <c r="BF257" s="215">
        <v>208</v>
      </c>
      <c r="BG257" s="218">
        <f t="shared" si="50"/>
        <v>1809121.8360606474</v>
      </c>
      <c r="BH257" s="215">
        <v>208</v>
      </c>
      <c r="BI257" s="219">
        <f t="shared" si="51"/>
        <v>1.12E-2</v>
      </c>
      <c r="BJ257" s="218">
        <f t="shared" si="49"/>
        <v>20262.164563879251</v>
      </c>
      <c r="BK257" s="217">
        <f t="shared" si="52"/>
        <v>1000</v>
      </c>
    </row>
    <row r="258" spans="8:63" s="215" customFormat="1">
      <c r="H258" s="211"/>
      <c r="I258" s="211"/>
      <c r="J258" s="211"/>
      <c r="K258" s="211"/>
      <c r="L258" s="211"/>
      <c r="M258" s="211"/>
      <c r="BF258" s="215">
        <v>209</v>
      </c>
      <c r="BG258" s="218">
        <f t="shared" si="50"/>
        <v>1830384.0006245265</v>
      </c>
      <c r="BH258" s="215">
        <v>209</v>
      </c>
      <c r="BI258" s="219">
        <f t="shared" si="51"/>
        <v>1.12E-2</v>
      </c>
      <c r="BJ258" s="218">
        <f t="shared" si="49"/>
        <v>20500.300806994695</v>
      </c>
      <c r="BK258" s="217">
        <f t="shared" si="52"/>
        <v>1000</v>
      </c>
    </row>
    <row r="259" spans="8:63" s="215" customFormat="1">
      <c r="H259" s="211"/>
      <c r="I259" s="211"/>
      <c r="J259" s="211"/>
      <c r="K259" s="211"/>
      <c r="L259" s="211"/>
      <c r="M259" s="211"/>
      <c r="BF259" s="215">
        <v>210</v>
      </c>
      <c r="BG259" s="218">
        <f t="shared" si="50"/>
        <v>1851884.3014315213</v>
      </c>
      <c r="BH259" s="215">
        <v>210</v>
      </c>
      <c r="BI259" s="219">
        <f t="shared" si="51"/>
        <v>1.12E-2</v>
      </c>
      <c r="BJ259" s="218">
        <f t="shared" si="49"/>
        <v>20741.104176033037</v>
      </c>
      <c r="BK259" s="217">
        <f t="shared" si="52"/>
        <v>1000</v>
      </c>
    </row>
    <row r="260" spans="8:63" s="215" customFormat="1">
      <c r="H260" s="211"/>
      <c r="I260" s="211"/>
      <c r="J260" s="211"/>
      <c r="K260" s="211"/>
      <c r="L260" s="211"/>
      <c r="M260" s="211"/>
      <c r="BF260" s="215">
        <v>211</v>
      </c>
      <c r="BG260" s="218">
        <f t="shared" si="50"/>
        <v>1873625.4056075544</v>
      </c>
      <c r="BH260" s="215">
        <v>211</v>
      </c>
      <c r="BI260" s="219">
        <f t="shared" si="51"/>
        <v>1.12E-2</v>
      </c>
      <c r="BJ260" s="218">
        <f t="shared" si="49"/>
        <v>20984.604542804609</v>
      </c>
      <c r="BK260" s="217">
        <f t="shared" si="52"/>
        <v>1000</v>
      </c>
    </row>
    <row r="261" spans="8:63" s="215" customFormat="1">
      <c r="H261" s="211"/>
      <c r="I261" s="211"/>
      <c r="J261" s="211"/>
      <c r="K261" s="211"/>
      <c r="L261" s="211"/>
      <c r="M261" s="211"/>
      <c r="BF261" s="215">
        <v>212</v>
      </c>
      <c r="BG261" s="218">
        <f t="shared" si="50"/>
        <v>1895610.010150359</v>
      </c>
      <c r="BH261" s="215">
        <v>212</v>
      </c>
      <c r="BI261" s="219">
        <f t="shared" si="51"/>
        <v>1.12E-2</v>
      </c>
      <c r="BJ261" s="218">
        <f t="shared" si="49"/>
        <v>21230.83211368402</v>
      </c>
      <c r="BK261" s="217">
        <f t="shared" si="52"/>
        <v>1000</v>
      </c>
    </row>
    <row r="262" spans="8:63" s="215" customFormat="1">
      <c r="H262" s="211"/>
      <c r="I262" s="211"/>
      <c r="J262" s="211"/>
      <c r="K262" s="211"/>
      <c r="L262" s="211"/>
      <c r="M262" s="211"/>
      <c r="BF262" s="215">
        <v>213</v>
      </c>
      <c r="BG262" s="218">
        <f t="shared" si="50"/>
        <v>1917840.8422640429</v>
      </c>
      <c r="BH262" s="215">
        <v>213</v>
      </c>
      <c r="BI262" s="219">
        <f t="shared" si="51"/>
        <v>1.12E-2</v>
      </c>
      <c r="BJ262" s="218">
        <f t="shared" si="49"/>
        <v>21479.817433357282</v>
      </c>
      <c r="BK262" s="217">
        <f t="shared" si="52"/>
        <v>1000</v>
      </c>
    </row>
    <row r="263" spans="8:63" s="215" customFormat="1">
      <c r="H263" s="211"/>
      <c r="I263" s="211"/>
      <c r="J263" s="211"/>
      <c r="K263" s="211"/>
      <c r="L263" s="211"/>
      <c r="M263" s="211"/>
      <c r="BF263" s="215">
        <v>214</v>
      </c>
      <c r="BG263" s="218">
        <f t="shared" si="50"/>
        <v>1940320.6596974002</v>
      </c>
      <c r="BH263" s="215">
        <v>214</v>
      </c>
      <c r="BI263" s="219">
        <f t="shared" si="51"/>
        <v>1.12E-2</v>
      </c>
      <c r="BJ263" s="218">
        <f t="shared" si="49"/>
        <v>21731.591388610883</v>
      </c>
      <c r="BK263" s="217">
        <f t="shared" si="52"/>
        <v>1000</v>
      </c>
    </row>
    <row r="264" spans="8:63" s="215" customFormat="1">
      <c r="H264" s="211"/>
      <c r="I264" s="211"/>
      <c r="J264" s="211"/>
      <c r="K264" s="211"/>
      <c r="L264" s="211"/>
      <c r="M264" s="211"/>
      <c r="BF264" s="215">
        <v>215</v>
      </c>
      <c r="BG264" s="218">
        <f t="shared" si="50"/>
        <v>1963052.2510860111</v>
      </c>
      <c r="BH264" s="215">
        <v>215</v>
      </c>
      <c r="BI264" s="219">
        <f t="shared" si="51"/>
        <v>1.12E-2</v>
      </c>
      <c r="BJ264" s="218">
        <f t="shared" si="49"/>
        <v>21986.185212163324</v>
      </c>
      <c r="BK264" s="217">
        <f t="shared" si="52"/>
        <v>1000</v>
      </c>
    </row>
    <row r="265" spans="8:63" s="215" customFormat="1">
      <c r="H265" s="211"/>
      <c r="I265" s="211"/>
      <c r="J265" s="211"/>
      <c r="K265" s="211"/>
      <c r="L265" s="211"/>
      <c r="M265" s="211"/>
      <c r="BF265" s="215">
        <v>216</v>
      </c>
      <c r="BG265" s="218">
        <f t="shared" si="50"/>
        <v>1986038.4362981743</v>
      </c>
      <c r="BH265" s="215">
        <v>216</v>
      </c>
      <c r="BI265" s="219">
        <f t="shared" si="51"/>
        <v>1.12E-2</v>
      </c>
      <c r="BJ265" s="218">
        <f t="shared" si="49"/>
        <v>22243.63048653955</v>
      </c>
      <c r="BK265" s="217">
        <f t="shared" si="52"/>
        <v>1000</v>
      </c>
    </row>
    <row r="266" spans="8:63" s="215" customFormat="1">
      <c r="H266" s="211"/>
      <c r="I266" s="211"/>
      <c r="J266" s="211"/>
      <c r="K266" s="211"/>
      <c r="L266" s="211"/>
      <c r="M266" s="211"/>
      <c r="BF266" s="215">
        <v>217</v>
      </c>
      <c r="BG266" s="218">
        <f t="shared" si="50"/>
        <v>2009282.0667847139</v>
      </c>
      <c r="BH266" s="215">
        <v>217</v>
      </c>
      <c r="BI266" s="219">
        <f t="shared" si="51"/>
        <v>1.12E-2</v>
      </c>
      <c r="BJ266" s="218">
        <f t="shared" si="49"/>
        <v>22503.959147988797</v>
      </c>
      <c r="BK266" s="217">
        <f t="shared" si="52"/>
        <v>1000</v>
      </c>
    </row>
    <row r="267" spans="8:63" s="215" customFormat="1">
      <c r="H267" s="211"/>
      <c r="I267" s="211"/>
      <c r="J267" s="211"/>
      <c r="K267" s="211"/>
      <c r="L267" s="211"/>
      <c r="M267" s="211"/>
      <c r="BF267" s="215">
        <v>218</v>
      </c>
      <c r="BG267" s="218">
        <f t="shared" si="50"/>
        <v>2032786.0259327027</v>
      </c>
      <c r="BH267" s="215">
        <v>218</v>
      </c>
      <c r="BI267" s="219">
        <f t="shared" si="51"/>
        <v>1.12E-2</v>
      </c>
      <c r="BJ267" s="218">
        <f t="shared" si="49"/>
        <v>22767.203490446271</v>
      </c>
      <c r="BK267" s="217">
        <f t="shared" si="52"/>
        <v>1000</v>
      </c>
    </row>
    <row r="268" spans="8:63" s="215" customFormat="1">
      <c r="H268" s="211"/>
      <c r="I268" s="211"/>
      <c r="J268" s="211"/>
      <c r="K268" s="211"/>
      <c r="L268" s="211"/>
      <c r="M268" s="211"/>
      <c r="BF268" s="215">
        <v>219</v>
      </c>
      <c r="BG268" s="218">
        <f t="shared" si="50"/>
        <v>2056553.229423149</v>
      </c>
      <c r="BH268" s="215">
        <v>219</v>
      </c>
      <c r="BI268" s="219">
        <f t="shared" si="51"/>
        <v>1.12E-2</v>
      </c>
      <c r="BJ268" s="218">
        <f t="shared" si="49"/>
        <v>23033.396169539268</v>
      </c>
      <c r="BK268" s="217">
        <f t="shared" si="52"/>
        <v>1000</v>
      </c>
    </row>
    <row r="269" spans="8:63" s="215" customFormat="1">
      <c r="H269" s="211"/>
      <c r="I269" s="211"/>
      <c r="J269" s="211"/>
      <c r="K269" s="211"/>
      <c r="L269" s="211"/>
      <c r="M269" s="211"/>
      <c r="BF269" s="215">
        <v>220</v>
      </c>
      <c r="BG269" s="218">
        <f t="shared" si="50"/>
        <v>2080586.6255926883</v>
      </c>
      <c r="BH269" s="215">
        <v>220</v>
      </c>
      <c r="BI269" s="219">
        <f t="shared" si="51"/>
        <v>1.12E-2</v>
      </c>
      <c r="BJ269" s="218">
        <f t="shared" si="49"/>
        <v>23302.570206638109</v>
      </c>
      <c r="BK269" s="217">
        <f t="shared" si="52"/>
        <v>1000</v>
      </c>
    </row>
    <row r="270" spans="8:63" s="215" customFormat="1">
      <c r="H270" s="211"/>
      <c r="I270" s="211"/>
      <c r="J270" s="211"/>
      <c r="K270" s="211"/>
      <c r="L270" s="211"/>
      <c r="M270" s="211"/>
      <c r="BF270" s="215">
        <v>221</v>
      </c>
      <c r="BG270" s="218">
        <f t="shared" si="50"/>
        <v>2104889.1957993265</v>
      </c>
      <c r="BH270" s="215">
        <v>221</v>
      </c>
      <c r="BI270" s="219">
        <f t="shared" si="51"/>
        <v>1.12E-2</v>
      </c>
      <c r="BJ270" s="218">
        <f t="shared" si="49"/>
        <v>23574.758992952458</v>
      </c>
      <c r="BK270" s="217">
        <f t="shared" si="52"/>
        <v>1000</v>
      </c>
    </row>
    <row r="271" spans="8:63" s="215" customFormat="1">
      <c r="H271" s="211"/>
      <c r="I271" s="211"/>
      <c r="J271" s="211"/>
      <c r="K271" s="211"/>
      <c r="L271" s="211"/>
      <c r="M271" s="211"/>
      <c r="BF271" s="215">
        <v>222</v>
      </c>
      <c r="BG271" s="218">
        <f t="shared" si="50"/>
        <v>2129463.9547922788</v>
      </c>
      <c r="BH271" s="215">
        <v>222</v>
      </c>
      <c r="BI271" s="219">
        <f t="shared" si="51"/>
        <v>1.12E-2</v>
      </c>
      <c r="BJ271" s="218">
        <f t="shared" si="49"/>
        <v>23849.996293673521</v>
      </c>
      <c r="BK271" s="217">
        <f t="shared" si="52"/>
        <v>1000</v>
      </c>
    </row>
    <row r="272" spans="8:63" s="215" customFormat="1">
      <c r="H272" s="211"/>
      <c r="I272" s="211"/>
      <c r="J272" s="211"/>
      <c r="K272" s="211"/>
      <c r="L272" s="211"/>
      <c r="M272" s="211"/>
      <c r="BF272" s="215">
        <v>223</v>
      </c>
      <c r="BG272" s="218">
        <f t="shared" si="50"/>
        <v>2154313.9510859521</v>
      </c>
      <c r="BH272" s="215">
        <v>223</v>
      </c>
      <c r="BI272" s="219">
        <f t="shared" si="51"/>
        <v>1.12E-2</v>
      </c>
      <c r="BJ272" s="218">
        <f t="shared" si="49"/>
        <v>24128.316252162662</v>
      </c>
      <c r="BK272" s="217">
        <f t="shared" si="52"/>
        <v>1000</v>
      </c>
    </row>
    <row r="273" spans="8:63" s="215" customFormat="1">
      <c r="H273" s="211"/>
      <c r="I273" s="211"/>
      <c r="J273" s="211"/>
      <c r="K273" s="211"/>
      <c r="L273" s="211"/>
      <c r="M273" s="211"/>
      <c r="BF273" s="215">
        <v>224</v>
      </c>
      <c r="BG273" s="218">
        <f t="shared" si="50"/>
        <v>2179442.2673381148</v>
      </c>
      <c r="BH273" s="215">
        <v>224</v>
      </c>
      <c r="BI273" s="219">
        <f t="shared" si="51"/>
        <v>1.12E-2</v>
      </c>
      <c r="BJ273" s="218">
        <f t="shared" si="49"/>
        <v>24409.753394186886</v>
      </c>
      <c r="BK273" s="217">
        <f t="shared" si="52"/>
        <v>1000</v>
      </c>
    </row>
    <row r="274" spans="8:63" s="215" customFormat="1">
      <c r="H274" s="211"/>
      <c r="I274" s="211"/>
      <c r="J274" s="211"/>
      <c r="K274" s="211"/>
      <c r="L274" s="211"/>
      <c r="M274" s="211"/>
      <c r="BF274" s="215">
        <v>225</v>
      </c>
      <c r="BG274" s="218">
        <f t="shared" si="50"/>
        <v>2204852.0207323018</v>
      </c>
      <c r="BH274" s="215">
        <v>225</v>
      </c>
      <c r="BI274" s="219">
        <f t="shared" si="51"/>
        <v>1.12E-2</v>
      </c>
      <c r="BJ274" s="218">
        <f t="shared" si="49"/>
        <v>24694.34263220178</v>
      </c>
      <c r="BK274" s="217">
        <f t="shared" si="52"/>
        <v>1000</v>
      </c>
    </row>
    <row r="275" spans="8:63" s="215" customFormat="1">
      <c r="H275" s="211"/>
      <c r="I275" s="211"/>
      <c r="J275" s="211"/>
      <c r="K275" s="211"/>
      <c r="L275" s="211"/>
      <c r="M275" s="211"/>
      <c r="BF275" s="215">
        <v>226</v>
      </c>
      <c r="BG275" s="218">
        <f t="shared" si="50"/>
        <v>2230546.3633645037</v>
      </c>
      <c r="BH275" s="215">
        <v>226</v>
      </c>
      <c r="BI275" s="219">
        <f t="shared" si="51"/>
        <v>1.12E-2</v>
      </c>
      <c r="BJ275" s="218">
        <f t="shared" si="49"/>
        <v>24982.11926968244</v>
      </c>
      <c r="BK275" s="217">
        <f t="shared" si="52"/>
        <v>1000</v>
      </c>
    </row>
    <row r="276" spans="8:63" s="215" customFormat="1">
      <c r="H276" s="211"/>
      <c r="I276" s="211"/>
      <c r="J276" s="211"/>
      <c r="K276" s="211"/>
      <c r="L276" s="211"/>
      <c r="M276" s="211"/>
      <c r="BF276" s="215">
        <v>227</v>
      </c>
      <c r="BG276" s="218">
        <f t="shared" si="50"/>
        <v>2256528.4826341863</v>
      </c>
      <c r="BH276" s="215">
        <v>227</v>
      </c>
      <c r="BI276" s="219">
        <f t="shared" si="51"/>
        <v>1.12E-2</v>
      </c>
      <c r="BJ276" s="218">
        <f t="shared" si="49"/>
        <v>25273.119005502886</v>
      </c>
      <c r="BK276" s="217">
        <f t="shared" si="52"/>
        <v>1000</v>
      </c>
    </row>
    <row r="277" spans="8:63" s="215" customFormat="1">
      <c r="H277" s="211"/>
      <c r="I277" s="211"/>
      <c r="J277" s="211"/>
      <c r="K277" s="211"/>
      <c r="L277" s="211"/>
      <c r="M277" s="211"/>
      <c r="BF277" s="215">
        <v>228</v>
      </c>
      <c r="BG277" s="218">
        <f t="shared" si="50"/>
        <v>2282801.6016396889</v>
      </c>
      <c r="BH277" s="215">
        <v>228</v>
      </c>
      <c r="BI277" s="219">
        <f t="shared" si="51"/>
        <v>1.12E-2</v>
      </c>
      <c r="BJ277" s="218">
        <f t="shared" si="49"/>
        <v>25567.377938364516</v>
      </c>
      <c r="BK277" s="217">
        <f t="shared" si="52"/>
        <v>1000</v>
      </c>
    </row>
    <row r="278" spans="8:63" s="215" customFormat="1">
      <c r="H278" s="211"/>
      <c r="I278" s="211"/>
      <c r="J278" s="211"/>
      <c r="K278" s="211"/>
      <c r="L278" s="211"/>
      <c r="M278" s="211"/>
      <c r="BF278" s="215">
        <v>229</v>
      </c>
      <c r="BG278" s="218">
        <f t="shared" si="50"/>
        <v>2309368.9795780536</v>
      </c>
      <c r="BH278" s="215">
        <v>229</v>
      </c>
      <c r="BI278" s="219">
        <f t="shared" si="51"/>
        <v>1.12E-2</v>
      </c>
      <c r="BJ278" s="218">
        <f t="shared" si="49"/>
        <v>25864.932571274199</v>
      </c>
      <c r="BK278" s="217">
        <f t="shared" si="52"/>
        <v>1000</v>
      </c>
    </row>
    <row r="279" spans="8:63" s="215" customFormat="1">
      <c r="H279" s="211"/>
      <c r="I279" s="211"/>
      <c r="J279" s="211"/>
      <c r="K279" s="211"/>
      <c r="L279" s="211"/>
      <c r="M279" s="211"/>
      <c r="BF279" s="215">
        <v>230</v>
      </c>
      <c r="BG279" s="218">
        <f t="shared" si="50"/>
        <v>2336233.9121493278</v>
      </c>
      <c r="BH279" s="215">
        <v>230</v>
      </c>
      <c r="BI279" s="219">
        <f t="shared" si="51"/>
        <v>1.12E-2</v>
      </c>
      <c r="BJ279" s="218">
        <f t="shared" si="49"/>
        <v>26165.819816072471</v>
      </c>
      <c r="BK279" s="217">
        <f t="shared" si="52"/>
        <v>1000</v>
      </c>
    </row>
    <row r="280" spans="8:63" s="215" customFormat="1">
      <c r="H280" s="211"/>
      <c r="I280" s="211"/>
      <c r="J280" s="211"/>
      <c r="K280" s="211"/>
      <c r="L280" s="211"/>
      <c r="M280" s="211"/>
      <c r="BF280" s="215">
        <v>231</v>
      </c>
      <c r="BG280" s="218">
        <f t="shared" si="50"/>
        <v>2363399.7319654003</v>
      </c>
      <c r="BH280" s="215">
        <v>231</v>
      </c>
      <c r="BI280" s="219">
        <f t="shared" si="51"/>
        <v>1.12E-2</v>
      </c>
      <c r="BJ280" s="218">
        <f t="shared" si="49"/>
        <v>26470.076998012482</v>
      </c>
      <c r="BK280" s="217">
        <f t="shared" si="52"/>
        <v>1000</v>
      </c>
    </row>
    <row r="281" spans="8:63" s="215" customFormat="1">
      <c r="H281" s="211"/>
      <c r="I281" s="211"/>
      <c r="J281" s="211"/>
      <c r="K281" s="211"/>
      <c r="L281" s="211"/>
      <c r="M281" s="211"/>
      <c r="BF281" s="215">
        <v>232</v>
      </c>
      <c r="BG281" s="218">
        <f t="shared" si="50"/>
        <v>2390869.8089634129</v>
      </c>
      <c r="BH281" s="215">
        <v>232</v>
      </c>
      <c r="BI281" s="219">
        <f t="shared" si="51"/>
        <v>1.12E-2</v>
      </c>
      <c r="BJ281" s="218">
        <f t="shared" si="49"/>
        <v>26777.741860390222</v>
      </c>
      <c r="BK281" s="217">
        <f t="shared" si="52"/>
        <v>1000</v>
      </c>
    </row>
    <row r="282" spans="8:63" s="215" customFormat="1">
      <c r="H282" s="211"/>
      <c r="I282" s="211"/>
      <c r="J282" s="211"/>
      <c r="K282" s="211"/>
      <c r="L282" s="211"/>
      <c r="M282" s="211"/>
      <c r="BF282" s="215">
        <v>233</v>
      </c>
      <c r="BG282" s="218">
        <f t="shared" si="50"/>
        <v>2418647.5508238031</v>
      </c>
      <c r="BH282" s="215">
        <v>233</v>
      </c>
      <c r="BI282" s="219">
        <f t="shared" si="51"/>
        <v>1.12E-2</v>
      </c>
      <c r="BJ282" s="218">
        <f t="shared" si="49"/>
        <v>27088.852569226594</v>
      </c>
      <c r="BK282" s="217">
        <f t="shared" si="52"/>
        <v>1000</v>
      </c>
    </row>
    <row r="283" spans="8:63" s="215" customFormat="1">
      <c r="H283" s="211"/>
      <c r="I283" s="211"/>
      <c r="J283" s="211"/>
      <c r="K283" s="211"/>
      <c r="L283" s="211"/>
      <c r="M283" s="211"/>
      <c r="BF283" s="215">
        <v>234</v>
      </c>
      <c r="BG283" s="218">
        <f t="shared" si="50"/>
        <v>2446736.4033930297</v>
      </c>
      <c r="BH283" s="215">
        <v>234</v>
      </c>
      <c r="BI283" s="219">
        <f t="shared" si="51"/>
        <v>1.12E-2</v>
      </c>
      <c r="BJ283" s="218">
        <f t="shared" si="49"/>
        <v>27403.447718001931</v>
      </c>
      <c r="BK283" s="217">
        <f t="shared" si="52"/>
        <v>1000</v>
      </c>
    </row>
    <row r="284" spans="8:63" s="215" customFormat="1">
      <c r="H284" s="211"/>
      <c r="I284" s="211"/>
      <c r="J284" s="211"/>
      <c r="K284" s="211"/>
      <c r="L284" s="211"/>
      <c r="M284" s="211"/>
      <c r="BF284" s="215">
        <v>235</v>
      </c>
      <c r="BG284" s="218">
        <f t="shared" si="50"/>
        <v>2475139.8511110316</v>
      </c>
      <c r="BH284" s="215">
        <v>235</v>
      </c>
      <c r="BI284" s="219">
        <f t="shared" si="51"/>
        <v>1.12E-2</v>
      </c>
      <c r="BJ284" s="218">
        <f t="shared" si="49"/>
        <v>27721.566332443555</v>
      </c>
      <c r="BK284" s="217">
        <f t="shared" si="52"/>
        <v>1000</v>
      </c>
    </row>
    <row r="285" spans="8:63" s="215" customFormat="1">
      <c r="H285" s="211"/>
      <c r="I285" s="211"/>
      <c r="J285" s="211"/>
      <c r="K285" s="211"/>
      <c r="L285" s="211"/>
      <c r="M285" s="211"/>
      <c r="BF285" s="215">
        <v>236</v>
      </c>
      <c r="BG285" s="218">
        <f t="shared" si="50"/>
        <v>2503861.4174434752</v>
      </c>
      <c r="BH285" s="215">
        <v>236</v>
      </c>
      <c r="BI285" s="219">
        <f t="shared" si="51"/>
        <v>1.12E-2</v>
      </c>
      <c r="BJ285" s="218">
        <f t="shared" si="49"/>
        <v>28043.247875366924</v>
      </c>
      <c r="BK285" s="217">
        <f t="shared" si="52"/>
        <v>1000</v>
      </c>
    </row>
    <row r="286" spans="8:63" s="215" customFormat="1">
      <c r="H286" s="211"/>
      <c r="I286" s="211"/>
      <c r="J286" s="211"/>
      <c r="K286" s="211"/>
      <c r="L286" s="211"/>
      <c r="M286" s="211"/>
      <c r="BF286" s="215">
        <v>237</v>
      </c>
      <c r="BG286" s="218">
        <f t="shared" si="50"/>
        <v>2532904.665318842</v>
      </c>
      <c r="BH286" s="215">
        <v>237</v>
      </c>
      <c r="BI286" s="219">
        <f t="shared" si="51"/>
        <v>1.12E-2</v>
      </c>
      <c r="BJ286" s="218">
        <f t="shared" si="49"/>
        <v>28368.532251571032</v>
      </c>
      <c r="BK286" s="217">
        <f t="shared" si="52"/>
        <v>1000</v>
      </c>
    </row>
    <row r="287" spans="8:63" s="215" customFormat="1">
      <c r="H287" s="211"/>
      <c r="I287" s="211"/>
      <c r="J287" s="211"/>
      <c r="K287" s="211"/>
      <c r="L287" s="211"/>
      <c r="M287" s="211"/>
      <c r="BF287" s="215">
        <v>238</v>
      </c>
      <c r="BG287" s="218">
        <f t="shared" si="50"/>
        <v>2562273.1975704129</v>
      </c>
      <c r="BH287" s="215">
        <v>238</v>
      </c>
      <c r="BI287" s="219">
        <f t="shared" si="51"/>
        <v>1.12E-2</v>
      </c>
      <c r="BJ287" s="218">
        <f t="shared" si="49"/>
        <v>28697.459812788624</v>
      </c>
      <c r="BK287" s="217">
        <f t="shared" si="52"/>
        <v>1000</v>
      </c>
    </row>
    <row r="288" spans="8:63" s="215" customFormat="1">
      <c r="H288" s="211"/>
      <c r="I288" s="211"/>
      <c r="J288" s="211"/>
      <c r="K288" s="211"/>
      <c r="L288" s="211"/>
      <c r="M288" s="211"/>
      <c r="BF288" s="215">
        <v>239</v>
      </c>
      <c r="BG288" s="218">
        <f t="shared" si="50"/>
        <v>2591970.6573832016</v>
      </c>
      <c r="BH288" s="215">
        <v>239</v>
      </c>
      <c r="BI288" s="219">
        <f t="shared" si="51"/>
        <v>1.12E-2</v>
      </c>
      <c r="BJ288" s="218">
        <f t="shared" si="49"/>
        <v>29030.071362691859</v>
      </c>
      <c r="BK288" s="217">
        <f t="shared" si="52"/>
        <v>1000</v>
      </c>
    </row>
    <row r="289" spans="8:63" s="215" customFormat="1">
      <c r="H289" s="211"/>
      <c r="I289" s="211"/>
      <c r="J289" s="211"/>
      <c r="K289" s="211"/>
      <c r="L289" s="211"/>
      <c r="M289" s="211"/>
      <c r="BF289" s="215">
        <v>240</v>
      </c>
      <c r="BG289" s="218">
        <f t="shared" si="50"/>
        <v>2622000.7287458936</v>
      </c>
      <c r="BH289" s="215">
        <v>240</v>
      </c>
      <c r="BI289" s="219">
        <f t="shared" si="51"/>
        <v>1.12E-2</v>
      </c>
      <c r="BJ289" s="218">
        <f t="shared" si="49"/>
        <v>29366.408161954008</v>
      </c>
      <c r="BK289" s="217">
        <f t="shared" si="52"/>
        <v>1000</v>
      </c>
    </row>
    <row r="290" spans="8:63" s="215" customFormat="1">
      <c r="H290" s="211"/>
      <c r="I290" s="211"/>
      <c r="J290" s="211"/>
      <c r="K290" s="211"/>
      <c r="L290" s="211"/>
      <c r="M290" s="211"/>
      <c r="BF290" s="215">
        <v>241</v>
      </c>
      <c r="BG290" s="218">
        <f t="shared" si="50"/>
        <v>2652367.1369078476</v>
      </c>
      <c r="BH290" s="215">
        <v>241</v>
      </c>
      <c r="BI290" s="219">
        <f t="shared" si="51"/>
        <v>1.12E-2</v>
      </c>
      <c r="BJ290" s="218">
        <f t="shared" si="49"/>
        <v>29706.511933367892</v>
      </c>
      <c r="BK290" s="217">
        <f t="shared" si="52"/>
        <v>1000</v>
      </c>
    </row>
    <row r="291" spans="8:63" s="215" customFormat="1">
      <c r="H291" s="211"/>
      <c r="I291" s="211"/>
      <c r="J291" s="211"/>
      <c r="K291" s="211"/>
      <c r="L291" s="211"/>
      <c r="M291" s="211"/>
      <c r="BF291" s="215">
        <v>242</v>
      </c>
      <c r="BG291" s="218">
        <f t="shared" si="50"/>
        <v>2683073.6488412153</v>
      </c>
      <c r="BH291" s="215">
        <v>242</v>
      </c>
      <c r="BI291" s="219">
        <f t="shared" si="51"/>
        <v>1.12E-2</v>
      </c>
      <c r="BJ291" s="218">
        <f t="shared" si="49"/>
        <v>30050.424867021611</v>
      </c>
      <c r="BK291" s="217">
        <f t="shared" si="52"/>
        <v>1000</v>
      </c>
    </row>
    <row r="292" spans="8:63" s="215" customFormat="1">
      <c r="H292" s="211"/>
      <c r="I292" s="211"/>
      <c r="J292" s="211"/>
      <c r="K292" s="211"/>
      <c r="L292" s="211"/>
      <c r="M292" s="211"/>
      <c r="BF292" s="215">
        <v>243</v>
      </c>
      <c r="BG292" s="218">
        <f t="shared" si="50"/>
        <v>2714124.0737082367</v>
      </c>
      <c r="BH292" s="215">
        <v>243</v>
      </c>
      <c r="BI292" s="219">
        <f t="shared" si="51"/>
        <v>1.12E-2</v>
      </c>
      <c r="BJ292" s="218">
        <f t="shared" si="49"/>
        <v>30398.18962553225</v>
      </c>
      <c r="BK292" s="217">
        <f t="shared" si="52"/>
        <v>1000</v>
      </c>
    </row>
    <row r="293" spans="8:63" s="215" customFormat="1">
      <c r="H293" s="211"/>
      <c r="I293" s="211"/>
      <c r="J293" s="211"/>
      <c r="K293" s="211"/>
      <c r="L293" s="211"/>
      <c r="M293" s="211"/>
      <c r="BF293" s="215">
        <v>244</v>
      </c>
      <c r="BG293" s="218">
        <f t="shared" si="50"/>
        <v>2745522.263333769</v>
      </c>
      <c r="BH293" s="215">
        <v>244</v>
      </c>
      <c r="BI293" s="219">
        <f t="shared" si="51"/>
        <v>1.12E-2</v>
      </c>
      <c r="BJ293" s="218">
        <f t="shared" si="49"/>
        <v>30749.849349338212</v>
      </c>
      <c r="BK293" s="217">
        <f t="shared" si="52"/>
        <v>1000</v>
      </c>
    </row>
    <row r="294" spans="8:63" s="215" customFormat="1">
      <c r="H294" s="211"/>
      <c r="I294" s="211"/>
      <c r="J294" s="211"/>
      <c r="K294" s="211"/>
      <c r="L294" s="211"/>
      <c r="M294" s="211"/>
      <c r="BF294" s="215">
        <v>245</v>
      </c>
      <c r="BG294" s="218">
        <f t="shared" si="50"/>
        <v>2777272.1126831071</v>
      </c>
      <c r="BH294" s="215">
        <v>245</v>
      </c>
      <c r="BI294" s="219">
        <f t="shared" si="51"/>
        <v>1.12E-2</v>
      </c>
      <c r="BJ294" s="218">
        <f t="shared" si="49"/>
        <v>31105.447662050799</v>
      </c>
      <c r="BK294" s="217">
        <f t="shared" si="52"/>
        <v>1000</v>
      </c>
    </row>
    <row r="295" spans="8:63" s="215" customFormat="1">
      <c r="H295" s="211"/>
      <c r="I295" s="211"/>
      <c r="J295" s="211"/>
      <c r="K295" s="211"/>
      <c r="L295" s="211"/>
      <c r="M295" s="211"/>
      <c r="BF295" s="215">
        <v>246</v>
      </c>
      <c r="BG295" s="218">
        <f t="shared" si="50"/>
        <v>2809377.560345158</v>
      </c>
      <c r="BH295" s="215">
        <v>246</v>
      </c>
      <c r="BI295" s="219">
        <f t="shared" si="51"/>
        <v>1.12E-2</v>
      </c>
      <c r="BJ295" s="218">
        <f t="shared" si="49"/>
        <v>31465.028675865768</v>
      </c>
      <c r="BK295" s="217">
        <f t="shared" si="52"/>
        <v>1000</v>
      </c>
    </row>
    <row r="296" spans="8:63" s="215" customFormat="1">
      <c r="H296" s="211"/>
      <c r="I296" s="211"/>
      <c r="J296" s="211"/>
      <c r="K296" s="211"/>
      <c r="L296" s="211"/>
      <c r="M296" s="211"/>
      <c r="BF296" s="215">
        <v>247</v>
      </c>
      <c r="BG296" s="218">
        <f t="shared" si="50"/>
        <v>2841842.5890210238</v>
      </c>
      <c r="BH296" s="215">
        <v>247</v>
      </c>
      <c r="BI296" s="219">
        <f t="shared" si="51"/>
        <v>1.12E-2</v>
      </c>
      <c r="BJ296" s="218">
        <f t="shared" si="49"/>
        <v>31828.636997035468</v>
      </c>
      <c r="BK296" s="217">
        <f t="shared" si="52"/>
        <v>1000</v>
      </c>
    </row>
    <row r="297" spans="8:63" s="215" customFormat="1">
      <c r="H297" s="211"/>
      <c r="I297" s="211"/>
      <c r="J297" s="211"/>
      <c r="K297" s="211"/>
      <c r="L297" s="211"/>
      <c r="M297" s="211"/>
      <c r="BF297" s="215">
        <v>248</v>
      </c>
      <c r="BG297" s="218">
        <f t="shared" si="50"/>
        <v>2874671.2260180591</v>
      </c>
      <c r="BH297" s="215">
        <v>248</v>
      </c>
      <c r="BI297" s="219">
        <f t="shared" si="51"/>
        <v>1.12E-2</v>
      </c>
      <c r="BJ297" s="218">
        <f t="shared" si="49"/>
        <v>32196.317731402261</v>
      </c>
      <c r="BK297" s="217">
        <f t="shared" si="52"/>
        <v>1000</v>
      </c>
    </row>
    <row r="298" spans="8:63" s="215" customFormat="1">
      <c r="H298" s="211"/>
      <c r="I298" s="211"/>
      <c r="J298" s="211"/>
      <c r="K298" s="211"/>
      <c r="L298" s="211"/>
      <c r="M298" s="211"/>
      <c r="BF298" s="215">
        <v>249</v>
      </c>
      <c r="BG298" s="218">
        <f t="shared" si="50"/>
        <v>2907867.5437494614</v>
      </c>
      <c r="BH298" s="215">
        <v>249</v>
      </c>
      <c r="BI298" s="219">
        <f t="shared" si="51"/>
        <v>1.12E-2</v>
      </c>
      <c r="BJ298" s="218">
        <f t="shared" si="49"/>
        <v>32568.116489993969</v>
      </c>
      <c r="BK298" s="217">
        <f t="shared" si="52"/>
        <v>1000</v>
      </c>
    </row>
    <row r="299" spans="8:63" s="215" customFormat="1">
      <c r="H299" s="211"/>
      <c r="I299" s="211"/>
      <c r="J299" s="211"/>
      <c r="K299" s="211"/>
      <c r="L299" s="211"/>
      <c r="M299" s="211"/>
      <c r="BF299" s="215">
        <v>250</v>
      </c>
      <c r="BG299" s="218">
        <f t="shared" si="50"/>
        <v>2941435.6602394553</v>
      </c>
      <c r="BH299" s="215">
        <v>250</v>
      </c>
      <c r="BI299" s="219">
        <f t="shared" si="51"/>
        <v>1.12E-2</v>
      </c>
      <c r="BJ299" s="218">
        <f t="shared" si="49"/>
        <v>32944.079394681896</v>
      </c>
      <c r="BK299" s="217">
        <f t="shared" si="52"/>
        <v>1000</v>
      </c>
    </row>
    <row r="300" spans="8:63" s="215" customFormat="1">
      <c r="H300" s="211"/>
      <c r="I300" s="211"/>
      <c r="J300" s="211"/>
      <c r="K300" s="211"/>
      <c r="L300" s="211"/>
      <c r="M300" s="211"/>
      <c r="BF300" s="215">
        <v>251</v>
      </c>
      <c r="BG300" s="218">
        <f t="shared" si="50"/>
        <v>2975379.7396341371</v>
      </c>
      <c r="BH300" s="215">
        <v>251</v>
      </c>
      <c r="BI300" s="219">
        <f t="shared" si="51"/>
        <v>1.12E-2</v>
      </c>
      <c r="BJ300" s="218">
        <f t="shared" si="49"/>
        <v>33324.253083902338</v>
      </c>
      <c r="BK300" s="217">
        <f t="shared" si="52"/>
        <v>1000</v>
      </c>
    </row>
    <row r="301" spans="8:63" s="215" customFormat="1">
      <c r="H301" s="211"/>
      <c r="I301" s="211"/>
      <c r="J301" s="211"/>
      <c r="K301" s="211"/>
      <c r="L301" s="211"/>
      <c r="M301" s="211"/>
      <c r="BF301" s="215">
        <v>252</v>
      </c>
      <c r="BG301" s="218">
        <f t="shared" si="50"/>
        <v>3009703.9927180395</v>
      </c>
      <c r="BH301" s="215">
        <v>252</v>
      </c>
      <c r="BI301" s="219">
        <f t="shared" si="51"/>
        <v>1.12E-2</v>
      </c>
      <c r="BJ301" s="218">
        <f t="shared" si="49"/>
        <v>33708.68471844204</v>
      </c>
      <c r="BK301" s="217">
        <f t="shared" si="52"/>
        <v>1000</v>
      </c>
    </row>
    <row r="302" spans="8:63" s="215" customFormat="1">
      <c r="H302" s="211"/>
      <c r="I302" s="211"/>
      <c r="J302" s="211"/>
      <c r="K302" s="211"/>
      <c r="L302" s="211"/>
      <c r="M302" s="211"/>
      <c r="BF302" s="215">
        <v>253</v>
      </c>
      <c r="BG302" s="218">
        <f t="shared" si="50"/>
        <v>3044412.6774364817</v>
      </c>
      <c r="BH302" s="215">
        <v>253</v>
      </c>
      <c r="BI302" s="219">
        <f t="shared" si="51"/>
        <v>1.12E-2</v>
      </c>
      <c r="BJ302" s="218">
        <f t="shared" si="49"/>
        <v>34097.421987288595</v>
      </c>
      <c r="BK302" s="217">
        <f t="shared" si="52"/>
        <v>1000</v>
      </c>
    </row>
    <row r="303" spans="8:63" s="215" customFormat="1">
      <c r="H303" s="211"/>
      <c r="I303" s="211"/>
      <c r="J303" s="211"/>
      <c r="K303" s="211"/>
      <c r="L303" s="211"/>
      <c r="M303" s="211"/>
      <c r="BF303" s="215">
        <v>254</v>
      </c>
      <c r="BG303" s="218">
        <f t="shared" si="50"/>
        <v>3079510.0994237703</v>
      </c>
      <c r="BH303" s="215">
        <v>254</v>
      </c>
      <c r="BI303" s="219">
        <f t="shared" si="51"/>
        <v>1.12E-2</v>
      </c>
      <c r="BJ303" s="218">
        <f t="shared" si="49"/>
        <v>34490.513113546229</v>
      </c>
      <c r="BK303" s="217">
        <f t="shared" si="52"/>
        <v>1000</v>
      </c>
    </row>
    <row r="304" spans="8:63" s="215" customFormat="1">
      <c r="H304" s="211"/>
      <c r="I304" s="211"/>
      <c r="J304" s="211"/>
      <c r="K304" s="211"/>
      <c r="L304" s="211"/>
      <c r="M304" s="211"/>
      <c r="BF304" s="215">
        <v>255</v>
      </c>
      <c r="BG304" s="218">
        <f t="shared" si="50"/>
        <v>3115000.6125373165</v>
      </c>
      <c r="BH304" s="215">
        <v>255</v>
      </c>
      <c r="BI304" s="219">
        <f t="shared" si="51"/>
        <v>1.12E-2</v>
      </c>
      <c r="BJ304" s="218">
        <f t="shared" si="49"/>
        <v>34888.006860417947</v>
      </c>
      <c r="BK304" s="217">
        <f t="shared" si="52"/>
        <v>1000</v>
      </c>
    </row>
    <row r="305" spans="8:63" s="215" customFormat="1">
      <c r="H305" s="211"/>
      <c r="I305" s="211"/>
      <c r="J305" s="211"/>
      <c r="K305" s="211"/>
      <c r="L305" s="211"/>
      <c r="M305" s="211"/>
      <c r="BF305" s="215">
        <v>256</v>
      </c>
      <c r="BG305" s="218">
        <f t="shared" si="50"/>
        <v>3150888.6193977343</v>
      </c>
      <c r="BH305" s="215">
        <v>256</v>
      </c>
      <c r="BI305" s="219">
        <f t="shared" si="51"/>
        <v>1.12E-2</v>
      </c>
      <c r="BJ305" s="218">
        <f t="shared" si="49"/>
        <v>35289.952537254627</v>
      </c>
      <c r="BK305" s="217">
        <f t="shared" si="52"/>
        <v>1000</v>
      </c>
    </row>
    <row r="306" spans="8:63" s="215" customFormat="1">
      <c r="H306" s="211"/>
      <c r="I306" s="211"/>
      <c r="J306" s="211"/>
      <c r="K306" s="211"/>
      <c r="L306" s="211"/>
      <c r="M306" s="211"/>
      <c r="BF306" s="215">
        <v>257</v>
      </c>
      <c r="BG306" s="218">
        <f t="shared" si="50"/>
        <v>3187178.5719349887</v>
      </c>
      <c r="BH306" s="215">
        <v>257</v>
      </c>
      <c r="BI306" s="219">
        <f t="shared" si="51"/>
        <v>1.12E-2</v>
      </c>
      <c r="BJ306" s="218">
        <f t="shared" ref="BJ306:BJ369" si="53">BG306*BI306</f>
        <v>35696.400005671872</v>
      </c>
      <c r="BK306" s="217">
        <f t="shared" si="52"/>
        <v>1000</v>
      </c>
    </row>
    <row r="307" spans="8:63" s="215" customFormat="1">
      <c r="H307" s="211"/>
      <c r="I307" s="211"/>
      <c r="J307" s="211"/>
      <c r="K307" s="211"/>
      <c r="L307" s="211"/>
      <c r="M307" s="211"/>
      <c r="BF307" s="215">
        <v>258</v>
      </c>
      <c r="BG307" s="218">
        <f t="shared" ref="BG307:BG370" si="54">BG306+BJ306+BK307</f>
        <v>3223874.9719406604</v>
      </c>
      <c r="BH307" s="215">
        <v>258</v>
      </c>
      <c r="BI307" s="219">
        <f t="shared" ref="BI307:BI370" si="55">BI306</f>
        <v>1.12E-2</v>
      </c>
      <c r="BJ307" s="218">
        <f t="shared" si="53"/>
        <v>36107.3996857354</v>
      </c>
      <c r="BK307" s="217">
        <f t="shared" ref="BK307:BK370" si="56">BK306</f>
        <v>1000</v>
      </c>
    </row>
    <row r="308" spans="8:63" s="215" customFormat="1">
      <c r="H308" s="211"/>
      <c r="I308" s="211"/>
      <c r="J308" s="211"/>
      <c r="K308" s="211"/>
      <c r="L308" s="211"/>
      <c r="M308" s="211"/>
      <c r="BF308" s="215">
        <v>259</v>
      </c>
      <c r="BG308" s="218">
        <f t="shared" si="54"/>
        <v>3260982.3716263957</v>
      </c>
      <c r="BH308" s="215">
        <v>259</v>
      </c>
      <c r="BI308" s="219">
        <f t="shared" si="55"/>
        <v>1.12E-2</v>
      </c>
      <c r="BJ308" s="218">
        <f t="shared" si="53"/>
        <v>36523.002562215632</v>
      </c>
      <c r="BK308" s="217">
        <f t="shared" si="56"/>
        <v>1000</v>
      </c>
    </row>
    <row r="309" spans="8:63" s="215" customFormat="1">
      <c r="H309" s="211"/>
      <c r="I309" s="211"/>
      <c r="J309" s="211"/>
      <c r="K309" s="211"/>
      <c r="L309" s="211"/>
      <c r="M309" s="211"/>
      <c r="BF309" s="215">
        <v>260</v>
      </c>
      <c r="BG309" s="218">
        <f t="shared" si="54"/>
        <v>3298505.3741886113</v>
      </c>
      <c r="BH309" s="215">
        <v>260</v>
      </c>
      <c r="BI309" s="219">
        <f t="shared" si="55"/>
        <v>1.12E-2</v>
      </c>
      <c r="BJ309" s="218">
        <f t="shared" si="53"/>
        <v>36943.26019091245</v>
      </c>
      <c r="BK309" s="217">
        <f t="shared" si="56"/>
        <v>1000</v>
      </c>
    </row>
    <row r="310" spans="8:63" s="215" customFormat="1">
      <c r="H310" s="211"/>
      <c r="I310" s="211"/>
      <c r="J310" s="211"/>
      <c r="K310" s="211"/>
      <c r="L310" s="211"/>
      <c r="M310" s="211"/>
      <c r="BF310" s="215">
        <v>261</v>
      </c>
      <c r="BG310" s="218">
        <f t="shared" si="54"/>
        <v>3336448.6343795238</v>
      </c>
      <c r="BH310" s="215">
        <v>261</v>
      </c>
      <c r="BI310" s="219">
        <f t="shared" si="55"/>
        <v>1.12E-2</v>
      </c>
      <c r="BJ310" s="218">
        <f t="shared" si="53"/>
        <v>37368.224705050663</v>
      </c>
      <c r="BK310" s="217">
        <f t="shared" si="56"/>
        <v>1000</v>
      </c>
    </row>
    <row r="311" spans="8:63" s="215" customFormat="1">
      <c r="H311" s="211"/>
      <c r="I311" s="211"/>
      <c r="J311" s="211"/>
      <c r="K311" s="211"/>
      <c r="L311" s="211"/>
      <c r="M311" s="211"/>
      <c r="BF311" s="215">
        <v>262</v>
      </c>
      <c r="BG311" s="218">
        <f t="shared" si="54"/>
        <v>3374816.8590845745</v>
      </c>
      <c r="BH311" s="215">
        <v>262</v>
      </c>
      <c r="BI311" s="219">
        <f t="shared" si="55"/>
        <v>1.12E-2</v>
      </c>
      <c r="BJ311" s="218">
        <f t="shared" si="53"/>
        <v>37797.948821747232</v>
      </c>
      <c r="BK311" s="217">
        <f t="shared" si="56"/>
        <v>1000</v>
      </c>
    </row>
    <row r="312" spans="8:63" s="215" customFormat="1">
      <c r="H312" s="211"/>
      <c r="I312" s="211"/>
      <c r="J312" s="211"/>
      <c r="K312" s="211"/>
      <c r="L312" s="211"/>
      <c r="M312" s="211"/>
      <c r="BF312" s="215">
        <v>263</v>
      </c>
      <c r="BG312" s="218">
        <f t="shared" si="54"/>
        <v>3413614.8079063217</v>
      </c>
      <c r="BH312" s="215">
        <v>263</v>
      </c>
      <c r="BI312" s="219">
        <f t="shared" si="55"/>
        <v>1.12E-2</v>
      </c>
      <c r="BJ312" s="218">
        <f t="shared" si="53"/>
        <v>38232.485848550801</v>
      </c>
      <c r="BK312" s="217">
        <f t="shared" si="56"/>
        <v>1000</v>
      </c>
    </row>
    <row r="313" spans="8:63" s="215" customFormat="1">
      <c r="H313" s="211"/>
      <c r="I313" s="211"/>
      <c r="J313" s="211"/>
      <c r="K313" s="211"/>
      <c r="L313" s="211"/>
      <c r="M313" s="211"/>
      <c r="BF313" s="215">
        <v>264</v>
      </c>
      <c r="BG313" s="218">
        <f t="shared" si="54"/>
        <v>3452847.2937548724</v>
      </c>
      <c r="BH313" s="215">
        <v>264</v>
      </c>
      <c r="BI313" s="219">
        <f t="shared" si="55"/>
        <v>1.12E-2</v>
      </c>
      <c r="BJ313" s="218">
        <f t="shared" si="53"/>
        <v>38671.889690054573</v>
      </c>
      <c r="BK313" s="217">
        <f t="shared" si="56"/>
        <v>1000</v>
      </c>
    </row>
    <row r="314" spans="8:63" s="215" customFormat="1">
      <c r="H314" s="211"/>
      <c r="I314" s="211"/>
      <c r="J314" s="211"/>
      <c r="K314" s="211"/>
      <c r="L314" s="211"/>
      <c r="M314" s="211"/>
      <c r="BF314" s="215">
        <v>265</v>
      </c>
      <c r="BG314" s="218">
        <f t="shared" si="54"/>
        <v>3492519.183444927</v>
      </c>
      <c r="BH314" s="215">
        <v>265</v>
      </c>
      <c r="BI314" s="219">
        <f t="shared" si="55"/>
        <v>1.12E-2</v>
      </c>
      <c r="BJ314" s="218">
        <f t="shared" si="53"/>
        <v>39116.214854583181</v>
      </c>
      <c r="BK314" s="217">
        <f t="shared" si="56"/>
        <v>1000</v>
      </c>
    </row>
    <row r="315" spans="8:63" s="215" customFormat="1">
      <c r="H315" s="211"/>
      <c r="I315" s="211"/>
      <c r="J315" s="211"/>
      <c r="K315" s="211"/>
      <c r="L315" s="211"/>
      <c r="M315" s="211"/>
      <c r="BF315" s="215">
        <v>266</v>
      </c>
      <c r="BG315" s="218">
        <f t="shared" si="54"/>
        <v>3532635.3982995101</v>
      </c>
      <c r="BH315" s="215">
        <v>266</v>
      </c>
      <c r="BI315" s="219">
        <f t="shared" si="55"/>
        <v>1.12E-2</v>
      </c>
      <c r="BJ315" s="218">
        <f t="shared" si="53"/>
        <v>39565.51646095451</v>
      </c>
      <c r="BK315" s="217">
        <f t="shared" si="56"/>
        <v>1000</v>
      </c>
    </row>
    <row r="316" spans="8:63" s="215" customFormat="1">
      <c r="H316" s="211"/>
      <c r="I316" s="211"/>
      <c r="J316" s="211"/>
      <c r="K316" s="211"/>
      <c r="L316" s="211"/>
      <c r="M316" s="211"/>
      <c r="BF316" s="215">
        <v>267</v>
      </c>
      <c r="BG316" s="218">
        <f t="shared" si="54"/>
        <v>3573200.9147604648</v>
      </c>
      <c r="BH316" s="215">
        <v>267</v>
      </c>
      <c r="BI316" s="219">
        <f t="shared" si="55"/>
        <v>1.12E-2</v>
      </c>
      <c r="BJ316" s="218">
        <f t="shared" si="53"/>
        <v>40019.850245317204</v>
      </c>
      <c r="BK316" s="217">
        <f t="shared" si="56"/>
        <v>1000</v>
      </c>
    </row>
    <row r="317" spans="8:63" s="215" customFormat="1">
      <c r="H317" s="211"/>
      <c r="I317" s="211"/>
      <c r="J317" s="211"/>
      <c r="K317" s="211"/>
      <c r="L317" s="211"/>
      <c r="M317" s="211"/>
      <c r="BF317" s="215">
        <v>268</v>
      </c>
      <c r="BG317" s="218">
        <f t="shared" si="54"/>
        <v>3614220.7650057818</v>
      </c>
      <c r="BH317" s="215">
        <v>268</v>
      </c>
      <c r="BI317" s="219">
        <f t="shared" si="55"/>
        <v>1.12E-2</v>
      </c>
      <c r="BJ317" s="218">
        <f t="shared" si="53"/>
        <v>40479.272568064756</v>
      </c>
      <c r="BK317" s="217">
        <f t="shared" si="56"/>
        <v>1000</v>
      </c>
    </row>
    <row r="318" spans="8:63" s="215" customFormat="1">
      <c r="H318" s="211"/>
      <c r="I318" s="211"/>
      <c r="J318" s="211"/>
      <c r="K318" s="211"/>
      <c r="L318" s="211"/>
      <c r="M318" s="211"/>
      <c r="BF318" s="215">
        <v>269</v>
      </c>
      <c r="BG318" s="218">
        <f t="shared" si="54"/>
        <v>3655700.0375738465</v>
      </c>
      <c r="BH318" s="215">
        <v>269</v>
      </c>
      <c r="BI318" s="219">
        <f t="shared" si="55"/>
        <v>1.12E-2</v>
      </c>
      <c r="BJ318" s="218">
        <f t="shared" si="53"/>
        <v>40943.84042082708</v>
      </c>
      <c r="BK318" s="217">
        <f t="shared" si="56"/>
        <v>1000</v>
      </c>
    </row>
    <row r="319" spans="8:63" s="215" customFormat="1">
      <c r="H319" s="211"/>
      <c r="I319" s="211"/>
      <c r="J319" s="211"/>
      <c r="K319" s="211"/>
      <c r="L319" s="211"/>
      <c r="M319" s="211"/>
      <c r="BF319" s="215">
        <v>270</v>
      </c>
      <c r="BG319" s="218">
        <f t="shared" si="54"/>
        <v>3697643.8779946738</v>
      </c>
      <c r="BH319" s="215">
        <v>270</v>
      </c>
      <c r="BI319" s="219">
        <f t="shared" si="55"/>
        <v>1.12E-2</v>
      </c>
      <c r="BJ319" s="218">
        <f t="shared" si="53"/>
        <v>41413.611433540347</v>
      </c>
      <c r="BK319" s="217">
        <f t="shared" si="56"/>
        <v>1000</v>
      </c>
    </row>
    <row r="320" spans="8:63" s="215" customFormat="1">
      <c r="H320" s="211"/>
      <c r="I320" s="211"/>
      <c r="J320" s="211"/>
      <c r="K320" s="211"/>
      <c r="L320" s="211"/>
      <c r="M320" s="211"/>
      <c r="BF320" s="215">
        <v>271</v>
      </c>
      <c r="BG320" s="218">
        <f t="shared" si="54"/>
        <v>3740057.4894282143</v>
      </c>
      <c r="BH320" s="215">
        <v>271</v>
      </c>
      <c r="BI320" s="219">
        <f t="shared" si="55"/>
        <v>1.12E-2</v>
      </c>
      <c r="BJ320" s="218">
        <f t="shared" si="53"/>
        <v>41888.643881595999</v>
      </c>
      <c r="BK320" s="217">
        <f t="shared" si="56"/>
        <v>1000</v>
      </c>
    </row>
    <row r="321" spans="8:63" s="215" customFormat="1">
      <c r="H321" s="211"/>
      <c r="I321" s="211"/>
      <c r="J321" s="211"/>
      <c r="K321" s="211"/>
      <c r="L321" s="211"/>
      <c r="M321" s="211"/>
      <c r="BF321" s="215">
        <v>272</v>
      </c>
      <c r="BG321" s="218">
        <f t="shared" si="54"/>
        <v>3782946.1333098104</v>
      </c>
      <c r="BH321" s="215">
        <v>272</v>
      </c>
      <c r="BI321" s="219">
        <f t="shared" si="55"/>
        <v>1.12E-2</v>
      </c>
      <c r="BJ321" s="218">
        <f t="shared" si="53"/>
        <v>42368.996693069879</v>
      </c>
      <c r="BK321" s="217">
        <f t="shared" si="56"/>
        <v>1000</v>
      </c>
    </row>
    <row r="322" spans="8:63" s="215" customFormat="1">
      <c r="H322" s="211"/>
      <c r="I322" s="211"/>
      <c r="J322" s="211"/>
      <c r="K322" s="211"/>
      <c r="L322" s="211"/>
      <c r="M322" s="211"/>
      <c r="BF322" s="215">
        <v>273</v>
      </c>
      <c r="BG322" s="218">
        <f t="shared" si="54"/>
        <v>3826315.1300028805</v>
      </c>
      <c r="BH322" s="215">
        <v>273</v>
      </c>
      <c r="BI322" s="219">
        <f t="shared" si="55"/>
        <v>1.12E-2</v>
      </c>
      <c r="BJ322" s="218">
        <f t="shared" si="53"/>
        <v>42854.729456032263</v>
      </c>
      <c r="BK322" s="217">
        <f t="shared" si="56"/>
        <v>1000</v>
      </c>
    </row>
    <row r="323" spans="8:63" s="215" customFormat="1">
      <c r="H323" s="211"/>
      <c r="I323" s="211"/>
      <c r="J323" s="211"/>
      <c r="K323" s="211"/>
      <c r="L323" s="211"/>
      <c r="M323" s="211"/>
      <c r="BF323" s="215">
        <v>274</v>
      </c>
      <c r="BG323" s="218">
        <f t="shared" si="54"/>
        <v>3870169.8594589126</v>
      </c>
      <c r="BH323" s="215">
        <v>274</v>
      </c>
      <c r="BI323" s="219">
        <f t="shared" si="55"/>
        <v>1.12E-2</v>
      </c>
      <c r="BJ323" s="218">
        <f t="shared" si="53"/>
        <v>43345.902425939821</v>
      </c>
      <c r="BK323" s="217">
        <f t="shared" si="56"/>
        <v>1000</v>
      </c>
    </row>
    <row r="324" spans="8:63" s="215" customFormat="1">
      <c r="H324" s="211"/>
      <c r="I324" s="211"/>
      <c r="J324" s="211"/>
      <c r="K324" s="211"/>
      <c r="L324" s="211"/>
      <c r="M324" s="211"/>
      <c r="BF324" s="215">
        <v>275</v>
      </c>
      <c r="BG324" s="218">
        <f t="shared" si="54"/>
        <v>3914515.7618848523</v>
      </c>
      <c r="BH324" s="215">
        <v>275</v>
      </c>
      <c r="BI324" s="219">
        <f t="shared" si="55"/>
        <v>1.12E-2</v>
      </c>
      <c r="BJ324" s="218">
        <f t="shared" si="53"/>
        <v>43842.576533110347</v>
      </c>
      <c r="BK324" s="217">
        <f t="shared" si="56"/>
        <v>1000</v>
      </c>
    </row>
    <row r="325" spans="8:63" s="215" customFormat="1">
      <c r="H325" s="211"/>
      <c r="I325" s="211"/>
      <c r="J325" s="211"/>
      <c r="K325" s="211"/>
      <c r="L325" s="211"/>
      <c r="M325" s="211"/>
      <c r="BF325" s="215">
        <v>276</v>
      </c>
      <c r="BG325" s="218">
        <f t="shared" si="54"/>
        <v>3959358.3384179627</v>
      </c>
      <c r="BH325" s="215">
        <v>276</v>
      </c>
      <c r="BI325" s="219">
        <f t="shared" si="55"/>
        <v>1.12E-2</v>
      </c>
      <c r="BJ325" s="218">
        <f t="shared" si="53"/>
        <v>44344.813390281182</v>
      </c>
      <c r="BK325" s="217">
        <f t="shared" si="56"/>
        <v>1000</v>
      </c>
    </row>
    <row r="326" spans="8:63" s="215" customFormat="1">
      <c r="H326" s="211"/>
      <c r="I326" s="211"/>
      <c r="J326" s="211"/>
      <c r="K326" s="211"/>
      <c r="L326" s="211"/>
      <c r="M326" s="211"/>
      <c r="BF326" s="215">
        <v>277</v>
      </c>
      <c r="BG326" s="218">
        <f t="shared" si="54"/>
        <v>4004703.1518082437</v>
      </c>
      <c r="BH326" s="215">
        <v>277</v>
      </c>
      <c r="BI326" s="219">
        <f t="shared" si="55"/>
        <v>1.12E-2</v>
      </c>
      <c r="BJ326" s="218">
        <f t="shared" si="53"/>
        <v>44852.675300252326</v>
      </c>
      <c r="BK326" s="217">
        <f t="shared" si="56"/>
        <v>1000</v>
      </c>
    </row>
    <row r="327" spans="8:63" s="215" customFormat="1">
      <c r="H327" s="211"/>
      <c r="I327" s="211"/>
      <c r="J327" s="211"/>
      <c r="K327" s="211"/>
      <c r="L327" s="211"/>
      <c r="M327" s="211"/>
      <c r="BF327" s="215">
        <v>278</v>
      </c>
      <c r="BG327" s="218">
        <f t="shared" si="54"/>
        <v>4050555.8271084959</v>
      </c>
      <c r="BH327" s="215">
        <v>278</v>
      </c>
      <c r="BI327" s="219">
        <f t="shared" si="55"/>
        <v>1.12E-2</v>
      </c>
      <c r="BJ327" s="218">
        <f t="shared" si="53"/>
        <v>45366.225263615153</v>
      </c>
      <c r="BK327" s="217">
        <f t="shared" si="56"/>
        <v>1000</v>
      </c>
    </row>
    <row r="328" spans="8:63" s="215" customFormat="1">
      <c r="H328" s="211"/>
      <c r="I328" s="211"/>
      <c r="J328" s="211"/>
      <c r="K328" s="211"/>
      <c r="L328" s="211"/>
      <c r="M328" s="211"/>
      <c r="BF328" s="215">
        <v>279</v>
      </c>
      <c r="BG328" s="218">
        <f t="shared" si="54"/>
        <v>4096922.052372111</v>
      </c>
      <c r="BH328" s="215">
        <v>279</v>
      </c>
      <c r="BI328" s="219">
        <f t="shared" si="55"/>
        <v>1.12E-2</v>
      </c>
      <c r="BJ328" s="218">
        <f t="shared" si="53"/>
        <v>45885.526986567646</v>
      </c>
      <c r="BK328" s="217">
        <f t="shared" si="56"/>
        <v>1000</v>
      </c>
    </row>
    <row r="329" spans="8:63" s="215" customFormat="1">
      <c r="H329" s="211"/>
      <c r="I329" s="211"/>
      <c r="J329" s="211"/>
      <c r="K329" s="211"/>
      <c r="L329" s="211"/>
      <c r="M329" s="211"/>
      <c r="BF329" s="215">
        <v>280</v>
      </c>
      <c r="BG329" s="218">
        <f t="shared" si="54"/>
        <v>4143807.5793586788</v>
      </c>
      <c r="BH329" s="215">
        <v>280</v>
      </c>
      <c r="BI329" s="219">
        <f t="shared" si="55"/>
        <v>1.12E-2</v>
      </c>
      <c r="BJ329" s="218">
        <f t="shared" si="53"/>
        <v>46410.644888817202</v>
      </c>
      <c r="BK329" s="217">
        <f t="shared" si="56"/>
        <v>1000</v>
      </c>
    </row>
    <row r="330" spans="8:63" s="215" customFormat="1">
      <c r="H330" s="211"/>
      <c r="I330" s="211"/>
      <c r="J330" s="211"/>
      <c r="K330" s="211"/>
      <c r="L330" s="211"/>
      <c r="M330" s="211"/>
      <c r="BF330" s="215">
        <v>281</v>
      </c>
      <c r="BG330" s="218">
        <f t="shared" si="54"/>
        <v>4191218.2242474961</v>
      </c>
      <c r="BH330" s="215">
        <v>281</v>
      </c>
      <c r="BI330" s="219">
        <f t="shared" si="55"/>
        <v>1.12E-2</v>
      </c>
      <c r="BJ330" s="218">
        <f t="shared" si="53"/>
        <v>46941.644111571957</v>
      </c>
      <c r="BK330" s="217">
        <f t="shared" si="56"/>
        <v>1000</v>
      </c>
    </row>
    <row r="331" spans="8:63" s="215" customFormat="1">
      <c r="H331" s="211"/>
      <c r="I331" s="211"/>
      <c r="J331" s="211"/>
      <c r="K331" s="211"/>
      <c r="L331" s="211"/>
      <c r="M331" s="211"/>
      <c r="BF331" s="215">
        <v>282</v>
      </c>
      <c r="BG331" s="218">
        <f t="shared" si="54"/>
        <v>4239159.8683590684</v>
      </c>
      <c r="BH331" s="215">
        <v>282</v>
      </c>
      <c r="BI331" s="219">
        <f t="shared" si="55"/>
        <v>1.12E-2</v>
      </c>
      <c r="BJ331" s="218">
        <f t="shared" si="53"/>
        <v>47478.590525621563</v>
      </c>
      <c r="BK331" s="217">
        <f t="shared" si="56"/>
        <v>1000</v>
      </c>
    </row>
    <row r="332" spans="8:63" s="215" customFormat="1">
      <c r="H332" s="211"/>
      <c r="I332" s="211"/>
      <c r="J332" s="211"/>
      <c r="K332" s="211"/>
      <c r="L332" s="211"/>
      <c r="M332" s="211"/>
      <c r="BF332" s="215">
        <v>283</v>
      </c>
      <c r="BG332" s="218">
        <f t="shared" si="54"/>
        <v>4287638.45888469</v>
      </c>
      <c r="BH332" s="215">
        <v>283</v>
      </c>
      <c r="BI332" s="219">
        <f t="shared" si="55"/>
        <v>1.12E-2</v>
      </c>
      <c r="BJ332" s="218">
        <f t="shared" si="53"/>
        <v>48021.55073950853</v>
      </c>
      <c r="BK332" s="217">
        <f t="shared" si="56"/>
        <v>1000</v>
      </c>
    </row>
    <row r="333" spans="8:63" s="215" customFormat="1">
      <c r="H333" s="211"/>
      <c r="I333" s="211"/>
      <c r="J333" s="211"/>
      <c r="K333" s="211"/>
      <c r="L333" s="211"/>
      <c r="M333" s="211"/>
      <c r="BF333" s="215">
        <v>284</v>
      </c>
      <c r="BG333" s="218">
        <f t="shared" si="54"/>
        <v>4336660.0096241981</v>
      </c>
      <c r="BH333" s="215">
        <v>284</v>
      </c>
      <c r="BI333" s="219">
        <f t="shared" si="55"/>
        <v>1.12E-2</v>
      </c>
      <c r="BJ333" s="218">
        <f t="shared" si="53"/>
        <v>48570.592107791017</v>
      </c>
      <c r="BK333" s="217">
        <f t="shared" si="56"/>
        <v>1000</v>
      </c>
    </row>
    <row r="334" spans="8:63" s="215" customFormat="1">
      <c r="H334" s="211"/>
      <c r="I334" s="211"/>
      <c r="J334" s="211"/>
      <c r="K334" s="211"/>
      <c r="L334" s="211"/>
      <c r="M334" s="211"/>
      <c r="BF334" s="215">
        <v>285</v>
      </c>
      <c r="BG334" s="218">
        <f t="shared" si="54"/>
        <v>4386230.6017319895</v>
      </c>
      <c r="BH334" s="215">
        <v>285</v>
      </c>
      <c r="BI334" s="219">
        <f t="shared" si="55"/>
        <v>1.12E-2</v>
      </c>
      <c r="BJ334" s="218">
        <f t="shared" si="53"/>
        <v>49125.782739398281</v>
      </c>
      <c r="BK334" s="217">
        <f t="shared" si="56"/>
        <v>1000</v>
      </c>
    </row>
    <row r="335" spans="8:63" s="215" customFormat="1">
      <c r="H335" s="211"/>
      <c r="I335" s="211"/>
      <c r="J335" s="211"/>
      <c r="K335" s="211"/>
      <c r="L335" s="211"/>
      <c r="M335" s="211"/>
      <c r="BF335" s="215">
        <v>286</v>
      </c>
      <c r="BG335" s="218">
        <f t="shared" si="54"/>
        <v>4436356.3844713876</v>
      </c>
      <c r="BH335" s="215">
        <v>286</v>
      </c>
      <c r="BI335" s="219">
        <f t="shared" si="55"/>
        <v>1.12E-2</v>
      </c>
      <c r="BJ335" s="218">
        <f t="shared" si="53"/>
        <v>49687.191506079544</v>
      </c>
      <c r="BK335" s="217">
        <f t="shared" si="56"/>
        <v>1000</v>
      </c>
    </row>
    <row r="336" spans="8:63" s="215" customFormat="1">
      <c r="H336" s="211"/>
      <c r="I336" s="211"/>
      <c r="J336" s="211"/>
      <c r="K336" s="211"/>
      <c r="L336" s="211"/>
      <c r="M336" s="211"/>
      <c r="BF336" s="215">
        <v>287</v>
      </c>
      <c r="BG336" s="218">
        <f t="shared" si="54"/>
        <v>4487043.575977467</v>
      </c>
      <c r="BH336" s="215">
        <v>287</v>
      </c>
      <c r="BI336" s="219">
        <f t="shared" si="55"/>
        <v>1.12E-2</v>
      </c>
      <c r="BJ336" s="218">
        <f t="shared" si="53"/>
        <v>50254.888050947629</v>
      </c>
      <c r="BK336" s="217">
        <f t="shared" si="56"/>
        <v>1000</v>
      </c>
    </row>
    <row r="337" spans="8:63" s="215" customFormat="1">
      <c r="H337" s="211"/>
      <c r="I337" s="211"/>
      <c r="J337" s="211"/>
      <c r="K337" s="211"/>
      <c r="L337" s="211"/>
      <c r="M337" s="211"/>
      <c r="BF337" s="215">
        <v>288</v>
      </c>
      <c r="BG337" s="218">
        <f t="shared" si="54"/>
        <v>4538298.4640284143</v>
      </c>
      <c r="BH337" s="215">
        <v>288</v>
      </c>
      <c r="BI337" s="219">
        <f t="shared" si="55"/>
        <v>1.12E-2</v>
      </c>
      <c r="BJ337" s="218">
        <f t="shared" si="53"/>
        <v>50828.942797118238</v>
      </c>
      <c r="BK337" s="217">
        <f t="shared" si="56"/>
        <v>1000</v>
      </c>
    </row>
    <row r="338" spans="8:63" s="215" customFormat="1">
      <c r="H338" s="211"/>
      <c r="I338" s="211"/>
      <c r="J338" s="211"/>
      <c r="K338" s="211"/>
      <c r="L338" s="211"/>
      <c r="M338" s="211"/>
      <c r="BF338" s="215">
        <v>289</v>
      </c>
      <c r="BG338" s="218">
        <f t="shared" si="54"/>
        <v>4590127.4068255322</v>
      </c>
      <c r="BH338" s="215">
        <v>289</v>
      </c>
      <c r="BI338" s="219">
        <f t="shared" si="55"/>
        <v>1.12E-2</v>
      </c>
      <c r="BJ338" s="218">
        <f t="shared" si="53"/>
        <v>51409.426956445961</v>
      </c>
      <c r="BK338" s="217">
        <f t="shared" si="56"/>
        <v>1000</v>
      </c>
    </row>
    <row r="339" spans="8:63" s="215" customFormat="1">
      <c r="H339" s="211"/>
      <c r="I339" s="211"/>
      <c r="J339" s="211"/>
      <c r="K339" s="211"/>
      <c r="L339" s="211"/>
      <c r="M339" s="211"/>
      <c r="BF339" s="215">
        <v>290</v>
      </c>
      <c r="BG339" s="218">
        <f t="shared" si="54"/>
        <v>4642536.8337819781</v>
      </c>
      <c r="BH339" s="215">
        <v>290</v>
      </c>
      <c r="BI339" s="219">
        <f t="shared" si="55"/>
        <v>1.12E-2</v>
      </c>
      <c r="BJ339" s="218">
        <f t="shared" si="53"/>
        <v>51996.412538358156</v>
      </c>
      <c r="BK339" s="217">
        <f t="shared" si="56"/>
        <v>1000</v>
      </c>
    </row>
    <row r="340" spans="8:63" s="215" customFormat="1">
      <c r="H340" s="211"/>
      <c r="I340" s="211"/>
      <c r="J340" s="211"/>
      <c r="K340" s="211"/>
      <c r="L340" s="211"/>
      <c r="M340" s="211"/>
      <c r="BF340" s="215">
        <v>291</v>
      </c>
      <c r="BG340" s="218">
        <f t="shared" si="54"/>
        <v>4695533.2463203361</v>
      </c>
      <c r="BH340" s="215">
        <v>291</v>
      </c>
      <c r="BI340" s="219">
        <f t="shared" si="55"/>
        <v>1.12E-2</v>
      </c>
      <c r="BJ340" s="218">
        <f t="shared" si="53"/>
        <v>52589.972358787767</v>
      </c>
      <c r="BK340" s="217">
        <f t="shared" si="56"/>
        <v>1000</v>
      </c>
    </row>
    <row r="341" spans="8:63" s="215" customFormat="1">
      <c r="H341" s="211"/>
      <c r="I341" s="211"/>
      <c r="J341" s="211"/>
      <c r="K341" s="211"/>
      <c r="L341" s="211"/>
      <c r="M341" s="211"/>
      <c r="BF341" s="215">
        <v>292</v>
      </c>
      <c r="BG341" s="218">
        <f t="shared" si="54"/>
        <v>4749123.2186791236</v>
      </c>
      <c r="BH341" s="215">
        <v>292</v>
      </c>
      <c r="BI341" s="219">
        <f t="shared" si="55"/>
        <v>1.12E-2</v>
      </c>
      <c r="BJ341" s="218">
        <f t="shared" si="53"/>
        <v>53190.180049206181</v>
      </c>
      <c r="BK341" s="217">
        <f t="shared" si="56"/>
        <v>1000</v>
      </c>
    </row>
    <row r="342" spans="8:63" s="215" customFormat="1">
      <c r="H342" s="211"/>
      <c r="I342" s="211"/>
      <c r="J342" s="211"/>
      <c r="K342" s="211"/>
      <c r="L342" s="211"/>
      <c r="M342" s="211"/>
      <c r="BF342" s="215">
        <v>293</v>
      </c>
      <c r="BG342" s="218">
        <f t="shared" si="54"/>
        <v>4803313.3987283297</v>
      </c>
      <c r="BH342" s="215">
        <v>293</v>
      </c>
      <c r="BI342" s="219">
        <f t="shared" si="55"/>
        <v>1.12E-2</v>
      </c>
      <c r="BJ342" s="218">
        <f t="shared" si="53"/>
        <v>53797.11006575729</v>
      </c>
      <c r="BK342" s="217">
        <f t="shared" si="56"/>
        <v>1000</v>
      </c>
    </row>
    <row r="343" spans="8:63" s="215" customFormat="1">
      <c r="H343" s="211"/>
      <c r="I343" s="211"/>
      <c r="J343" s="211"/>
      <c r="K343" s="211"/>
      <c r="L343" s="211"/>
      <c r="M343" s="211"/>
      <c r="BF343" s="215">
        <v>294</v>
      </c>
      <c r="BG343" s="218">
        <f t="shared" si="54"/>
        <v>4858110.508794087</v>
      </c>
      <c r="BH343" s="215">
        <v>294</v>
      </c>
      <c r="BI343" s="219">
        <f t="shared" si="55"/>
        <v>1.12E-2</v>
      </c>
      <c r="BJ343" s="218">
        <f t="shared" si="53"/>
        <v>54410.837698493771</v>
      </c>
      <c r="BK343" s="217">
        <f t="shared" si="56"/>
        <v>1000</v>
      </c>
    </row>
    <row r="344" spans="8:63" s="215" customFormat="1">
      <c r="H344" s="211"/>
      <c r="I344" s="211"/>
      <c r="J344" s="211"/>
      <c r="K344" s="211"/>
      <c r="L344" s="211"/>
      <c r="M344" s="211"/>
      <c r="BF344" s="215">
        <v>295</v>
      </c>
      <c r="BG344" s="218">
        <f t="shared" si="54"/>
        <v>4913521.3464925811</v>
      </c>
      <c r="BH344" s="215">
        <v>295</v>
      </c>
      <c r="BI344" s="219">
        <f t="shared" si="55"/>
        <v>1.12E-2</v>
      </c>
      <c r="BJ344" s="218">
        <f t="shared" si="53"/>
        <v>55031.439080716904</v>
      </c>
      <c r="BK344" s="217">
        <f t="shared" si="56"/>
        <v>1000</v>
      </c>
    </row>
    <row r="345" spans="8:63" s="215" customFormat="1">
      <c r="H345" s="211"/>
      <c r="I345" s="211"/>
      <c r="J345" s="211"/>
      <c r="K345" s="211"/>
      <c r="L345" s="211"/>
      <c r="M345" s="211"/>
      <c r="BF345" s="215">
        <v>296</v>
      </c>
      <c r="BG345" s="218">
        <f t="shared" si="54"/>
        <v>4969552.7855732981</v>
      </c>
      <c r="BH345" s="215">
        <v>296</v>
      </c>
      <c r="BI345" s="219">
        <f t="shared" si="55"/>
        <v>1.12E-2</v>
      </c>
      <c r="BJ345" s="218">
        <f t="shared" si="53"/>
        <v>55658.991198420939</v>
      </c>
      <c r="BK345" s="217">
        <f t="shared" si="56"/>
        <v>1000</v>
      </c>
    </row>
    <row r="346" spans="8:63" s="215" customFormat="1">
      <c r="H346" s="211"/>
      <c r="I346" s="211"/>
      <c r="J346" s="211"/>
      <c r="K346" s="211"/>
      <c r="L346" s="211"/>
      <c r="M346" s="211"/>
      <c r="BF346" s="215">
        <v>297</v>
      </c>
      <c r="BG346" s="218">
        <f t="shared" si="54"/>
        <v>5026211.7767717186</v>
      </c>
      <c r="BH346" s="215">
        <v>297</v>
      </c>
      <c r="BI346" s="219">
        <f t="shared" si="55"/>
        <v>1.12E-2</v>
      </c>
      <c r="BJ346" s="218">
        <f t="shared" si="53"/>
        <v>56293.571899843249</v>
      </c>
      <c r="BK346" s="217">
        <f t="shared" si="56"/>
        <v>1000</v>
      </c>
    </row>
    <row r="347" spans="8:63" s="215" customFormat="1">
      <c r="H347" s="211"/>
      <c r="I347" s="211"/>
      <c r="J347" s="211"/>
      <c r="K347" s="211"/>
      <c r="L347" s="211"/>
      <c r="M347" s="211"/>
      <c r="BF347" s="215">
        <v>298</v>
      </c>
      <c r="BG347" s="218">
        <f t="shared" si="54"/>
        <v>5083505.348671562</v>
      </c>
      <c r="BH347" s="215">
        <v>298</v>
      </c>
      <c r="BI347" s="219">
        <f t="shared" si="55"/>
        <v>1.12E-2</v>
      </c>
      <c r="BJ347" s="218">
        <f t="shared" si="53"/>
        <v>56935.259905121493</v>
      </c>
      <c r="BK347" s="217">
        <f t="shared" si="56"/>
        <v>1000</v>
      </c>
    </row>
    <row r="348" spans="8:63" s="215" customFormat="1">
      <c r="H348" s="211"/>
      <c r="I348" s="211"/>
      <c r="J348" s="211"/>
      <c r="K348" s="211"/>
      <c r="L348" s="211"/>
      <c r="M348" s="211"/>
      <c r="BF348" s="215">
        <v>299</v>
      </c>
      <c r="BG348" s="218">
        <f t="shared" si="54"/>
        <v>5141440.6085766833</v>
      </c>
      <c r="BH348" s="215">
        <v>299</v>
      </c>
      <c r="BI348" s="219">
        <f t="shared" si="55"/>
        <v>1.12E-2</v>
      </c>
      <c r="BJ348" s="218">
        <f t="shared" si="53"/>
        <v>57584.134816058853</v>
      </c>
      <c r="BK348" s="217">
        <f t="shared" si="56"/>
        <v>1000</v>
      </c>
    </row>
    <row r="349" spans="8:63" s="215" customFormat="1">
      <c r="H349" s="211"/>
      <c r="I349" s="211"/>
      <c r="J349" s="211"/>
      <c r="K349" s="211"/>
      <c r="L349" s="211"/>
      <c r="M349" s="211"/>
      <c r="BF349" s="215">
        <v>300</v>
      </c>
      <c r="BG349" s="218">
        <f t="shared" si="54"/>
        <v>5200024.7433927422</v>
      </c>
      <c r="BH349" s="215">
        <v>300</v>
      </c>
      <c r="BI349" s="219">
        <f t="shared" si="55"/>
        <v>1.12E-2</v>
      </c>
      <c r="BJ349" s="218">
        <f t="shared" si="53"/>
        <v>58240.277125998713</v>
      </c>
      <c r="BK349" s="217">
        <f t="shared" si="56"/>
        <v>1000</v>
      </c>
    </row>
    <row r="350" spans="8:63" s="215" customFormat="1">
      <c r="H350" s="211"/>
      <c r="I350" s="211"/>
      <c r="J350" s="211"/>
      <c r="K350" s="211"/>
      <c r="L350" s="211"/>
      <c r="M350" s="211"/>
      <c r="BF350" s="215">
        <v>301</v>
      </c>
      <c r="BG350" s="218">
        <f t="shared" si="54"/>
        <v>5259265.0205187406</v>
      </c>
      <c r="BH350" s="215">
        <v>301</v>
      </c>
      <c r="BI350" s="219">
        <f t="shared" si="55"/>
        <v>1.12E-2</v>
      </c>
      <c r="BJ350" s="218">
        <f t="shared" si="53"/>
        <v>58903.768229809895</v>
      </c>
      <c r="BK350" s="217">
        <f t="shared" si="56"/>
        <v>1000</v>
      </c>
    </row>
    <row r="351" spans="8:63" s="215" customFormat="1">
      <c r="H351" s="211"/>
      <c r="I351" s="211"/>
      <c r="J351" s="211"/>
      <c r="K351" s="211"/>
      <c r="L351" s="211"/>
      <c r="M351" s="211"/>
      <c r="BF351" s="215">
        <v>302</v>
      </c>
      <c r="BG351" s="218">
        <f t="shared" si="54"/>
        <v>5319168.7887485502</v>
      </c>
      <c r="BH351" s="215">
        <v>302</v>
      </c>
      <c r="BI351" s="219">
        <f t="shared" si="55"/>
        <v>1.12E-2</v>
      </c>
      <c r="BJ351" s="218">
        <f t="shared" si="53"/>
        <v>59574.690433983764</v>
      </c>
      <c r="BK351" s="217">
        <f t="shared" si="56"/>
        <v>1000</v>
      </c>
    </row>
    <row r="352" spans="8:63" s="215" customFormat="1">
      <c r="H352" s="211"/>
      <c r="I352" s="211"/>
      <c r="J352" s="211"/>
      <c r="K352" s="211"/>
      <c r="L352" s="211"/>
      <c r="M352" s="211"/>
      <c r="BF352" s="215">
        <v>303</v>
      </c>
      <c r="BG352" s="218">
        <f t="shared" si="54"/>
        <v>5379743.4791825339</v>
      </c>
      <c r="BH352" s="215">
        <v>303</v>
      </c>
      <c r="BI352" s="219">
        <f t="shared" si="55"/>
        <v>1.12E-2</v>
      </c>
      <c r="BJ352" s="218">
        <f t="shared" si="53"/>
        <v>60253.126966844378</v>
      </c>
      <c r="BK352" s="217">
        <f t="shared" si="56"/>
        <v>1000</v>
      </c>
    </row>
    <row r="353" spans="8:63" s="215" customFormat="1">
      <c r="H353" s="211"/>
      <c r="I353" s="211"/>
      <c r="J353" s="211"/>
      <c r="K353" s="211"/>
      <c r="L353" s="211"/>
      <c r="M353" s="211"/>
      <c r="BF353" s="215">
        <v>304</v>
      </c>
      <c r="BG353" s="218">
        <f t="shared" si="54"/>
        <v>5440996.6061493782</v>
      </c>
      <c r="BH353" s="215">
        <v>304</v>
      </c>
      <c r="BI353" s="219">
        <f t="shared" si="55"/>
        <v>1.12E-2</v>
      </c>
      <c r="BJ353" s="218">
        <f t="shared" si="53"/>
        <v>60939.161988873035</v>
      </c>
      <c r="BK353" s="217">
        <f t="shared" si="56"/>
        <v>1000</v>
      </c>
    </row>
    <row r="354" spans="8:63" s="215" customFormat="1">
      <c r="H354" s="211"/>
      <c r="I354" s="211"/>
      <c r="J354" s="211"/>
      <c r="K354" s="211"/>
      <c r="L354" s="211"/>
      <c r="M354" s="211"/>
      <c r="BF354" s="215">
        <v>305</v>
      </c>
      <c r="BG354" s="218">
        <f t="shared" si="54"/>
        <v>5502935.7681382513</v>
      </c>
      <c r="BH354" s="215">
        <v>305</v>
      </c>
      <c r="BI354" s="219">
        <f t="shared" si="55"/>
        <v>1.12E-2</v>
      </c>
      <c r="BJ354" s="218">
        <f t="shared" si="53"/>
        <v>61632.880603148413</v>
      </c>
      <c r="BK354" s="217">
        <f t="shared" si="56"/>
        <v>1000</v>
      </c>
    </row>
    <row r="355" spans="8:63" s="215" customFormat="1">
      <c r="H355" s="211"/>
      <c r="I355" s="211"/>
      <c r="J355" s="211"/>
      <c r="K355" s="211"/>
      <c r="L355" s="211"/>
      <c r="M355" s="211"/>
      <c r="BF355" s="215">
        <v>306</v>
      </c>
      <c r="BG355" s="218">
        <f t="shared" si="54"/>
        <v>5565568.6487413999</v>
      </c>
      <c r="BH355" s="215">
        <v>306</v>
      </c>
      <c r="BI355" s="219">
        <f t="shared" si="55"/>
        <v>1.12E-2</v>
      </c>
      <c r="BJ355" s="218">
        <f t="shared" si="53"/>
        <v>62334.368865903678</v>
      </c>
      <c r="BK355" s="217">
        <f t="shared" si="56"/>
        <v>1000</v>
      </c>
    </row>
    <row r="356" spans="8:63" s="215" customFormat="1">
      <c r="H356" s="211"/>
      <c r="I356" s="211"/>
      <c r="J356" s="211"/>
      <c r="K356" s="211"/>
      <c r="L356" s="211"/>
      <c r="M356" s="211"/>
      <c r="BF356" s="215">
        <v>307</v>
      </c>
      <c r="BG356" s="218">
        <f t="shared" si="54"/>
        <v>5628903.0176073033</v>
      </c>
      <c r="BH356" s="215">
        <v>307</v>
      </c>
      <c r="BI356" s="219">
        <f t="shared" si="55"/>
        <v>1.12E-2</v>
      </c>
      <c r="BJ356" s="218">
        <f t="shared" si="53"/>
        <v>63043.713797201795</v>
      </c>
      <c r="BK356" s="217">
        <f t="shared" si="56"/>
        <v>1000</v>
      </c>
    </row>
    <row r="357" spans="8:63" s="215" customFormat="1">
      <c r="H357" s="211"/>
      <c r="I357" s="211"/>
      <c r="J357" s="211"/>
      <c r="K357" s="211"/>
      <c r="L357" s="211"/>
      <c r="M357" s="211"/>
      <c r="BF357" s="215">
        <v>308</v>
      </c>
      <c r="BG357" s="218">
        <f t="shared" si="54"/>
        <v>5692946.7314045047</v>
      </c>
      <c r="BH357" s="215">
        <v>308</v>
      </c>
      <c r="BI357" s="219">
        <f t="shared" si="55"/>
        <v>1.12E-2</v>
      </c>
      <c r="BJ357" s="218">
        <f t="shared" si="53"/>
        <v>63761.003391730454</v>
      </c>
      <c r="BK357" s="217">
        <f t="shared" si="56"/>
        <v>1000</v>
      </c>
    </row>
    <row r="358" spans="8:63" s="215" customFormat="1">
      <c r="H358" s="211"/>
      <c r="I358" s="211"/>
      <c r="J358" s="211"/>
      <c r="K358" s="211"/>
      <c r="L358" s="211"/>
      <c r="M358" s="211"/>
      <c r="BF358" s="215">
        <v>309</v>
      </c>
      <c r="BG358" s="218">
        <f t="shared" si="54"/>
        <v>5757707.7347962353</v>
      </c>
      <c r="BH358" s="215">
        <v>309</v>
      </c>
      <c r="BI358" s="219">
        <f t="shared" si="55"/>
        <v>1.12E-2</v>
      </c>
      <c r="BJ358" s="218">
        <f t="shared" si="53"/>
        <v>64486.326629717834</v>
      </c>
      <c r="BK358" s="217">
        <f t="shared" si="56"/>
        <v>1000</v>
      </c>
    </row>
    <row r="359" spans="8:63" s="215" customFormat="1">
      <c r="H359" s="211"/>
      <c r="I359" s="211"/>
      <c r="J359" s="211"/>
      <c r="K359" s="211"/>
      <c r="L359" s="211"/>
      <c r="M359" s="211"/>
      <c r="BF359" s="215">
        <v>310</v>
      </c>
      <c r="BG359" s="218">
        <f t="shared" si="54"/>
        <v>5823194.0614259532</v>
      </c>
      <c r="BH359" s="215">
        <v>310</v>
      </c>
      <c r="BI359" s="219">
        <f t="shared" si="55"/>
        <v>1.12E-2</v>
      </c>
      <c r="BJ359" s="218">
        <f t="shared" si="53"/>
        <v>65219.773487970677</v>
      </c>
      <c r="BK359" s="217">
        <f t="shared" si="56"/>
        <v>1000</v>
      </c>
    </row>
    <row r="360" spans="8:63" s="215" customFormat="1">
      <c r="H360" s="211"/>
      <c r="I360" s="211"/>
      <c r="J360" s="211"/>
      <c r="K360" s="211"/>
      <c r="L360" s="211"/>
      <c r="M360" s="211"/>
      <c r="BF360" s="215">
        <v>311</v>
      </c>
      <c r="BG360" s="218">
        <f t="shared" si="54"/>
        <v>5889413.8349139234</v>
      </c>
      <c r="BH360" s="215">
        <v>311</v>
      </c>
      <c r="BI360" s="219">
        <f t="shared" si="55"/>
        <v>1.12E-2</v>
      </c>
      <c r="BJ360" s="218">
        <f t="shared" si="53"/>
        <v>65961.434951035946</v>
      </c>
      <c r="BK360" s="217">
        <f t="shared" si="56"/>
        <v>1000</v>
      </c>
    </row>
    <row r="361" spans="8:63" s="215" customFormat="1">
      <c r="H361" s="211"/>
      <c r="I361" s="211"/>
      <c r="J361" s="211"/>
      <c r="K361" s="211"/>
      <c r="L361" s="211"/>
      <c r="M361" s="211"/>
      <c r="BF361" s="215">
        <v>312</v>
      </c>
      <c r="BG361" s="218">
        <f t="shared" si="54"/>
        <v>5956375.2698649596</v>
      </c>
      <c r="BH361" s="215">
        <v>312</v>
      </c>
      <c r="BI361" s="219">
        <f t="shared" si="55"/>
        <v>1.12E-2</v>
      </c>
      <c r="BJ361" s="218">
        <f t="shared" si="53"/>
        <v>66711.403022487546</v>
      </c>
      <c r="BK361" s="217">
        <f t="shared" si="56"/>
        <v>1000</v>
      </c>
    </row>
    <row r="362" spans="8:63" s="215" customFormat="1">
      <c r="H362" s="211"/>
      <c r="I362" s="211"/>
      <c r="J362" s="211"/>
      <c r="K362" s="211"/>
      <c r="L362" s="211"/>
      <c r="M362" s="211"/>
      <c r="BF362" s="215">
        <v>313</v>
      </c>
      <c r="BG362" s="218">
        <f t="shared" si="54"/>
        <v>6024086.6728874473</v>
      </c>
      <c r="BH362" s="215">
        <v>313</v>
      </c>
      <c r="BI362" s="219">
        <f t="shared" si="55"/>
        <v>1.12E-2</v>
      </c>
      <c r="BJ362" s="218">
        <f t="shared" si="53"/>
        <v>67469.770736339415</v>
      </c>
      <c r="BK362" s="217">
        <f t="shared" si="56"/>
        <v>1000</v>
      </c>
    </row>
    <row r="363" spans="8:63" s="215" customFormat="1">
      <c r="H363" s="211"/>
      <c r="I363" s="211"/>
      <c r="J363" s="211"/>
      <c r="K363" s="211"/>
      <c r="L363" s="211"/>
      <c r="M363" s="211"/>
      <c r="BF363" s="215">
        <v>314</v>
      </c>
      <c r="BG363" s="218">
        <f t="shared" si="54"/>
        <v>6092556.4436237868</v>
      </c>
      <c r="BH363" s="215">
        <v>314</v>
      </c>
      <c r="BI363" s="219">
        <f t="shared" si="55"/>
        <v>1.12E-2</v>
      </c>
      <c r="BJ363" s="218">
        <f t="shared" si="53"/>
        <v>68236.63216858641</v>
      </c>
      <c r="BK363" s="217">
        <f t="shared" si="56"/>
        <v>1000</v>
      </c>
    </row>
    <row r="364" spans="8:63" s="215" customFormat="1">
      <c r="H364" s="211"/>
      <c r="I364" s="211"/>
      <c r="J364" s="211"/>
      <c r="K364" s="211"/>
      <c r="L364" s="211"/>
      <c r="M364" s="211"/>
      <c r="BF364" s="215">
        <v>315</v>
      </c>
      <c r="BG364" s="218">
        <f t="shared" si="54"/>
        <v>6161793.0757923732</v>
      </c>
      <c r="BH364" s="215">
        <v>315</v>
      </c>
      <c r="BI364" s="219">
        <f t="shared" si="55"/>
        <v>1.12E-2</v>
      </c>
      <c r="BJ364" s="218">
        <f t="shared" si="53"/>
        <v>69012.082448874586</v>
      </c>
      <c r="BK364" s="217">
        <f t="shared" si="56"/>
        <v>1000</v>
      </c>
    </row>
    <row r="365" spans="8:63" s="215" customFormat="1">
      <c r="H365" s="211"/>
      <c r="I365" s="211"/>
      <c r="J365" s="211"/>
      <c r="K365" s="211"/>
      <c r="L365" s="211"/>
      <c r="M365" s="211"/>
      <c r="BF365" s="215">
        <v>316</v>
      </c>
      <c r="BG365" s="218">
        <f t="shared" si="54"/>
        <v>6231805.1582412478</v>
      </c>
      <c r="BH365" s="215">
        <v>316</v>
      </c>
      <c r="BI365" s="219">
        <f t="shared" si="55"/>
        <v>1.12E-2</v>
      </c>
      <c r="BJ365" s="218">
        <f t="shared" si="53"/>
        <v>69796.21777230197</v>
      </c>
      <c r="BK365" s="217">
        <f t="shared" si="56"/>
        <v>1000</v>
      </c>
    </row>
    <row r="366" spans="8:63" s="215" customFormat="1">
      <c r="H366" s="211"/>
      <c r="I366" s="211"/>
      <c r="J366" s="211"/>
      <c r="K366" s="211"/>
      <c r="L366" s="211"/>
      <c r="M366" s="211"/>
      <c r="BF366" s="215">
        <v>317</v>
      </c>
      <c r="BG366" s="218">
        <f t="shared" si="54"/>
        <v>6302601.37601355</v>
      </c>
      <c r="BH366" s="215">
        <v>317</v>
      </c>
      <c r="BI366" s="219">
        <f t="shared" si="55"/>
        <v>1.12E-2</v>
      </c>
      <c r="BJ366" s="218">
        <f t="shared" si="53"/>
        <v>70589.135411351759</v>
      </c>
      <c r="BK366" s="217">
        <f t="shared" si="56"/>
        <v>1000</v>
      </c>
    </row>
    <row r="367" spans="8:63" s="215" customFormat="1">
      <c r="H367" s="211"/>
      <c r="I367" s="211"/>
      <c r="J367" s="211"/>
      <c r="K367" s="211"/>
      <c r="L367" s="211"/>
      <c r="M367" s="211"/>
      <c r="BF367" s="215">
        <v>318</v>
      </c>
      <c r="BG367" s="218">
        <f t="shared" si="54"/>
        <v>6374190.5114249019</v>
      </c>
      <c r="BH367" s="215">
        <v>318</v>
      </c>
      <c r="BI367" s="219">
        <f t="shared" si="55"/>
        <v>1.12E-2</v>
      </c>
      <c r="BJ367" s="218">
        <f t="shared" si="53"/>
        <v>71390.933727958894</v>
      </c>
      <c r="BK367" s="217">
        <f t="shared" si="56"/>
        <v>1000</v>
      </c>
    </row>
    <row r="368" spans="8:63" s="215" customFormat="1">
      <c r="H368" s="211"/>
      <c r="I368" s="211"/>
      <c r="J368" s="211"/>
      <c r="K368" s="211"/>
      <c r="L368" s="211"/>
      <c r="M368" s="211"/>
      <c r="BF368" s="215">
        <v>319</v>
      </c>
      <c r="BG368" s="218">
        <f t="shared" si="54"/>
        <v>6446581.4451528611</v>
      </c>
      <c r="BH368" s="215">
        <v>319</v>
      </c>
      <c r="BI368" s="219">
        <f t="shared" si="55"/>
        <v>1.12E-2</v>
      </c>
      <c r="BJ368" s="218">
        <f t="shared" si="53"/>
        <v>72201.712185712036</v>
      </c>
      <c r="BK368" s="217">
        <f t="shared" si="56"/>
        <v>1000</v>
      </c>
    </row>
    <row r="369" spans="8:63" s="215" customFormat="1">
      <c r="H369" s="211"/>
      <c r="I369" s="211"/>
      <c r="J369" s="211"/>
      <c r="K369" s="211"/>
      <c r="L369" s="211"/>
      <c r="M369" s="211"/>
      <c r="BF369" s="215">
        <v>320</v>
      </c>
      <c r="BG369" s="218">
        <f t="shared" si="54"/>
        <v>6519783.1573385727</v>
      </c>
      <c r="BH369" s="215">
        <v>320</v>
      </c>
      <c r="BI369" s="219">
        <f t="shared" si="55"/>
        <v>1.12E-2</v>
      </c>
      <c r="BJ369" s="218">
        <f t="shared" si="53"/>
        <v>73021.571362192015</v>
      </c>
      <c r="BK369" s="217">
        <f t="shared" si="56"/>
        <v>1000</v>
      </c>
    </row>
    <row r="370" spans="8:63" s="215" customFormat="1">
      <c r="H370" s="211"/>
      <c r="I370" s="211"/>
      <c r="J370" s="211"/>
      <c r="K370" s="211"/>
      <c r="L370" s="211"/>
      <c r="M370" s="211"/>
      <c r="BF370" s="215">
        <v>321</v>
      </c>
      <c r="BG370" s="218">
        <f t="shared" si="54"/>
        <v>6593804.7287007645</v>
      </c>
      <c r="BH370" s="215">
        <v>321</v>
      </c>
      <c r="BI370" s="219">
        <f t="shared" si="55"/>
        <v>1.12E-2</v>
      </c>
      <c r="BJ370" s="218">
        <f t="shared" ref="BJ370:BJ433" si="57">BG370*BI370</f>
        <v>73850.612961448554</v>
      </c>
      <c r="BK370" s="217">
        <f t="shared" si="56"/>
        <v>1000</v>
      </c>
    </row>
    <row r="371" spans="8:63" s="215" customFormat="1">
      <c r="H371" s="211"/>
      <c r="I371" s="211"/>
      <c r="J371" s="211"/>
      <c r="K371" s="211"/>
      <c r="L371" s="211"/>
      <c r="M371" s="211"/>
      <c r="BF371" s="215">
        <v>322</v>
      </c>
      <c r="BG371" s="218">
        <f t="shared" ref="BG371:BG434" si="58">BG370+BJ370+BK371</f>
        <v>6668655.3416622132</v>
      </c>
      <c r="BH371" s="215">
        <v>322</v>
      </c>
      <c r="BI371" s="219">
        <f t="shared" ref="BI371:BI434" si="59">BI370</f>
        <v>1.12E-2</v>
      </c>
      <c r="BJ371" s="218">
        <f t="shared" si="57"/>
        <v>74688.939826616785</v>
      </c>
      <c r="BK371" s="217">
        <f t="shared" ref="BK371:BK434" si="60">BK370</f>
        <v>1000</v>
      </c>
    </row>
    <row r="372" spans="8:63" s="215" customFormat="1">
      <c r="H372" s="211"/>
      <c r="I372" s="211"/>
      <c r="J372" s="211"/>
      <c r="K372" s="211"/>
      <c r="L372" s="211"/>
      <c r="M372" s="211"/>
      <c r="BF372" s="215">
        <v>323</v>
      </c>
      <c r="BG372" s="218">
        <f t="shared" si="58"/>
        <v>6744344.2814888302</v>
      </c>
      <c r="BH372" s="215">
        <v>323</v>
      </c>
      <c r="BI372" s="219">
        <f t="shared" si="59"/>
        <v>1.12E-2</v>
      </c>
      <c r="BJ372" s="218">
        <f t="shared" si="57"/>
        <v>75536.655952674904</v>
      </c>
      <c r="BK372" s="217">
        <f t="shared" si="60"/>
        <v>1000</v>
      </c>
    </row>
    <row r="373" spans="8:63" s="215" customFormat="1">
      <c r="H373" s="211"/>
      <c r="I373" s="211"/>
      <c r="J373" s="211"/>
      <c r="K373" s="211"/>
      <c r="L373" s="211"/>
      <c r="M373" s="211"/>
      <c r="BF373" s="215">
        <v>324</v>
      </c>
      <c r="BG373" s="218">
        <f t="shared" si="58"/>
        <v>6820880.9374415055</v>
      </c>
      <c r="BH373" s="215">
        <v>324</v>
      </c>
      <c r="BI373" s="219">
        <f t="shared" si="59"/>
        <v>1.12E-2</v>
      </c>
      <c r="BJ373" s="218">
        <f t="shared" si="57"/>
        <v>76393.866499344862</v>
      </c>
      <c r="BK373" s="217">
        <f t="shared" si="60"/>
        <v>1000</v>
      </c>
    </row>
    <row r="374" spans="8:63" s="215" customFormat="1">
      <c r="H374" s="211"/>
      <c r="I374" s="211"/>
      <c r="J374" s="211"/>
      <c r="K374" s="211"/>
      <c r="L374" s="211"/>
      <c r="M374" s="211"/>
      <c r="BF374" s="215">
        <v>325</v>
      </c>
      <c r="BG374" s="218">
        <f t="shared" si="58"/>
        <v>6898274.8039408503</v>
      </c>
      <c r="BH374" s="215">
        <v>325</v>
      </c>
      <c r="BI374" s="219">
        <f t="shared" si="59"/>
        <v>1.12E-2</v>
      </c>
      <c r="BJ374" s="218">
        <f t="shared" si="57"/>
        <v>77260.677804137522</v>
      </c>
      <c r="BK374" s="217">
        <f t="shared" si="60"/>
        <v>1000</v>
      </c>
    </row>
    <row r="375" spans="8:63" s="215" customFormat="1">
      <c r="H375" s="211"/>
      <c r="I375" s="211"/>
      <c r="J375" s="211"/>
      <c r="K375" s="211"/>
      <c r="L375" s="211"/>
      <c r="M375" s="211"/>
      <c r="BF375" s="215">
        <v>326</v>
      </c>
      <c r="BG375" s="218">
        <f t="shared" si="58"/>
        <v>6976535.4817449879</v>
      </c>
      <c r="BH375" s="215">
        <v>326</v>
      </c>
      <c r="BI375" s="219">
        <f t="shared" si="59"/>
        <v>1.12E-2</v>
      </c>
      <c r="BJ375" s="218">
        <f t="shared" si="57"/>
        <v>78137.197395543859</v>
      </c>
      <c r="BK375" s="217">
        <f t="shared" si="60"/>
        <v>1000</v>
      </c>
    </row>
    <row r="376" spans="8:63" s="215" customFormat="1">
      <c r="H376" s="211"/>
      <c r="I376" s="211"/>
      <c r="J376" s="211"/>
      <c r="K376" s="211"/>
      <c r="L376" s="211"/>
      <c r="M376" s="211"/>
      <c r="BF376" s="215">
        <v>327</v>
      </c>
      <c r="BG376" s="218">
        <f t="shared" si="58"/>
        <v>7055672.6791405315</v>
      </c>
      <c r="BH376" s="215">
        <v>327</v>
      </c>
      <c r="BI376" s="219">
        <f t="shared" si="59"/>
        <v>1.12E-2</v>
      </c>
      <c r="BJ376" s="218">
        <f t="shared" si="57"/>
        <v>79023.534006373957</v>
      </c>
      <c r="BK376" s="217">
        <f t="shared" si="60"/>
        <v>1000</v>
      </c>
    </row>
    <row r="377" spans="8:63" s="215" customFormat="1">
      <c r="H377" s="211"/>
      <c r="I377" s="211"/>
      <c r="J377" s="211"/>
      <c r="K377" s="211"/>
      <c r="L377" s="211"/>
      <c r="M377" s="211"/>
      <c r="BF377" s="215">
        <v>328</v>
      </c>
      <c r="BG377" s="218">
        <f t="shared" si="58"/>
        <v>7135696.2131469054</v>
      </c>
      <c r="BH377" s="215">
        <v>328</v>
      </c>
      <c r="BI377" s="219">
        <f t="shared" si="59"/>
        <v>1.12E-2</v>
      </c>
      <c r="BJ377" s="218">
        <f t="shared" si="57"/>
        <v>79919.797587245339</v>
      </c>
      <c r="BK377" s="217">
        <f t="shared" si="60"/>
        <v>1000</v>
      </c>
    </row>
    <row r="378" spans="8:63" s="215" customFormat="1">
      <c r="H378" s="211"/>
      <c r="I378" s="211"/>
      <c r="J378" s="211"/>
      <c r="K378" s="211"/>
      <c r="L378" s="211"/>
      <c r="M378" s="211"/>
      <c r="BF378" s="215">
        <v>329</v>
      </c>
      <c r="BG378" s="218">
        <f t="shared" si="58"/>
        <v>7216616.0107341511</v>
      </c>
      <c r="BH378" s="215">
        <v>329</v>
      </c>
      <c r="BI378" s="219">
        <f t="shared" si="59"/>
        <v>1.12E-2</v>
      </c>
      <c r="BJ378" s="218">
        <f t="shared" si="57"/>
        <v>80826.099320222493</v>
      </c>
      <c r="BK378" s="217">
        <f t="shared" si="60"/>
        <v>1000</v>
      </c>
    </row>
    <row r="379" spans="8:63" s="215" customFormat="1">
      <c r="H379" s="211"/>
      <c r="I379" s="211"/>
      <c r="J379" s="211"/>
      <c r="K379" s="211"/>
      <c r="L379" s="211"/>
      <c r="M379" s="211"/>
      <c r="BF379" s="215">
        <v>330</v>
      </c>
      <c r="BG379" s="218">
        <f t="shared" si="58"/>
        <v>7298442.1100543737</v>
      </c>
      <c r="BH379" s="215">
        <v>330</v>
      </c>
      <c r="BI379" s="219">
        <f t="shared" si="59"/>
        <v>1.12E-2</v>
      </c>
      <c r="BJ379" s="218">
        <f t="shared" si="57"/>
        <v>81742.551632608986</v>
      </c>
      <c r="BK379" s="217">
        <f t="shared" si="60"/>
        <v>1000</v>
      </c>
    </row>
    <row r="380" spans="8:63" s="215" customFormat="1">
      <c r="H380" s="211"/>
      <c r="I380" s="211"/>
      <c r="J380" s="211"/>
      <c r="K380" s="211"/>
      <c r="L380" s="211"/>
      <c r="M380" s="211"/>
      <c r="BF380" s="215">
        <v>331</v>
      </c>
      <c r="BG380" s="218">
        <f t="shared" si="58"/>
        <v>7381184.661686983</v>
      </c>
      <c r="BH380" s="215">
        <v>331</v>
      </c>
      <c r="BI380" s="219">
        <f t="shared" si="59"/>
        <v>1.12E-2</v>
      </c>
      <c r="BJ380" s="218">
        <f t="shared" si="57"/>
        <v>82669.26821089421</v>
      </c>
      <c r="BK380" s="217">
        <f t="shared" si="60"/>
        <v>1000</v>
      </c>
    </row>
    <row r="381" spans="8:63" s="215" customFormat="1">
      <c r="H381" s="211"/>
      <c r="I381" s="211"/>
      <c r="J381" s="211"/>
      <c r="K381" s="211"/>
      <c r="L381" s="211"/>
      <c r="M381" s="211"/>
      <c r="BF381" s="215">
        <v>332</v>
      </c>
      <c r="BG381" s="218">
        <f t="shared" si="58"/>
        <v>7464853.9298978774</v>
      </c>
      <c r="BH381" s="215">
        <v>332</v>
      </c>
      <c r="BI381" s="219">
        <f t="shared" si="59"/>
        <v>1.12E-2</v>
      </c>
      <c r="BJ381" s="218">
        <f t="shared" si="57"/>
        <v>83606.364014856226</v>
      </c>
      <c r="BK381" s="217">
        <f t="shared" si="60"/>
        <v>1000</v>
      </c>
    </row>
    <row r="382" spans="8:63" s="215" customFormat="1">
      <c r="H382" s="211"/>
      <c r="I382" s="211"/>
      <c r="J382" s="211"/>
      <c r="K382" s="211"/>
      <c r="L382" s="211"/>
      <c r="M382" s="211"/>
      <c r="BF382" s="215">
        <v>333</v>
      </c>
      <c r="BG382" s="218">
        <f t="shared" si="58"/>
        <v>7549460.2939127339</v>
      </c>
      <c r="BH382" s="215">
        <v>333</v>
      </c>
      <c r="BI382" s="219">
        <f t="shared" si="59"/>
        <v>1.12E-2</v>
      </c>
      <c r="BJ382" s="218">
        <f t="shared" si="57"/>
        <v>84553.955291822625</v>
      </c>
      <c r="BK382" s="217">
        <f t="shared" si="60"/>
        <v>1000</v>
      </c>
    </row>
    <row r="383" spans="8:63" s="215" customFormat="1">
      <c r="H383" s="211"/>
      <c r="I383" s="211"/>
      <c r="J383" s="211"/>
      <c r="K383" s="211"/>
      <c r="L383" s="211"/>
      <c r="M383" s="211"/>
      <c r="BF383" s="215">
        <v>334</v>
      </c>
      <c r="BG383" s="218">
        <f t="shared" si="58"/>
        <v>7635014.2492045565</v>
      </c>
      <c r="BH383" s="215">
        <v>334</v>
      </c>
      <c r="BI383" s="219">
        <f t="shared" si="59"/>
        <v>1.12E-2</v>
      </c>
      <c r="BJ383" s="218">
        <f t="shared" si="57"/>
        <v>85512.159591091026</v>
      </c>
      <c r="BK383" s="217">
        <f t="shared" si="60"/>
        <v>1000</v>
      </c>
    </row>
    <row r="384" spans="8:63" s="215" customFormat="1">
      <c r="H384" s="211"/>
      <c r="I384" s="211"/>
      <c r="J384" s="211"/>
      <c r="K384" s="211"/>
      <c r="L384" s="211"/>
      <c r="M384" s="211"/>
      <c r="BF384" s="215">
        <v>335</v>
      </c>
      <c r="BG384" s="218">
        <f t="shared" si="58"/>
        <v>7721526.4087956473</v>
      </c>
      <c r="BH384" s="215">
        <v>335</v>
      </c>
      <c r="BI384" s="219">
        <f t="shared" si="59"/>
        <v>1.12E-2</v>
      </c>
      <c r="BJ384" s="218">
        <f t="shared" si="57"/>
        <v>86481.095778511255</v>
      </c>
      <c r="BK384" s="217">
        <f t="shared" si="60"/>
        <v>1000</v>
      </c>
    </row>
    <row r="385" spans="8:63" s="215" customFormat="1">
      <c r="H385" s="211"/>
      <c r="I385" s="211"/>
      <c r="J385" s="211"/>
      <c r="K385" s="211"/>
      <c r="L385" s="211"/>
      <c r="M385" s="211"/>
      <c r="BF385" s="215">
        <v>336</v>
      </c>
      <c r="BG385" s="218">
        <f t="shared" si="58"/>
        <v>7809007.5045741582</v>
      </c>
      <c r="BH385" s="215">
        <v>336</v>
      </c>
      <c r="BI385" s="219">
        <f t="shared" si="59"/>
        <v>1.12E-2</v>
      </c>
      <c r="BJ385" s="218">
        <f t="shared" si="57"/>
        <v>87460.884051230576</v>
      </c>
      <c r="BK385" s="217">
        <f t="shared" si="60"/>
        <v>1000</v>
      </c>
    </row>
    <row r="386" spans="8:63" s="215" customFormat="1">
      <c r="H386" s="211"/>
      <c r="I386" s="211"/>
      <c r="J386" s="211"/>
      <c r="K386" s="211"/>
      <c r="L386" s="211"/>
      <c r="M386" s="211"/>
      <c r="BF386" s="215">
        <v>337</v>
      </c>
      <c r="BG386" s="218">
        <f t="shared" si="58"/>
        <v>7897468.388625389</v>
      </c>
      <c r="BH386" s="215">
        <v>337</v>
      </c>
      <c r="BI386" s="219">
        <f t="shared" si="59"/>
        <v>1.12E-2</v>
      </c>
      <c r="BJ386" s="218">
        <f t="shared" si="57"/>
        <v>88451.645952604362</v>
      </c>
      <c r="BK386" s="217">
        <f t="shared" si="60"/>
        <v>1000</v>
      </c>
    </row>
    <row r="387" spans="8:63" s="215" customFormat="1">
      <c r="H387" s="211"/>
      <c r="I387" s="211"/>
      <c r="J387" s="211"/>
      <c r="K387" s="211"/>
      <c r="L387" s="211"/>
      <c r="M387" s="211"/>
      <c r="BF387" s="215">
        <v>338</v>
      </c>
      <c r="BG387" s="218">
        <f t="shared" si="58"/>
        <v>7986920.0345779937</v>
      </c>
      <c r="BH387" s="215">
        <v>338</v>
      </c>
      <c r="BI387" s="219">
        <f t="shared" si="59"/>
        <v>1.12E-2</v>
      </c>
      <c r="BJ387" s="218">
        <f t="shared" si="57"/>
        <v>89453.504387273526</v>
      </c>
      <c r="BK387" s="217">
        <f t="shared" si="60"/>
        <v>1000</v>
      </c>
    </row>
    <row r="388" spans="8:63" s="215" customFormat="1">
      <c r="H388" s="211"/>
      <c r="I388" s="211"/>
      <c r="J388" s="211"/>
      <c r="K388" s="211"/>
      <c r="L388" s="211"/>
      <c r="M388" s="211"/>
      <c r="BF388" s="215">
        <v>339</v>
      </c>
      <c r="BG388" s="218">
        <f t="shared" si="58"/>
        <v>8077373.5389652671</v>
      </c>
      <c r="BH388" s="215">
        <v>339</v>
      </c>
      <c r="BI388" s="219">
        <f t="shared" si="59"/>
        <v>1.12E-2</v>
      </c>
      <c r="BJ388" s="218">
        <f t="shared" si="57"/>
        <v>90466.583636410985</v>
      </c>
      <c r="BK388" s="217">
        <f t="shared" si="60"/>
        <v>1000</v>
      </c>
    </row>
    <row r="389" spans="8:63" s="215" customFormat="1">
      <c r="H389" s="211"/>
      <c r="I389" s="211"/>
      <c r="J389" s="211"/>
      <c r="K389" s="211"/>
      <c r="L389" s="211"/>
      <c r="M389" s="211"/>
      <c r="BF389" s="215">
        <v>340</v>
      </c>
      <c r="BG389" s="218">
        <f t="shared" si="58"/>
        <v>8168840.1226016777</v>
      </c>
      <c r="BH389" s="215">
        <v>340</v>
      </c>
      <c r="BI389" s="219">
        <f t="shared" si="59"/>
        <v>1.12E-2</v>
      </c>
      <c r="BJ389" s="218">
        <f t="shared" si="57"/>
        <v>91491.00937313879</v>
      </c>
      <c r="BK389" s="217">
        <f t="shared" si="60"/>
        <v>1000</v>
      </c>
    </row>
    <row r="390" spans="8:63" s="215" customFormat="1">
      <c r="H390" s="211"/>
      <c r="I390" s="211"/>
      <c r="J390" s="211"/>
      <c r="K390" s="211"/>
      <c r="L390" s="211"/>
      <c r="M390" s="211"/>
      <c r="BF390" s="215">
        <v>341</v>
      </c>
      <c r="BG390" s="218">
        <f t="shared" si="58"/>
        <v>8261331.1319748163</v>
      </c>
      <c r="BH390" s="215">
        <v>341</v>
      </c>
      <c r="BI390" s="219">
        <f t="shared" si="59"/>
        <v>1.12E-2</v>
      </c>
      <c r="BJ390" s="218">
        <f t="shared" si="57"/>
        <v>92526.908678117936</v>
      </c>
      <c r="BK390" s="217">
        <f t="shared" si="60"/>
        <v>1000</v>
      </c>
    </row>
    <row r="391" spans="8:63" s="215" customFormat="1">
      <c r="H391" s="211"/>
      <c r="I391" s="211"/>
      <c r="J391" s="211"/>
      <c r="K391" s="211"/>
      <c r="L391" s="211"/>
      <c r="M391" s="211"/>
      <c r="BF391" s="215">
        <v>342</v>
      </c>
      <c r="BG391" s="218">
        <f t="shared" si="58"/>
        <v>8354858.0406529345</v>
      </c>
      <c r="BH391" s="215">
        <v>342</v>
      </c>
      <c r="BI391" s="219">
        <f t="shared" si="59"/>
        <v>1.12E-2</v>
      </c>
      <c r="BJ391" s="218">
        <f t="shared" si="57"/>
        <v>93574.410055312866</v>
      </c>
      <c r="BK391" s="217">
        <f t="shared" si="60"/>
        <v>1000</v>
      </c>
    </row>
    <row r="392" spans="8:63" s="215" customFormat="1">
      <c r="H392" s="211"/>
      <c r="I392" s="211"/>
      <c r="J392" s="211"/>
      <c r="K392" s="211"/>
      <c r="L392" s="211"/>
      <c r="M392" s="211"/>
      <c r="BF392" s="215">
        <v>343</v>
      </c>
      <c r="BG392" s="218">
        <f t="shared" si="58"/>
        <v>8449432.4507082477</v>
      </c>
      <c r="BH392" s="215">
        <v>343</v>
      </c>
      <c r="BI392" s="219">
        <f t="shared" si="59"/>
        <v>1.12E-2</v>
      </c>
      <c r="BJ392" s="218">
        <f t="shared" si="57"/>
        <v>94633.64344793238</v>
      </c>
      <c r="BK392" s="217">
        <f t="shared" si="60"/>
        <v>1000</v>
      </c>
    </row>
    <row r="393" spans="8:63" s="215" customFormat="1">
      <c r="H393" s="211"/>
      <c r="I393" s="211"/>
      <c r="J393" s="211"/>
      <c r="K393" s="211"/>
      <c r="L393" s="211"/>
      <c r="M393" s="211"/>
      <c r="BF393" s="215">
        <v>344</v>
      </c>
      <c r="BG393" s="218">
        <f t="shared" si="58"/>
        <v>8545066.0941561796</v>
      </c>
      <c r="BH393" s="215">
        <v>344</v>
      </c>
      <c r="BI393" s="219">
        <f t="shared" si="59"/>
        <v>1.12E-2</v>
      </c>
      <c r="BJ393" s="218">
        <f t="shared" si="57"/>
        <v>95704.740254549208</v>
      </c>
      <c r="BK393" s="217">
        <f t="shared" si="60"/>
        <v>1000</v>
      </c>
    </row>
    <row r="394" spans="8:63" s="215" customFormat="1">
      <c r="H394" s="211"/>
      <c r="I394" s="211"/>
      <c r="J394" s="211"/>
      <c r="K394" s="211"/>
      <c r="L394" s="211"/>
      <c r="M394" s="211"/>
      <c r="BF394" s="215">
        <v>345</v>
      </c>
      <c r="BG394" s="218">
        <f t="shared" si="58"/>
        <v>8641770.8344107289</v>
      </c>
      <c r="BH394" s="215">
        <v>345</v>
      </c>
      <c r="BI394" s="219">
        <f t="shared" si="59"/>
        <v>1.12E-2</v>
      </c>
      <c r="BJ394" s="218">
        <f t="shared" si="57"/>
        <v>96787.833345400169</v>
      </c>
      <c r="BK394" s="217">
        <f t="shared" si="60"/>
        <v>1000</v>
      </c>
    </row>
    <row r="395" spans="8:63" s="215" customFormat="1">
      <c r="H395" s="211"/>
      <c r="I395" s="211"/>
      <c r="J395" s="211"/>
      <c r="K395" s="211"/>
      <c r="L395" s="211"/>
      <c r="M395" s="211"/>
      <c r="BF395" s="215">
        <v>346</v>
      </c>
      <c r="BG395" s="218">
        <f t="shared" si="58"/>
        <v>8739558.6677561291</v>
      </c>
      <c r="BH395" s="215">
        <v>346</v>
      </c>
      <c r="BI395" s="219">
        <f t="shared" si="59"/>
        <v>1.12E-2</v>
      </c>
      <c r="BJ395" s="218">
        <f t="shared" si="57"/>
        <v>97883.057078868645</v>
      </c>
      <c r="BK395" s="217">
        <f t="shared" si="60"/>
        <v>1000</v>
      </c>
    </row>
    <row r="396" spans="8:63" s="215" customFormat="1">
      <c r="H396" s="211"/>
      <c r="I396" s="211"/>
      <c r="J396" s="211"/>
      <c r="K396" s="211"/>
      <c r="L396" s="211"/>
      <c r="M396" s="211"/>
      <c r="BF396" s="215">
        <v>347</v>
      </c>
      <c r="BG396" s="218">
        <f t="shared" si="58"/>
        <v>8838441.7248349972</v>
      </c>
      <c r="BH396" s="215">
        <v>347</v>
      </c>
      <c r="BI396" s="219">
        <f t="shared" si="59"/>
        <v>1.12E-2</v>
      </c>
      <c r="BJ396" s="218">
        <f t="shared" si="57"/>
        <v>98990.547318151963</v>
      </c>
      <c r="BK396" s="217">
        <f t="shared" si="60"/>
        <v>1000</v>
      </c>
    </row>
    <row r="397" spans="8:63" s="215" customFormat="1">
      <c r="H397" s="211"/>
      <c r="I397" s="211"/>
      <c r="J397" s="211"/>
      <c r="K397" s="211"/>
      <c r="L397" s="211"/>
      <c r="M397" s="211"/>
      <c r="BF397" s="215">
        <v>348</v>
      </c>
      <c r="BG397" s="218">
        <f t="shared" si="58"/>
        <v>8938432.2721531484</v>
      </c>
      <c r="BH397" s="215">
        <v>348</v>
      </c>
      <c r="BI397" s="219">
        <f t="shared" si="59"/>
        <v>1.12E-2</v>
      </c>
      <c r="BJ397" s="218">
        <f t="shared" si="57"/>
        <v>100110.44144811526</v>
      </c>
      <c r="BK397" s="217">
        <f t="shared" si="60"/>
        <v>1000</v>
      </c>
    </row>
    <row r="398" spans="8:63" s="215" customFormat="1">
      <c r="H398" s="211"/>
      <c r="I398" s="211"/>
      <c r="J398" s="211"/>
      <c r="K398" s="211"/>
      <c r="L398" s="211"/>
      <c r="M398" s="211"/>
      <c r="BF398" s="215">
        <v>349</v>
      </c>
      <c r="BG398" s="218">
        <f t="shared" si="58"/>
        <v>9039542.7136012632</v>
      </c>
      <c r="BH398" s="215">
        <v>349</v>
      </c>
      <c r="BI398" s="219">
        <f t="shared" si="59"/>
        <v>1.12E-2</v>
      </c>
      <c r="BJ398" s="218">
        <f t="shared" si="57"/>
        <v>101242.87839233415</v>
      </c>
      <c r="BK398" s="217">
        <f t="shared" si="60"/>
        <v>1000</v>
      </c>
    </row>
    <row r="399" spans="8:63" s="215" customFormat="1">
      <c r="H399" s="211"/>
      <c r="I399" s="211"/>
      <c r="J399" s="211"/>
      <c r="K399" s="211"/>
      <c r="L399" s="211"/>
      <c r="M399" s="211"/>
      <c r="BF399" s="215">
        <v>350</v>
      </c>
      <c r="BG399" s="218">
        <f t="shared" si="58"/>
        <v>9141785.5919935983</v>
      </c>
      <c r="BH399" s="215">
        <v>350</v>
      </c>
      <c r="BI399" s="219">
        <f t="shared" si="59"/>
        <v>1.12E-2</v>
      </c>
      <c r="BJ399" s="218">
        <f t="shared" si="57"/>
        <v>102387.99863032829</v>
      </c>
      <c r="BK399" s="217">
        <f t="shared" si="60"/>
        <v>1000</v>
      </c>
    </row>
    <row r="400" spans="8:63" s="215" customFormat="1">
      <c r="H400" s="211"/>
      <c r="I400" s="211"/>
      <c r="J400" s="211"/>
      <c r="K400" s="211"/>
      <c r="L400" s="211"/>
      <c r="M400" s="211"/>
      <c r="BF400" s="215">
        <v>351</v>
      </c>
      <c r="BG400" s="218">
        <f t="shared" si="58"/>
        <v>9245173.5906239264</v>
      </c>
      <c r="BH400" s="215">
        <v>351</v>
      </c>
      <c r="BI400" s="219">
        <f t="shared" si="59"/>
        <v>1.12E-2</v>
      </c>
      <c r="BJ400" s="218">
        <f t="shared" si="57"/>
        <v>103545.94421498798</v>
      </c>
      <c r="BK400" s="217">
        <f t="shared" si="60"/>
        <v>1000</v>
      </c>
    </row>
    <row r="401" spans="8:63" s="215" customFormat="1">
      <c r="H401" s="211"/>
      <c r="I401" s="211"/>
      <c r="J401" s="211"/>
      <c r="K401" s="211"/>
      <c r="L401" s="211"/>
      <c r="M401" s="211"/>
      <c r="BF401" s="215">
        <v>352</v>
      </c>
      <c r="BG401" s="218">
        <f t="shared" si="58"/>
        <v>9349719.5348389149</v>
      </c>
      <c r="BH401" s="215">
        <v>352</v>
      </c>
      <c r="BI401" s="219">
        <f t="shared" si="59"/>
        <v>1.12E-2</v>
      </c>
      <c r="BJ401" s="218">
        <f t="shared" si="57"/>
        <v>104716.85879019585</v>
      </c>
      <c r="BK401" s="217">
        <f t="shared" si="60"/>
        <v>1000</v>
      </c>
    </row>
    <row r="402" spans="8:63" s="215" customFormat="1">
      <c r="H402" s="211"/>
      <c r="I402" s="211"/>
      <c r="J402" s="211"/>
      <c r="K402" s="211"/>
      <c r="L402" s="211"/>
      <c r="M402" s="211"/>
      <c r="BF402" s="215">
        <v>353</v>
      </c>
      <c r="BG402" s="218">
        <f t="shared" si="58"/>
        <v>9455436.3936291113</v>
      </c>
      <c r="BH402" s="215">
        <v>353</v>
      </c>
      <c r="BI402" s="219">
        <f t="shared" si="59"/>
        <v>1.12E-2</v>
      </c>
      <c r="BJ402" s="218">
        <f t="shared" si="57"/>
        <v>105900.88760864605</v>
      </c>
      <c r="BK402" s="217">
        <f t="shared" si="60"/>
        <v>1000</v>
      </c>
    </row>
    <row r="403" spans="8:63" s="215" customFormat="1">
      <c r="H403" s="211"/>
      <c r="I403" s="211"/>
      <c r="J403" s="211"/>
      <c r="K403" s="211"/>
      <c r="L403" s="211"/>
      <c r="M403" s="211"/>
      <c r="BF403" s="215">
        <v>354</v>
      </c>
      <c r="BG403" s="218">
        <f t="shared" si="58"/>
        <v>9562337.2812377568</v>
      </c>
      <c r="BH403" s="215">
        <v>354</v>
      </c>
      <c r="BI403" s="219">
        <f t="shared" si="59"/>
        <v>1.12E-2</v>
      </c>
      <c r="BJ403" s="218">
        <f t="shared" si="57"/>
        <v>107098.17754986287</v>
      </c>
      <c r="BK403" s="217">
        <f t="shared" si="60"/>
        <v>1000</v>
      </c>
    </row>
    <row r="404" spans="8:63" s="215" customFormat="1">
      <c r="H404" s="211"/>
      <c r="I404" s="211"/>
      <c r="J404" s="211"/>
      <c r="K404" s="211"/>
      <c r="L404" s="211"/>
      <c r="M404" s="211"/>
      <c r="BF404" s="215">
        <v>355</v>
      </c>
      <c r="BG404" s="218">
        <f t="shared" si="58"/>
        <v>9670435.4587876201</v>
      </c>
      <c r="BH404" s="215">
        <v>355</v>
      </c>
      <c r="BI404" s="219">
        <f t="shared" si="59"/>
        <v>1.12E-2</v>
      </c>
      <c r="BJ404" s="218">
        <f t="shared" si="57"/>
        <v>108308.87713842135</v>
      </c>
      <c r="BK404" s="217">
        <f t="shared" si="60"/>
        <v>1000</v>
      </c>
    </row>
    <row r="405" spans="8:63" s="215" customFormat="1">
      <c r="H405" s="211"/>
      <c r="I405" s="211"/>
      <c r="J405" s="211"/>
      <c r="K405" s="211"/>
      <c r="L405" s="211"/>
      <c r="M405" s="211"/>
      <c r="BF405" s="215">
        <v>356</v>
      </c>
      <c r="BG405" s="218">
        <f t="shared" si="58"/>
        <v>9779744.335926041</v>
      </c>
      <c r="BH405" s="215">
        <v>356</v>
      </c>
      <c r="BI405" s="219">
        <f t="shared" si="59"/>
        <v>1.12E-2</v>
      </c>
      <c r="BJ405" s="218">
        <f t="shared" si="57"/>
        <v>109533.13656237166</v>
      </c>
      <c r="BK405" s="217">
        <f t="shared" si="60"/>
        <v>1000</v>
      </c>
    </row>
    <row r="406" spans="8:63" s="215" customFormat="1">
      <c r="H406" s="211"/>
      <c r="I406" s="211"/>
      <c r="J406" s="211"/>
      <c r="K406" s="211"/>
      <c r="L406" s="211"/>
      <c r="M406" s="211"/>
      <c r="BF406" s="215">
        <v>357</v>
      </c>
      <c r="BG406" s="218">
        <f t="shared" si="58"/>
        <v>9890277.4724884126</v>
      </c>
      <c r="BH406" s="215">
        <v>357</v>
      </c>
      <c r="BI406" s="219">
        <f t="shared" si="59"/>
        <v>1.12E-2</v>
      </c>
      <c r="BJ406" s="218">
        <f t="shared" si="57"/>
        <v>110771.10769187022</v>
      </c>
      <c r="BK406" s="217">
        <f t="shared" si="60"/>
        <v>1000</v>
      </c>
    </row>
    <row r="407" spans="8:63" s="215" customFormat="1">
      <c r="H407" s="211"/>
      <c r="I407" s="211"/>
      <c r="J407" s="211"/>
      <c r="K407" s="211"/>
      <c r="L407" s="211"/>
      <c r="M407" s="211"/>
      <c r="BF407" s="215">
        <v>358</v>
      </c>
      <c r="BG407" s="218">
        <f t="shared" si="58"/>
        <v>10002048.580180284</v>
      </c>
      <c r="BH407" s="215">
        <v>358</v>
      </c>
      <c r="BI407" s="219">
        <f t="shared" si="59"/>
        <v>1.12E-2</v>
      </c>
      <c r="BJ407" s="218">
        <f t="shared" si="57"/>
        <v>112022.94409801917</v>
      </c>
      <c r="BK407" s="217">
        <f t="shared" si="60"/>
        <v>1000</v>
      </c>
    </row>
    <row r="408" spans="8:63" s="215" customFormat="1">
      <c r="H408" s="211"/>
      <c r="I408" s="211"/>
      <c r="J408" s="211"/>
      <c r="K408" s="211"/>
      <c r="L408" s="211"/>
      <c r="M408" s="211"/>
      <c r="BF408" s="215">
        <v>359</v>
      </c>
      <c r="BG408" s="218">
        <f t="shared" si="58"/>
        <v>10115071.524278304</v>
      </c>
      <c r="BH408" s="215">
        <v>359</v>
      </c>
      <c r="BI408" s="219">
        <f t="shared" si="59"/>
        <v>1.12E-2</v>
      </c>
      <c r="BJ408" s="218">
        <f t="shared" si="57"/>
        <v>113288.801071917</v>
      </c>
      <c r="BK408" s="217">
        <f t="shared" si="60"/>
        <v>1000</v>
      </c>
    </row>
    <row r="409" spans="8:63" s="215" customFormat="1">
      <c r="H409" s="211"/>
      <c r="I409" s="211"/>
      <c r="J409" s="211"/>
      <c r="K409" s="211"/>
      <c r="L409" s="211"/>
      <c r="M409" s="211"/>
      <c r="BF409" s="215">
        <v>360</v>
      </c>
      <c r="BG409" s="218">
        <f t="shared" si="58"/>
        <v>10229360.325350221</v>
      </c>
      <c r="BH409" s="215">
        <v>360</v>
      </c>
      <c r="BI409" s="219">
        <f t="shared" si="59"/>
        <v>1.12E-2</v>
      </c>
      <c r="BJ409" s="218">
        <f t="shared" si="57"/>
        <v>114568.83564392247</v>
      </c>
      <c r="BK409" s="217">
        <f t="shared" si="60"/>
        <v>1000</v>
      </c>
    </row>
    <row r="410" spans="8:63" s="215" customFormat="1">
      <c r="H410" s="211"/>
      <c r="I410" s="211"/>
      <c r="J410" s="211"/>
      <c r="K410" s="211"/>
      <c r="L410" s="211"/>
      <c r="M410" s="211"/>
      <c r="BF410" s="215">
        <v>361</v>
      </c>
      <c r="BG410" s="218">
        <f t="shared" si="58"/>
        <v>10344929.160994144</v>
      </c>
      <c r="BH410" s="215">
        <v>361</v>
      </c>
      <c r="BI410" s="219">
        <f t="shared" si="59"/>
        <v>1.12E-2</v>
      </c>
      <c r="BJ410" s="218">
        <f t="shared" si="57"/>
        <v>115863.20660313441</v>
      </c>
      <c r="BK410" s="217">
        <f t="shared" si="60"/>
        <v>1000</v>
      </c>
    </row>
    <row r="411" spans="8:63" s="215" customFormat="1">
      <c r="H411" s="211"/>
      <c r="I411" s="211"/>
      <c r="J411" s="211"/>
      <c r="K411" s="211"/>
      <c r="L411" s="211"/>
      <c r="M411" s="211"/>
      <c r="BF411" s="215">
        <v>362</v>
      </c>
      <c r="BG411" s="218">
        <f t="shared" si="58"/>
        <v>10461792.367597278</v>
      </c>
      <c r="BH411" s="215">
        <v>362</v>
      </c>
      <c r="BI411" s="219">
        <f t="shared" si="59"/>
        <v>1.12E-2</v>
      </c>
      <c r="BJ411" s="218">
        <f t="shared" si="57"/>
        <v>117172.07451708951</v>
      </c>
      <c r="BK411" s="217">
        <f t="shared" si="60"/>
        <v>1000</v>
      </c>
    </row>
    <row r="412" spans="8:63" s="215" customFormat="1">
      <c r="H412" s="211"/>
      <c r="I412" s="211"/>
      <c r="J412" s="211"/>
      <c r="K412" s="211"/>
      <c r="L412" s="211"/>
      <c r="M412" s="211"/>
      <c r="BF412" s="215">
        <v>363</v>
      </c>
      <c r="BG412" s="218">
        <f t="shared" si="58"/>
        <v>10579964.442114368</v>
      </c>
      <c r="BH412" s="215">
        <v>363</v>
      </c>
      <c r="BI412" s="219">
        <f t="shared" si="59"/>
        <v>1.12E-2</v>
      </c>
      <c r="BJ412" s="218">
        <f t="shared" si="57"/>
        <v>118495.60175168092</v>
      </c>
      <c r="BK412" s="217">
        <f t="shared" si="60"/>
        <v>1000</v>
      </c>
    </row>
    <row r="413" spans="8:63" s="215" customFormat="1">
      <c r="H413" s="211"/>
      <c r="I413" s="211"/>
      <c r="J413" s="211"/>
      <c r="K413" s="211"/>
      <c r="L413" s="211"/>
      <c r="M413" s="211"/>
      <c r="BF413" s="215">
        <v>364</v>
      </c>
      <c r="BG413" s="218">
        <f t="shared" si="58"/>
        <v>10699460.043866049</v>
      </c>
      <c r="BH413" s="215">
        <v>364</v>
      </c>
      <c r="BI413" s="219">
        <f t="shared" si="59"/>
        <v>1.12E-2</v>
      </c>
      <c r="BJ413" s="218">
        <f t="shared" si="57"/>
        <v>119833.95249129976</v>
      </c>
      <c r="BK413" s="217">
        <f t="shared" si="60"/>
        <v>1000</v>
      </c>
    </row>
    <row r="414" spans="8:63" s="215" customFormat="1">
      <c r="H414" s="211"/>
      <c r="I414" s="211"/>
      <c r="J414" s="211"/>
      <c r="K414" s="211"/>
      <c r="L414" s="211"/>
      <c r="M414" s="211"/>
      <c r="BF414" s="215">
        <v>365</v>
      </c>
      <c r="BG414" s="218">
        <f t="shared" si="58"/>
        <v>10820293.99635735</v>
      </c>
      <c r="BH414" s="215">
        <v>365</v>
      </c>
      <c r="BI414" s="219">
        <f t="shared" si="59"/>
        <v>1.12E-2</v>
      </c>
      <c r="BJ414" s="218">
        <f t="shared" si="57"/>
        <v>121187.29275920232</v>
      </c>
      <c r="BK414" s="217">
        <f t="shared" si="60"/>
        <v>1000</v>
      </c>
    </row>
    <row r="415" spans="8:63" s="215" customFormat="1">
      <c r="H415" s="211"/>
      <c r="I415" s="211"/>
      <c r="J415" s="211"/>
      <c r="K415" s="211"/>
      <c r="L415" s="211"/>
      <c r="M415" s="211"/>
      <c r="BF415" s="215">
        <v>366</v>
      </c>
      <c r="BG415" s="218">
        <f t="shared" si="58"/>
        <v>10942481.289116552</v>
      </c>
      <c r="BH415" s="215">
        <v>366</v>
      </c>
      <c r="BI415" s="219">
        <f t="shared" si="59"/>
        <v>1.12E-2</v>
      </c>
      <c r="BJ415" s="218">
        <f t="shared" si="57"/>
        <v>122555.79043810538</v>
      </c>
      <c r="BK415" s="217">
        <f t="shared" si="60"/>
        <v>1000</v>
      </c>
    </row>
    <row r="416" spans="8:63" s="215" customFormat="1">
      <c r="H416" s="211"/>
      <c r="I416" s="211"/>
      <c r="J416" s="211"/>
      <c r="K416" s="211"/>
      <c r="L416" s="211"/>
      <c r="M416" s="211"/>
      <c r="BF416" s="215">
        <v>367</v>
      </c>
      <c r="BG416" s="218">
        <f t="shared" si="58"/>
        <v>11066037.079554658</v>
      </c>
      <c r="BH416" s="215">
        <v>367</v>
      </c>
      <c r="BI416" s="219">
        <f t="shared" si="59"/>
        <v>1.12E-2</v>
      </c>
      <c r="BJ416" s="218">
        <f t="shared" si="57"/>
        <v>123939.61529101217</v>
      </c>
      <c r="BK416" s="217">
        <f t="shared" si="60"/>
        <v>1000</v>
      </c>
    </row>
    <row r="417" spans="8:63" s="215" customFormat="1">
      <c r="H417" s="211"/>
      <c r="I417" s="211"/>
      <c r="J417" s="211"/>
      <c r="K417" s="211"/>
      <c r="L417" s="211"/>
      <c r="M417" s="211"/>
      <c r="BF417" s="215">
        <v>368</v>
      </c>
      <c r="BG417" s="218">
        <f t="shared" si="58"/>
        <v>11190976.694845671</v>
      </c>
      <c r="BH417" s="215">
        <v>368</v>
      </c>
      <c r="BI417" s="219">
        <f t="shared" si="59"/>
        <v>1.12E-2</v>
      </c>
      <c r="BJ417" s="218">
        <f t="shared" si="57"/>
        <v>125338.93898227152</v>
      </c>
      <c r="BK417" s="217">
        <f t="shared" si="60"/>
        <v>1000</v>
      </c>
    </row>
    <row r="418" spans="8:63" s="215" customFormat="1">
      <c r="H418" s="211"/>
      <c r="I418" s="211"/>
      <c r="J418" s="211"/>
      <c r="K418" s="211"/>
      <c r="L418" s="211"/>
      <c r="M418" s="211"/>
      <c r="BF418" s="215">
        <v>369</v>
      </c>
      <c r="BG418" s="218">
        <f t="shared" si="58"/>
        <v>11317315.633827941</v>
      </c>
      <c r="BH418" s="215">
        <v>369</v>
      </c>
      <c r="BI418" s="219">
        <f t="shared" si="59"/>
        <v>1.12E-2</v>
      </c>
      <c r="BJ418" s="218">
        <f t="shared" si="57"/>
        <v>126753.93509887294</v>
      </c>
      <c r="BK418" s="217">
        <f t="shared" si="60"/>
        <v>1000</v>
      </c>
    </row>
    <row r="419" spans="8:63" s="215" customFormat="1">
      <c r="H419" s="211"/>
      <c r="I419" s="211"/>
      <c r="J419" s="211"/>
      <c r="K419" s="211"/>
      <c r="L419" s="211"/>
      <c r="M419" s="211"/>
      <c r="BF419" s="215">
        <v>370</v>
      </c>
      <c r="BG419" s="218">
        <f t="shared" si="58"/>
        <v>11445069.568926815</v>
      </c>
      <c r="BH419" s="215">
        <v>370</v>
      </c>
      <c r="BI419" s="219">
        <f t="shared" si="59"/>
        <v>1.12E-2</v>
      </c>
      <c r="BJ419" s="218">
        <f t="shared" si="57"/>
        <v>128184.77917198032</v>
      </c>
      <c r="BK419" s="217">
        <f t="shared" si="60"/>
        <v>1000</v>
      </c>
    </row>
    <row r="420" spans="8:63" s="215" customFormat="1">
      <c r="H420" s="211"/>
      <c r="I420" s="211"/>
      <c r="J420" s="211"/>
      <c r="K420" s="211"/>
      <c r="L420" s="211"/>
      <c r="M420" s="211"/>
      <c r="BF420" s="215">
        <v>371</v>
      </c>
      <c r="BG420" s="218">
        <f t="shared" si="58"/>
        <v>11574254.348098796</v>
      </c>
      <c r="BH420" s="215">
        <v>371</v>
      </c>
      <c r="BI420" s="219">
        <f t="shared" si="59"/>
        <v>1.12E-2</v>
      </c>
      <c r="BJ420" s="218">
        <f t="shared" si="57"/>
        <v>129631.64869870651</v>
      </c>
      <c r="BK420" s="217">
        <f t="shared" si="60"/>
        <v>1000</v>
      </c>
    </row>
    <row r="421" spans="8:63" s="215" customFormat="1">
      <c r="H421" s="211"/>
      <c r="I421" s="211"/>
      <c r="J421" s="211"/>
      <c r="K421" s="211"/>
      <c r="L421" s="211"/>
      <c r="M421" s="211"/>
      <c r="BF421" s="215">
        <v>372</v>
      </c>
      <c r="BG421" s="218">
        <f t="shared" si="58"/>
        <v>11704885.996797502</v>
      </c>
      <c r="BH421" s="215">
        <v>372</v>
      </c>
      <c r="BI421" s="219">
        <f t="shared" si="59"/>
        <v>1.12E-2</v>
      </c>
      <c r="BJ421" s="218">
        <f t="shared" si="57"/>
        <v>131094.72316413201</v>
      </c>
      <c r="BK421" s="217">
        <f t="shared" si="60"/>
        <v>1000</v>
      </c>
    </row>
    <row r="422" spans="8:63" s="215" customFormat="1">
      <c r="H422" s="211"/>
      <c r="I422" s="211"/>
      <c r="J422" s="211"/>
      <c r="K422" s="211"/>
      <c r="L422" s="211"/>
      <c r="M422" s="211"/>
      <c r="BF422" s="215">
        <v>373</v>
      </c>
      <c r="BG422" s="218">
        <f t="shared" si="58"/>
        <v>11836980.719961634</v>
      </c>
      <c r="BH422" s="215">
        <v>373</v>
      </c>
      <c r="BI422" s="219">
        <f t="shared" si="59"/>
        <v>1.12E-2</v>
      </c>
      <c r="BJ422" s="218">
        <f t="shared" si="57"/>
        <v>132574.18406357031</v>
      </c>
      <c r="BK422" s="217">
        <f t="shared" si="60"/>
        <v>1000</v>
      </c>
    </row>
    <row r="423" spans="8:63" s="215" customFormat="1">
      <c r="H423" s="211"/>
      <c r="I423" s="211"/>
      <c r="J423" s="211"/>
      <c r="K423" s="211"/>
      <c r="L423" s="211"/>
      <c r="M423" s="211"/>
      <c r="BF423" s="215">
        <v>374</v>
      </c>
      <c r="BG423" s="218">
        <f t="shared" si="58"/>
        <v>11970554.904025204</v>
      </c>
      <c r="BH423" s="215">
        <v>374</v>
      </c>
      <c r="BI423" s="219">
        <f t="shared" si="59"/>
        <v>1.12E-2</v>
      </c>
      <c r="BJ423" s="218">
        <f t="shared" si="57"/>
        <v>134070.21492508228</v>
      </c>
      <c r="BK423" s="217">
        <f t="shared" si="60"/>
        <v>1000</v>
      </c>
    </row>
    <row r="424" spans="8:63" s="215" customFormat="1">
      <c r="H424" s="211"/>
      <c r="I424" s="211"/>
      <c r="J424" s="211"/>
      <c r="K424" s="211"/>
      <c r="L424" s="211"/>
      <c r="M424" s="211"/>
      <c r="BF424" s="215">
        <v>375</v>
      </c>
      <c r="BG424" s="218">
        <f t="shared" si="58"/>
        <v>12105625.118950287</v>
      </c>
      <c r="BH424" s="215">
        <v>375</v>
      </c>
      <c r="BI424" s="219">
        <f t="shared" si="59"/>
        <v>1.12E-2</v>
      </c>
      <c r="BJ424" s="218">
        <f t="shared" si="57"/>
        <v>135583.00133224321</v>
      </c>
      <c r="BK424" s="217">
        <f t="shared" si="60"/>
        <v>1000</v>
      </c>
    </row>
    <row r="425" spans="8:63" s="215" customFormat="1">
      <c r="H425" s="211"/>
      <c r="I425" s="211"/>
      <c r="J425" s="211"/>
      <c r="K425" s="211"/>
      <c r="L425" s="211"/>
      <c r="M425" s="211"/>
      <c r="BF425" s="215">
        <v>376</v>
      </c>
      <c r="BG425" s="218">
        <f t="shared" si="58"/>
        <v>12242208.120282531</v>
      </c>
      <c r="BH425" s="215">
        <v>376</v>
      </c>
      <c r="BI425" s="219">
        <f t="shared" si="59"/>
        <v>1.12E-2</v>
      </c>
      <c r="BJ425" s="218">
        <f t="shared" si="57"/>
        <v>137112.73094716435</v>
      </c>
      <c r="BK425" s="217">
        <f t="shared" si="60"/>
        <v>1000</v>
      </c>
    </row>
    <row r="426" spans="8:63" s="215" customFormat="1">
      <c r="H426" s="211"/>
      <c r="I426" s="211"/>
      <c r="J426" s="211"/>
      <c r="K426" s="211"/>
      <c r="L426" s="211"/>
      <c r="M426" s="211"/>
      <c r="BF426" s="215">
        <v>377</v>
      </c>
      <c r="BG426" s="218">
        <f t="shared" si="58"/>
        <v>12380320.851229696</v>
      </c>
      <c r="BH426" s="215">
        <v>377</v>
      </c>
      <c r="BI426" s="219">
        <f t="shared" si="59"/>
        <v>1.12E-2</v>
      </c>
      <c r="BJ426" s="218">
        <f t="shared" si="57"/>
        <v>138659.5935337726</v>
      </c>
      <c r="BK426" s="217">
        <f t="shared" si="60"/>
        <v>1000</v>
      </c>
    </row>
    <row r="427" spans="8:63" s="215" customFormat="1">
      <c r="H427" s="211"/>
      <c r="I427" s="211"/>
      <c r="J427" s="211"/>
      <c r="K427" s="211"/>
      <c r="L427" s="211"/>
      <c r="M427" s="211"/>
      <c r="BF427" s="215">
        <v>378</v>
      </c>
      <c r="BG427" s="218">
        <f t="shared" si="58"/>
        <v>12519980.444763469</v>
      </c>
      <c r="BH427" s="215">
        <v>378</v>
      </c>
      <c r="BI427" s="219">
        <f t="shared" si="59"/>
        <v>1.12E-2</v>
      </c>
      <c r="BJ427" s="218">
        <f t="shared" si="57"/>
        <v>140223.78098135084</v>
      </c>
      <c r="BK427" s="217">
        <f t="shared" si="60"/>
        <v>1000</v>
      </c>
    </row>
    <row r="428" spans="8:63" s="215" customFormat="1">
      <c r="H428" s="211"/>
      <c r="I428" s="211"/>
      <c r="J428" s="211"/>
      <c r="K428" s="211"/>
      <c r="L428" s="211"/>
      <c r="M428" s="211"/>
      <c r="BF428" s="215">
        <v>379</v>
      </c>
      <c r="BG428" s="218">
        <f t="shared" si="58"/>
        <v>12661204.225744819</v>
      </c>
      <c r="BH428" s="215">
        <v>379</v>
      </c>
      <c r="BI428" s="219">
        <f t="shared" si="59"/>
        <v>1.12E-2</v>
      </c>
      <c r="BJ428" s="218">
        <f t="shared" si="57"/>
        <v>141805.48732834199</v>
      </c>
      <c r="BK428" s="217">
        <f t="shared" si="60"/>
        <v>1000</v>
      </c>
    </row>
    <row r="429" spans="8:63" s="215" customFormat="1">
      <c r="H429" s="211"/>
      <c r="I429" s="211"/>
      <c r="J429" s="211"/>
      <c r="K429" s="211"/>
      <c r="L429" s="211"/>
      <c r="M429" s="211"/>
      <c r="BF429" s="215">
        <v>380</v>
      </c>
      <c r="BG429" s="218">
        <f t="shared" si="58"/>
        <v>12804009.71307316</v>
      </c>
      <c r="BH429" s="215">
        <v>380</v>
      </c>
      <c r="BI429" s="219">
        <f t="shared" si="59"/>
        <v>1.12E-2</v>
      </c>
      <c r="BJ429" s="218">
        <f t="shared" si="57"/>
        <v>143404.9087864194</v>
      </c>
      <c r="BK429" s="217">
        <f t="shared" si="60"/>
        <v>1000</v>
      </c>
    </row>
    <row r="430" spans="8:63" s="215" customFormat="1">
      <c r="H430" s="211"/>
      <c r="I430" s="211"/>
      <c r="J430" s="211"/>
      <c r="K430" s="211"/>
      <c r="L430" s="211"/>
      <c r="M430" s="211"/>
      <c r="BF430" s="215">
        <v>381</v>
      </c>
      <c r="BG430" s="218">
        <f t="shared" si="58"/>
        <v>12948414.62185958</v>
      </c>
      <c r="BH430" s="215">
        <v>381</v>
      </c>
      <c r="BI430" s="219">
        <f t="shared" si="59"/>
        <v>1.12E-2</v>
      </c>
      <c r="BJ430" s="218">
        <f t="shared" si="57"/>
        <v>145022.24376482729</v>
      </c>
      <c r="BK430" s="217">
        <f t="shared" si="60"/>
        <v>1000</v>
      </c>
    </row>
    <row r="431" spans="8:63" s="215" customFormat="1">
      <c r="H431" s="211"/>
      <c r="I431" s="211"/>
      <c r="J431" s="211"/>
      <c r="K431" s="211"/>
      <c r="L431" s="211"/>
      <c r="M431" s="211"/>
      <c r="BF431" s="215">
        <v>382</v>
      </c>
      <c r="BG431" s="218">
        <f t="shared" si="58"/>
        <v>13094436.865624407</v>
      </c>
      <c r="BH431" s="215">
        <v>382</v>
      </c>
      <c r="BI431" s="219">
        <f t="shared" si="59"/>
        <v>1.12E-2</v>
      </c>
      <c r="BJ431" s="218">
        <f t="shared" si="57"/>
        <v>146657.69289499335</v>
      </c>
      <c r="BK431" s="217">
        <f t="shared" si="60"/>
        <v>1000</v>
      </c>
    </row>
    <row r="432" spans="8:63" s="215" customFormat="1">
      <c r="H432" s="211"/>
      <c r="I432" s="211"/>
      <c r="J432" s="211"/>
      <c r="K432" s="211"/>
      <c r="L432" s="211"/>
      <c r="M432" s="211"/>
      <c r="BF432" s="215">
        <v>383</v>
      </c>
      <c r="BG432" s="218">
        <f t="shared" si="58"/>
        <v>13242094.558519401</v>
      </c>
      <c r="BH432" s="215">
        <v>383</v>
      </c>
      <c r="BI432" s="219">
        <f t="shared" si="59"/>
        <v>1.12E-2</v>
      </c>
      <c r="BJ432" s="218">
        <f t="shared" si="57"/>
        <v>148311.45905541728</v>
      </c>
      <c r="BK432" s="217">
        <f t="shared" si="60"/>
        <v>1000</v>
      </c>
    </row>
    <row r="433" spans="8:63" s="215" customFormat="1">
      <c r="H433" s="211"/>
      <c r="I433" s="211"/>
      <c r="J433" s="211"/>
      <c r="K433" s="211"/>
      <c r="L433" s="211"/>
      <c r="M433" s="211"/>
      <c r="BF433" s="215">
        <v>384</v>
      </c>
      <c r="BG433" s="218">
        <f t="shared" si="58"/>
        <v>13391406.017574819</v>
      </c>
      <c r="BH433" s="215">
        <v>384</v>
      </c>
      <c r="BI433" s="219">
        <f t="shared" si="59"/>
        <v>1.12E-2</v>
      </c>
      <c r="BJ433" s="218">
        <f t="shared" si="57"/>
        <v>149983.74739683798</v>
      </c>
      <c r="BK433" s="217">
        <f t="shared" si="60"/>
        <v>1000</v>
      </c>
    </row>
    <row r="434" spans="8:63" s="215" customFormat="1">
      <c r="H434" s="211"/>
      <c r="I434" s="211"/>
      <c r="J434" s="211"/>
      <c r="K434" s="211"/>
      <c r="L434" s="211"/>
      <c r="M434" s="211"/>
      <c r="BF434" s="215">
        <v>385</v>
      </c>
      <c r="BG434" s="218">
        <f t="shared" si="58"/>
        <v>13542389.764971657</v>
      </c>
      <c r="BH434" s="215">
        <v>385</v>
      </c>
      <c r="BI434" s="219">
        <f t="shared" si="59"/>
        <v>1.12E-2</v>
      </c>
      <c r="BJ434" s="218">
        <f t="shared" ref="BJ434:BJ497" si="61">BG434*BI434</f>
        <v>151674.76536768256</v>
      </c>
      <c r="BK434" s="217">
        <f t="shared" si="60"/>
        <v>1000</v>
      </c>
    </row>
    <row r="435" spans="8:63" s="215" customFormat="1">
      <c r="H435" s="211"/>
      <c r="I435" s="211"/>
      <c r="J435" s="211"/>
      <c r="K435" s="211"/>
      <c r="L435" s="211"/>
      <c r="M435" s="211"/>
      <c r="BF435" s="215">
        <v>386</v>
      </c>
      <c r="BG435" s="218">
        <f t="shared" ref="BG435:BG498" si="62">BG434+BJ434+BK435</f>
        <v>13695064.53033934</v>
      </c>
      <c r="BH435" s="215">
        <v>386</v>
      </c>
      <c r="BI435" s="219">
        <f t="shared" ref="BI435:BI498" si="63">BI434</f>
        <v>1.12E-2</v>
      </c>
      <c r="BJ435" s="218">
        <f t="shared" si="61"/>
        <v>153384.72273980061</v>
      </c>
      <c r="BK435" s="217">
        <f t="shared" ref="BK435:BK498" si="64">BK434</f>
        <v>1000</v>
      </c>
    </row>
    <row r="436" spans="8:63" s="215" customFormat="1">
      <c r="H436" s="211"/>
      <c r="I436" s="211"/>
      <c r="J436" s="211"/>
      <c r="K436" s="211"/>
      <c r="L436" s="211"/>
      <c r="M436" s="211"/>
      <c r="BF436" s="215">
        <v>387</v>
      </c>
      <c r="BG436" s="218">
        <f t="shared" si="62"/>
        <v>13849449.253079141</v>
      </c>
      <c r="BH436" s="215">
        <v>387</v>
      </c>
      <c r="BI436" s="219">
        <f t="shared" si="63"/>
        <v>1.12E-2</v>
      </c>
      <c r="BJ436" s="218">
        <f t="shared" si="61"/>
        <v>155113.83163448639</v>
      </c>
      <c r="BK436" s="217">
        <f t="shared" si="64"/>
        <v>1000</v>
      </c>
    </row>
    <row r="437" spans="8:63" s="215" customFormat="1">
      <c r="H437" s="211"/>
      <c r="I437" s="211"/>
      <c r="J437" s="211"/>
      <c r="K437" s="211"/>
      <c r="L437" s="211"/>
      <c r="M437" s="211"/>
      <c r="BF437" s="215">
        <v>388</v>
      </c>
      <c r="BG437" s="218">
        <f t="shared" si="62"/>
        <v>14005563.084713627</v>
      </c>
      <c r="BH437" s="215">
        <v>388</v>
      </c>
      <c r="BI437" s="219">
        <f t="shared" si="63"/>
        <v>1.12E-2</v>
      </c>
      <c r="BJ437" s="218">
        <f t="shared" si="61"/>
        <v>156862.30654879261</v>
      </c>
      <c r="BK437" s="217">
        <f t="shared" si="64"/>
        <v>1000</v>
      </c>
    </row>
    <row r="438" spans="8:63" s="215" customFormat="1">
      <c r="H438" s="211"/>
      <c r="I438" s="211"/>
      <c r="J438" s="211"/>
      <c r="K438" s="211"/>
      <c r="L438" s="211"/>
      <c r="M438" s="211"/>
      <c r="BF438" s="215">
        <v>389</v>
      </c>
      <c r="BG438" s="218">
        <f t="shared" si="62"/>
        <v>14163425.39126242</v>
      </c>
      <c r="BH438" s="215">
        <v>389</v>
      </c>
      <c r="BI438" s="219">
        <f t="shared" si="63"/>
        <v>1.12E-2</v>
      </c>
      <c r="BJ438" s="218">
        <f t="shared" si="61"/>
        <v>158630.36438213909</v>
      </c>
      <c r="BK438" s="217">
        <f t="shared" si="64"/>
        <v>1000</v>
      </c>
    </row>
    <row r="439" spans="8:63" s="215" customFormat="1">
      <c r="H439" s="211"/>
      <c r="I439" s="211"/>
      <c r="J439" s="211"/>
      <c r="K439" s="211"/>
      <c r="L439" s="211"/>
      <c r="M439" s="211"/>
      <c r="BF439" s="215">
        <v>390</v>
      </c>
      <c r="BG439" s="218">
        <f t="shared" si="62"/>
        <v>14323055.755644558</v>
      </c>
      <c r="BH439" s="215">
        <v>390</v>
      </c>
      <c r="BI439" s="219">
        <f t="shared" si="63"/>
        <v>1.12E-2</v>
      </c>
      <c r="BJ439" s="218">
        <f t="shared" si="61"/>
        <v>160418.22446321906</v>
      </c>
      <c r="BK439" s="217">
        <f t="shared" si="64"/>
        <v>1000</v>
      </c>
    </row>
    <row r="440" spans="8:63" s="215" customFormat="1">
      <c r="H440" s="211"/>
      <c r="I440" s="211"/>
      <c r="J440" s="211"/>
      <c r="K440" s="211"/>
      <c r="L440" s="211"/>
      <c r="M440" s="211"/>
      <c r="BF440" s="215">
        <v>391</v>
      </c>
      <c r="BG440" s="218">
        <f t="shared" si="62"/>
        <v>14484473.980107777</v>
      </c>
      <c r="BH440" s="215">
        <v>391</v>
      </c>
      <c r="BI440" s="219">
        <f t="shared" si="63"/>
        <v>1.12E-2</v>
      </c>
      <c r="BJ440" s="218">
        <f t="shared" si="61"/>
        <v>162226.10857720711</v>
      </c>
      <c r="BK440" s="217">
        <f t="shared" si="64"/>
        <v>1000</v>
      </c>
    </row>
    <row r="441" spans="8:63" s="215" customFormat="1">
      <c r="H441" s="211"/>
      <c r="I441" s="211"/>
      <c r="J441" s="211"/>
      <c r="K441" s="211"/>
      <c r="L441" s="211"/>
      <c r="M441" s="211"/>
      <c r="BF441" s="215">
        <v>392</v>
      </c>
      <c r="BG441" s="218">
        <f t="shared" si="62"/>
        <v>14647700.088684984</v>
      </c>
      <c r="BH441" s="215">
        <v>392</v>
      </c>
      <c r="BI441" s="219">
        <f t="shared" si="63"/>
        <v>1.12E-2</v>
      </c>
      <c r="BJ441" s="218">
        <f t="shared" si="61"/>
        <v>164054.24099327181</v>
      </c>
      <c r="BK441" s="217">
        <f t="shared" si="64"/>
        <v>1000</v>
      </c>
    </row>
    <row r="442" spans="8:63" s="215" customFormat="1">
      <c r="H442" s="211"/>
      <c r="I442" s="211"/>
      <c r="J442" s="211"/>
      <c r="K442" s="211"/>
      <c r="L442" s="211"/>
      <c r="M442" s="211"/>
      <c r="BF442" s="215">
        <v>393</v>
      </c>
      <c r="BG442" s="218">
        <f t="shared" si="62"/>
        <v>14812754.329678256</v>
      </c>
      <c r="BH442" s="215">
        <v>393</v>
      </c>
      <c r="BI442" s="219">
        <f t="shared" si="63"/>
        <v>1.12E-2</v>
      </c>
      <c r="BJ442" s="218">
        <f t="shared" si="61"/>
        <v>165902.84849239647</v>
      </c>
      <c r="BK442" s="217">
        <f t="shared" si="64"/>
        <v>1000</v>
      </c>
    </row>
    <row r="443" spans="8:63" s="215" customFormat="1">
      <c r="H443" s="211"/>
      <c r="I443" s="211"/>
      <c r="J443" s="211"/>
      <c r="K443" s="211"/>
      <c r="L443" s="211"/>
      <c r="M443" s="211"/>
      <c r="BF443" s="215">
        <v>394</v>
      </c>
      <c r="BG443" s="218">
        <f t="shared" si="62"/>
        <v>14979657.178170653</v>
      </c>
      <c r="BH443" s="215">
        <v>394</v>
      </c>
      <c r="BI443" s="219">
        <f t="shared" si="63"/>
        <v>1.12E-2</v>
      </c>
      <c r="BJ443" s="218">
        <f t="shared" si="61"/>
        <v>167772.16039551131</v>
      </c>
      <c r="BK443" s="217">
        <f t="shared" si="64"/>
        <v>1000</v>
      </c>
    </row>
    <row r="444" spans="8:63" s="215" customFormat="1">
      <c r="H444" s="211"/>
      <c r="I444" s="211"/>
      <c r="J444" s="211"/>
      <c r="K444" s="211"/>
      <c r="L444" s="211"/>
      <c r="M444" s="211"/>
      <c r="BF444" s="215">
        <v>395</v>
      </c>
      <c r="BG444" s="218">
        <f t="shared" si="62"/>
        <v>15148429.338566164</v>
      </c>
      <c r="BH444" s="215">
        <v>395</v>
      </c>
      <c r="BI444" s="219">
        <f t="shared" si="63"/>
        <v>1.12E-2</v>
      </c>
      <c r="BJ444" s="218">
        <f t="shared" si="61"/>
        <v>169662.40859194103</v>
      </c>
      <c r="BK444" s="217">
        <f t="shared" si="64"/>
        <v>1000</v>
      </c>
    </row>
    <row r="445" spans="8:63" s="215" customFormat="1">
      <c r="H445" s="211"/>
      <c r="I445" s="211"/>
      <c r="J445" s="211"/>
      <c r="K445" s="211"/>
      <c r="L445" s="211"/>
      <c r="M445" s="211"/>
      <c r="BF445" s="215">
        <v>396</v>
      </c>
      <c r="BG445" s="218">
        <f t="shared" si="62"/>
        <v>15319091.747158105</v>
      </c>
      <c r="BH445" s="215">
        <v>396</v>
      </c>
      <c r="BI445" s="219">
        <f t="shared" si="63"/>
        <v>1.12E-2</v>
      </c>
      <c r="BJ445" s="218">
        <f t="shared" si="61"/>
        <v>171573.82756817076</v>
      </c>
      <c r="BK445" s="217">
        <f t="shared" si="64"/>
        <v>1000</v>
      </c>
    </row>
    <row r="446" spans="8:63" s="215" customFormat="1">
      <c r="H446" s="211"/>
      <c r="I446" s="211"/>
      <c r="J446" s="211"/>
      <c r="K446" s="211"/>
      <c r="L446" s="211"/>
      <c r="M446" s="211"/>
      <c r="BF446" s="215">
        <v>397</v>
      </c>
      <c r="BG446" s="218">
        <f t="shared" si="62"/>
        <v>15491665.574726276</v>
      </c>
      <c r="BH446" s="215">
        <v>397</v>
      </c>
      <c r="BI446" s="219">
        <f t="shared" si="63"/>
        <v>1.12E-2</v>
      </c>
      <c r="BJ446" s="218">
        <f t="shared" si="61"/>
        <v>173506.6544369343</v>
      </c>
      <c r="BK446" s="217">
        <f t="shared" si="64"/>
        <v>1000</v>
      </c>
    </row>
    <row r="447" spans="8:63" s="215" customFormat="1">
      <c r="H447" s="211"/>
      <c r="I447" s="211"/>
      <c r="J447" s="211"/>
      <c r="K447" s="211"/>
      <c r="L447" s="211"/>
      <c r="M447" s="211"/>
      <c r="BF447" s="215">
        <v>398</v>
      </c>
      <c r="BG447" s="218">
        <f t="shared" si="62"/>
        <v>15666172.229163211</v>
      </c>
      <c r="BH447" s="215">
        <v>398</v>
      </c>
      <c r="BI447" s="219">
        <f t="shared" si="63"/>
        <v>1.12E-2</v>
      </c>
      <c r="BJ447" s="218">
        <f t="shared" si="61"/>
        <v>175461.12896662796</v>
      </c>
      <c r="BK447" s="217">
        <f t="shared" si="64"/>
        <v>1000</v>
      </c>
    </row>
    <row r="448" spans="8:63" s="215" customFormat="1">
      <c r="H448" s="211"/>
      <c r="I448" s="211"/>
      <c r="J448" s="211"/>
      <c r="K448" s="211"/>
      <c r="L448" s="211"/>
      <c r="M448" s="211"/>
      <c r="BF448" s="215">
        <v>399</v>
      </c>
      <c r="BG448" s="218">
        <f t="shared" si="62"/>
        <v>15842633.358129838</v>
      </c>
      <c r="BH448" s="215">
        <v>399</v>
      </c>
      <c r="BI448" s="219">
        <f t="shared" si="63"/>
        <v>1.12E-2</v>
      </c>
      <c r="BJ448" s="218">
        <f t="shared" si="61"/>
        <v>177437.49361105417</v>
      </c>
      <c r="BK448" s="217">
        <f t="shared" si="64"/>
        <v>1000</v>
      </c>
    </row>
    <row r="449" spans="8:63" s="215" customFormat="1">
      <c r="H449" s="211"/>
      <c r="I449" s="211"/>
      <c r="J449" s="211"/>
      <c r="K449" s="211"/>
      <c r="L449" s="211"/>
      <c r="M449" s="211"/>
      <c r="BF449" s="215">
        <v>400</v>
      </c>
      <c r="BG449" s="218">
        <f t="shared" si="62"/>
        <v>16021070.851740893</v>
      </c>
      <c r="BH449" s="215">
        <v>400</v>
      </c>
      <c r="BI449" s="219">
        <f t="shared" si="63"/>
        <v>1.12E-2</v>
      </c>
      <c r="BJ449" s="218">
        <f t="shared" si="61"/>
        <v>179435.99353949801</v>
      </c>
      <c r="BK449" s="217">
        <f t="shared" si="64"/>
        <v>1000</v>
      </c>
    </row>
    <row r="450" spans="8:63" s="215" customFormat="1">
      <c r="H450" s="211"/>
      <c r="I450" s="211"/>
      <c r="J450" s="211"/>
      <c r="K450" s="211"/>
      <c r="L450" s="211"/>
      <c r="M450" s="211"/>
      <c r="BF450" s="215">
        <v>401</v>
      </c>
      <c r="BG450" s="218">
        <f t="shared" si="62"/>
        <v>16201506.84528039</v>
      </c>
      <c r="BH450" s="215">
        <v>401</v>
      </c>
      <c r="BI450" s="219">
        <f t="shared" si="63"/>
        <v>1.12E-2</v>
      </c>
      <c r="BJ450" s="218">
        <f t="shared" si="61"/>
        <v>181456.87666714037</v>
      </c>
      <c r="BK450" s="217">
        <f t="shared" si="64"/>
        <v>1000</v>
      </c>
    </row>
    <row r="451" spans="8:63" s="215" customFormat="1">
      <c r="H451" s="211"/>
      <c r="I451" s="211"/>
      <c r="J451" s="211"/>
      <c r="K451" s="211"/>
      <c r="L451" s="211"/>
      <c r="M451" s="211"/>
      <c r="BF451" s="215">
        <v>402</v>
      </c>
      <c r="BG451" s="218">
        <f t="shared" si="62"/>
        <v>16383963.72194753</v>
      </c>
      <c r="BH451" s="215">
        <v>402</v>
      </c>
      <c r="BI451" s="219">
        <f t="shared" si="63"/>
        <v>1.12E-2</v>
      </c>
      <c r="BJ451" s="218">
        <f t="shared" si="61"/>
        <v>183500.39368581233</v>
      </c>
      <c r="BK451" s="217">
        <f t="shared" si="64"/>
        <v>1000</v>
      </c>
    </row>
    <row r="452" spans="8:63" s="215" customFormat="1">
      <c r="H452" s="211"/>
      <c r="I452" s="211"/>
      <c r="J452" s="211"/>
      <c r="K452" s="211"/>
      <c r="L452" s="211"/>
      <c r="M452" s="211"/>
      <c r="BF452" s="215">
        <v>403</v>
      </c>
      <c r="BG452" s="218">
        <f t="shared" si="62"/>
        <v>16568464.115633342</v>
      </c>
      <c r="BH452" s="215">
        <v>403</v>
      </c>
      <c r="BI452" s="219">
        <f t="shared" si="63"/>
        <v>1.12E-2</v>
      </c>
      <c r="BJ452" s="218">
        <f t="shared" si="61"/>
        <v>185566.79809509343</v>
      </c>
      <c r="BK452" s="217">
        <f t="shared" si="64"/>
        <v>1000</v>
      </c>
    </row>
    <row r="453" spans="8:63" s="215" customFormat="1">
      <c r="H453" s="211"/>
      <c r="I453" s="211"/>
      <c r="J453" s="211"/>
      <c r="K453" s="211"/>
      <c r="L453" s="211"/>
      <c r="M453" s="211"/>
      <c r="BF453" s="215">
        <v>404</v>
      </c>
      <c r="BG453" s="218">
        <f t="shared" si="62"/>
        <v>16755030.913728436</v>
      </c>
      <c r="BH453" s="215">
        <v>404</v>
      </c>
      <c r="BI453" s="219">
        <f t="shared" si="63"/>
        <v>1.12E-2</v>
      </c>
      <c r="BJ453" s="218">
        <f t="shared" si="61"/>
        <v>187656.34623375849</v>
      </c>
      <c r="BK453" s="217">
        <f t="shared" si="64"/>
        <v>1000</v>
      </c>
    </row>
    <row r="454" spans="8:63" s="215" customFormat="1">
      <c r="H454" s="211"/>
      <c r="I454" s="211"/>
      <c r="J454" s="211"/>
      <c r="K454" s="211"/>
      <c r="L454" s="211"/>
      <c r="M454" s="211"/>
      <c r="BF454" s="215">
        <v>405</v>
      </c>
      <c r="BG454" s="218">
        <f t="shared" si="62"/>
        <v>16943687.259962194</v>
      </c>
      <c r="BH454" s="215">
        <v>405</v>
      </c>
      <c r="BI454" s="219">
        <f t="shared" si="63"/>
        <v>1.12E-2</v>
      </c>
      <c r="BJ454" s="218">
        <f t="shared" si="61"/>
        <v>189769.29731157658</v>
      </c>
      <c r="BK454" s="217">
        <f t="shared" si="64"/>
        <v>1000</v>
      </c>
    </row>
    <row r="455" spans="8:63" s="215" customFormat="1">
      <c r="H455" s="211"/>
      <c r="I455" s="211"/>
      <c r="J455" s="211"/>
      <c r="K455" s="211"/>
      <c r="L455" s="211"/>
      <c r="M455" s="211"/>
      <c r="BF455" s="215">
        <v>406</v>
      </c>
      <c r="BG455" s="218">
        <f t="shared" si="62"/>
        <v>17134456.557273772</v>
      </c>
      <c r="BH455" s="215">
        <v>406</v>
      </c>
      <c r="BI455" s="219">
        <f t="shared" si="63"/>
        <v>1.12E-2</v>
      </c>
      <c r="BJ455" s="218">
        <f t="shared" si="61"/>
        <v>191905.91344146623</v>
      </c>
      <c r="BK455" s="217">
        <f t="shared" si="64"/>
        <v>1000</v>
      </c>
    </row>
    <row r="456" spans="8:63" s="215" customFormat="1">
      <c r="H456" s="211"/>
      <c r="I456" s="211"/>
      <c r="J456" s="211"/>
      <c r="K456" s="211"/>
      <c r="L456" s="211"/>
      <c r="M456" s="211"/>
      <c r="BF456" s="215">
        <v>407</v>
      </c>
      <c r="BG456" s="218">
        <f t="shared" si="62"/>
        <v>17327362.47071524</v>
      </c>
      <c r="BH456" s="215">
        <v>407</v>
      </c>
      <c r="BI456" s="219">
        <f t="shared" si="63"/>
        <v>1.12E-2</v>
      </c>
      <c r="BJ456" s="218">
        <f t="shared" si="61"/>
        <v>194066.45967201068</v>
      </c>
      <c r="BK456" s="217">
        <f t="shared" si="64"/>
        <v>1000</v>
      </c>
    </row>
    <row r="457" spans="8:63" s="215" customFormat="1">
      <c r="H457" s="211"/>
      <c r="I457" s="211"/>
      <c r="J457" s="211"/>
      <c r="K457" s="211"/>
      <c r="L457" s="211"/>
      <c r="M457" s="211"/>
      <c r="BF457" s="215">
        <v>408</v>
      </c>
      <c r="BG457" s="218">
        <f t="shared" si="62"/>
        <v>17522428.930387251</v>
      </c>
      <c r="BH457" s="215">
        <v>408</v>
      </c>
      <c r="BI457" s="219">
        <f t="shared" si="63"/>
        <v>1.12E-2</v>
      </c>
      <c r="BJ457" s="218">
        <f t="shared" si="61"/>
        <v>196251.2040203372</v>
      </c>
      <c r="BK457" s="217">
        <f t="shared" si="64"/>
        <v>1000</v>
      </c>
    </row>
    <row r="458" spans="8:63" s="215" customFormat="1">
      <c r="H458" s="211"/>
      <c r="I458" s="211"/>
      <c r="J458" s="211"/>
      <c r="K458" s="211"/>
      <c r="L458" s="211"/>
      <c r="M458" s="211"/>
      <c r="BF458" s="215">
        <v>409</v>
      </c>
      <c r="BG458" s="218">
        <f t="shared" si="62"/>
        <v>17719680.134407587</v>
      </c>
      <c r="BH458" s="215">
        <v>409</v>
      </c>
      <c r="BI458" s="219">
        <f t="shared" si="63"/>
        <v>1.12E-2</v>
      </c>
      <c r="BJ458" s="218">
        <f t="shared" si="61"/>
        <v>198460.41750536498</v>
      </c>
      <c r="BK458" s="217">
        <f t="shared" si="64"/>
        <v>1000</v>
      </c>
    </row>
    <row r="459" spans="8:63" s="215" customFormat="1">
      <c r="H459" s="211"/>
      <c r="I459" s="211"/>
      <c r="J459" s="211"/>
      <c r="K459" s="211"/>
      <c r="L459" s="211"/>
      <c r="M459" s="211"/>
      <c r="BF459" s="215">
        <v>410</v>
      </c>
      <c r="BG459" s="218">
        <f t="shared" si="62"/>
        <v>17919140.551912952</v>
      </c>
      <c r="BH459" s="215">
        <v>410</v>
      </c>
      <c r="BI459" s="219">
        <f t="shared" si="63"/>
        <v>1.12E-2</v>
      </c>
      <c r="BJ459" s="218">
        <f t="shared" si="61"/>
        <v>200694.37418142505</v>
      </c>
      <c r="BK459" s="217">
        <f t="shared" si="64"/>
        <v>1000</v>
      </c>
    </row>
    <row r="460" spans="8:63" s="215" customFormat="1">
      <c r="H460" s="211"/>
      <c r="I460" s="211"/>
      <c r="J460" s="211"/>
      <c r="K460" s="211"/>
      <c r="L460" s="211"/>
      <c r="M460" s="211"/>
      <c r="BF460" s="215">
        <v>411</v>
      </c>
      <c r="BG460" s="218">
        <f t="shared" si="62"/>
        <v>18120834.926094376</v>
      </c>
      <c r="BH460" s="215">
        <v>411</v>
      </c>
      <c r="BI460" s="219">
        <f t="shared" si="63"/>
        <v>1.12E-2</v>
      </c>
      <c r="BJ460" s="218">
        <f t="shared" si="61"/>
        <v>202953.35117225701</v>
      </c>
      <c r="BK460" s="217">
        <f t="shared" si="64"/>
        <v>1000</v>
      </c>
    </row>
    <row r="461" spans="8:63" s="215" customFormat="1">
      <c r="H461" s="211"/>
      <c r="I461" s="211"/>
      <c r="J461" s="211"/>
      <c r="K461" s="211"/>
      <c r="L461" s="211"/>
      <c r="M461" s="211"/>
      <c r="BF461" s="215">
        <v>412</v>
      </c>
      <c r="BG461" s="218">
        <f t="shared" si="62"/>
        <v>18324788.277266633</v>
      </c>
      <c r="BH461" s="215">
        <v>412</v>
      </c>
      <c r="BI461" s="219">
        <f t="shared" si="63"/>
        <v>1.12E-2</v>
      </c>
      <c r="BJ461" s="218">
        <f t="shared" si="61"/>
        <v>205237.62870538628</v>
      </c>
      <c r="BK461" s="217">
        <f t="shared" si="64"/>
        <v>1000</v>
      </c>
    </row>
    <row r="462" spans="8:63" s="215" customFormat="1">
      <c r="H462" s="211"/>
      <c r="I462" s="211"/>
      <c r="J462" s="211"/>
      <c r="K462" s="211"/>
      <c r="L462" s="211"/>
      <c r="M462" s="211"/>
      <c r="BF462" s="215">
        <v>413</v>
      </c>
      <c r="BG462" s="218">
        <f t="shared" si="62"/>
        <v>18531025.905972019</v>
      </c>
      <c r="BH462" s="215">
        <v>413</v>
      </c>
      <c r="BI462" s="219">
        <f t="shared" si="63"/>
        <v>1.12E-2</v>
      </c>
      <c r="BJ462" s="218">
        <f t="shared" si="61"/>
        <v>207547.49014688662</v>
      </c>
      <c r="BK462" s="217">
        <f t="shared" si="64"/>
        <v>1000</v>
      </c>
    </row>
    <row r="463" spans="8:63" s="215" customFormat="1">
      <c r="H463" s="211"/>
      <c r="I463" s="211"/>
      <c r="J463" s="211"/>
      <c r="K463" s="211"/>
      <c r="L463" s="211"/>
      <c r="M463" s="211"/>
      <c r="BF463" s="215">
        <v>414</v>
      </c>
      <c r="BG463" s="218">
        <f t="shared" si="62"/>
        <v>18739573.396118905</v>
      </c>
      <c r="BH463" s="215">
        <v>414</v>
      </c>
      <c r="BI463" s="219">
        <f t="shared" si="63"/>
        <v>1.12E-2</v>
      </c>
      <c r="BJ463" s="218">
        <f t="shared" si="61"/>
        <v>209883.22203653175</v>
      </c>
      <c r="BK463" s="217">
        <f t="shared" si="64"/>
        <v>1000</v>
      </c>
    </row>
    <row r="464" spans="8:63" s="215" customFormat="1">
      <c r="H464" s="211"/>
      <c r="I464" s="211"/>
      <c r="J464" s="211"/>
      <c r="K464" s="211"/>
      <c r="L464" s="211"/>
      <c r="M464" s="211"/>
      <c r="BF464" s="215">
        <v>415</v>
      </c>
      <c r="BG464" s="218">
        <f t="shared" si="62"/>
        <v>18950456.618155438</v>
      </c>
      <c r="BH464" s="215">
        <v>415</v>
      </c>
      <c r="BI464" s="219">
        <f t="shared" si="63"/>
        <v>1.12E-2</v>
      </c>
      <c r="BJ464" s="218">
        <f t="shared" si="61"/>
        <v>212245.1141233409</v>
      </c>
      <c r="BK464" s="217">
        <f t="shared" si="64"/>
        <v>1000</v>
      </c>
    </row>
    <row r="465" spans="8:63" s="215" customFormat="1">
      <c r="H465" s="211"/>
      <c r="I465" s="211"/>
      <c r="J465" s="211"/>
      <c r="K465" s="211"/>
      <c r="L465" s="211"/>
      <c r="M465" s="211"/>
      <c r="BF465" s="215">
        <v>416</v>
      </c>
      <c r="BG465" s="218">
        <f t="shared" si="62"/>
        <v>19163701.732278779</v>
      </c>
      <c r="BH465" s="215">
        <v>416</v>
      </c>
      <c r="BI465" s="219">
        <f t="shared" si="63"/>
        <v>1.12E-2</v>
      </c>
      <c r="BJ465" s="218">
        <f t="shared" si="61"/>
        <v>214633.45940152233</v>
      </c>
      <c r="BK465" s="217">
        <f t="shared" si="64"/>
        <v>1000</v>
      </c>
    </row>
    <row r="466" spans="8:63" s="215" customFormat="1">
      <c r="H466" s="211"/>
      <c r="I466" s="211"/>
      <c r="J466" s="211"/>
      <c r="K466" s="211"/>
      <c r="L466" s="211"/>
      <c r="M466" s="211"/>
      <c r="BF466" s="215">
        <v>417</v>
      </c>
      <c r="BG466" s="218">
        <f t="shared" si="62"/>
        <v>19379335.191680301</v>
      </c>
      <c r="BH466" s="215">
        <v>417</v>
      </c>
      <c r="BI466" s="219">
        <f t="shared" si="63"/>
        <v>1.12E-2</v>
      </c>
      <c r="BJ466" s="218">
        <f t="shared" si="61"/>
        <v>217048.55414681937</v>
      </c>
      <c r="BK466" s="217">
        <f t="shared" si="64"/>
        <v>1000</v>
      </c>
    </row>
    <row r="467" spans="8:63" s="215" customFormat="1">
      <c r="H467" s="211"/>
      <c r="I467" s="211"/>
      <c r="J467" s="211"/>
      <c r="K467" s="211"/>
      <c r="L467" s="211"/>
      <c r="M467" s="211"/>
      <c r="BF467" s="215">
        <v>418</v>
      </c>
      <c r="BG467" s="218">
        <f t="shared" si="62"/>
        <v>19597383.74582712</v>
      </c>
      <c r="BH467" s="215">
        <v>418</v>
      </c>
      <c r="BI467" s="219">
        <f t="shared" si="63"/>
        <v>1.12E-2</v>
      </c>
      <c r="BJ467" s="218">
        <f t="shared" si="61"/>
        <v>219490.69795326373</v>
      </c>
      <c r="BK467" s="217">
        <f t="shared" si="64"/>
        <v>1000</v>
      </c>
    </row>
    <row r="468" spans="8:63" s="215" customFormat="1">
      <c r="H468" s="211"/>
      <c r="I468" s="211"/>
      <c r="J468" s="211"/>
      <c r="K468" s="211"/>
      <c r="L468" s="211"/>
      <c r="M468" s="211"/>
      <c r="BF468" s="215">
        <v>419</v>
      </c>
      <c r="BG468" s="218">
        <f t="shared" si="62"/>
        <v>19817874.443780385</v>
      </c>
      <c r="BH468" s="215">
        <v>419</v>
      </c>
      <c r="BI468" s="219">
        <f t="shared" si="63"/>
        <v>1.12E-2</v>
      </c>
      <c r="BJ468" s="218">
        <f t="shared" si="61"/>
        <v>221960.19377034032</v>
      </c>
      <c r="BK468" s="217">
        <f t="shared" si="64"/>
        <v>1000</v>
      </c>
    </row>
    <row r="469" spans="8:63" s="215" customFormat="1">
      <c r="H469" s="211"/>
      <c r="I469" s="211"/>
      <c r="J469" s="211"/>
      <c r="K469" s="211"/>
      <c r="L469" s="211"/>
      <c r="M469" s="211"/>
      <c r="BF469" s="215">
        <v>420</v>
      </c>
      <c r="BG469" s="218">
        <f t="shared" si="62"/>
        <v>20040834.637550727</v>
      </c>
      <c r="BH469" s="215">
        <v>420</v>
      </c>
      <c r="BI469" s="219">
        <f t="shared" si="63"/>
        <v>1.12E-2</v>
      </c>
      <c r="BJ469" s="218">
        <f t="shared" si="61"/>
        <v>224457.34794056814</v>
      </c>
      <c r="BK469" s="217">
        <f t="shared" si="64"/>
        <v>1000</v>
      </c>
    </row>
    <row r="470" spans="8:63" s="215" customFormat="1">
      <c r="H470" s="211"/>
      <c r="I470" s="211"/>
      <c r="J470" s="211"/>
      <c r="K470" s="211"/>
      <c r="L470" s="211"/>
      <c r="M470" s="211"/>
      <c r="BF470" s="215">
        <v>421</v>
      </c>
      <c r="BG470" s="218">
        <f t="shared" si="62"/>
        <v>20266291.985491294</v>
      </c>
      <c r="BH470" s="215">
        <v>421</v>
      </c>
      <c r="BI470" s="219">
        <f t="shared" si="63"/>
        <v>1.12E-2</v>
      </c>
      <c r="BJ470" s="218">
        <f t="shared" si="61"/>
        <v>226982.47023750251</v>
      </c>
      <c r="BK470" s="217">
        <f t="shared" si="64"/>
        <v>1000</v>
      </c>
    </row>
    <row r="471" spans="8:63" s="215" customFormat="1">
      <c r="H471" s="211"/>
      <c r="I471" s="211"/>
      <c r="J471" s="211"/>
      <c r="K471" s="211"/>
      <c r="L471" s="211"/>
      <c r="M471" s="211"/>
      <c r="BF471" s="215">
        <v>422</v>
      </c>
      <c r="BG471" s="218">
        <f t="shared" si="62"/>
        <v>20494274.455728795</v>
      </c>
      <c r="BH471" s="215">
        <v>422</v>
      </c>
      <c r="BI471" s="219">
        <f t="shared" si="63"/>
        <v>1.12E-2</v>
      </c>
      <c r="BJ471" s="218">
        <f t="shared" si="61"/>
        <v>229535.87390416249</v>
      </c>
      <c r="BK471" s="217">
        <f t="shared" si="64"/>
        <v>1000</v>
      </c>
    </row>
    <row r="472" spans="8:63" s="215" customFormat="1">
      <c r="H472" s="211"/>
      <c r="I472" s="211"/>
      <c r="J472" s="211"/>
      <c r="K472" s="211"/>
      <c r="L472" s="211"/>
      <c r="M472" s="211"/>
      <c r="BF472" s="215">
        <v>423</v>
      </c>
      <c r="BG472" s="218">
        <f t="shared" si="62"/>
        <v>20724810.329632957</v>
      </c>
      <c r="BH472" s="215">
        <v>423</v>
      </c>
      <c r="BI472" s="219">
        <f t="shared" si="63"/>
        <v>1.12E-2</v>
      </c>
      <c r="BJ472" s="218">
        <f t="shared" si="61"/>
        <v>232117.87569188912</v>
      </c>
      <c r="BK472" s="217">
        <f t="shared" si="64"/>
        <v>1000</v>
      </c>
    </row>
    <row r="473" spans="8:63" s="215" customFormat="1">
      <c r="H473" s="211"/>
      <c r="I473" s="211"/>
      <c r="J473" s="211"/>
      <c r="K473" s="211"/>
      <c r="L473" s="211"/>
      <c r="M473" s="211"/>
      <c r="BF473" s="215">
        <v>424</v>
      </c>
      <c r="BG473" s="218">
        <f t="shared" si="62"/>
        <v>20957928.205324847</v>
      </c>
      <c r="BH473" s="215">
        <v>424</v>
      </c>
      <c r="BI473" s="219">
        <f t="shared" si="63"/>
        <v>1.12E-2</v>
      </c>
      <c r="BJ473" s="218">
        <f t="shared" si="61"/>
        <v>234728.79589963829</v>
      </c>
      <c r="BK473" s="217">
        <f t="shared" si="64"/>
        <v>1000</v>
      </c>
    </row>
    <row r="474" spans="8:63" s="215" customFormat="1">
      <c r="H474" s="211"/>
      <c r="I474" s="211"/>
      <c r="J474" s="211"/>
      <c r="K474" s="211"/>
      <c r="L474" s="211"/>
      <c r="M474" s="211"/>
      <c r="BF474" s="215">
        <v>425</v>
      </c>
      <c r="BG474" s="218">
        <f t="shared" si="62"/>
        <v>21193657.001224484</v>
      </c>
      <c r="BH474" s="215">
        <v>425</v>
      </c>
      <c r="BI474" s="219">
        <f t="shared" si="63"/>
        <v>1.12E-2</v>
      </c>
      <c r="BJ474" s="218">
        <f t="shared" si="61"/>
        <v>237368.95841371422</v>
      </c>
      <c r="BK474" s="217">
        <f t="shared" si="64"/>
        <v>1000</v>
      </c>
    </row>
    <row r="475" spans="8:63" s="215" customFormat="1">
      <c r="H475" s="211"/>
      <c r="I475" s="211"/>
      <c r="J475" s="211"/>
      <c r="K475" s="211"/>
      <c r="L475" s="211"/>
      <c r="M475" s="211"/>
      <c r="BF475" s="215">
        <v>426</v>
      </c>
      <c r="BG475" s="218">
        <f t="shared" si="62"/>
        <v>21432025.959638197</v>
      </c>
      <c r="BH475" s="215">
        <v>426</v>
      </c>
      <c r="BI475" s="219">
        <f t="shared" si="63"/>
        <v>1.12E-2</v>
      </c>
      <c r="BJ475" s="218">
        <f t="shared" si="61"/>
        <v>240038.69074794781</v>
      </c>
      <c r="BK475" s="217">
        <f t="shared" si="64"/>
        <v>1000</v>
      </c>
    </row>
    <row r="476" spans="8:63" s="215" customFormat="1">
      <c r="H476" s="211"/>
      <c r="I476" s="211"/>
      <c r="J476" s="211"/>
      <c r="K476" s="211"/>
      <c r="L476" s="211"/>
      <c r="M476" s="211"/>
      <c r="BF476" s="215">
        <v>427</v>
      </c>
      <c r="BG476" s="218">
        <f t="shared" si="62"/>
        <v>21673064.650386143</v>
      </c>
      <c r="BH476" s="215">
        <v>427</v>
      </c>
      <c r="BI476" s="219">
        <f t="shared" si="63"/>
        <v>1.12E-2</v>
      </c>
      <c r="BJ476" s="218">
        <f t="shared" si="61"/>
        <v>242738.32408432479</v>
      </c>
      <c r="BK476" s="217">
        <f t="shared" si="64"/>
        <v>1000</v>
      </c>
    </row>
    <row r="477" spans="8:63" s="215" customFormat="1">
      <c r="H477" s="211"/>
      <c r="I477" s="211"/>
      <c r="J477" s="211"/>
      <c r="K477" s="211"/>
      <c r="L477" s="211"/>
      <c r="M477" s="211"/>
      <c r="BF477" s="215">
        <v>428</v>
      </c>
      <c r="BG477" s="218">
        <f t="shared" si="62"/>
        <v>21916802.97447047</v>
      </c>
      <c r="BH477" s="215">
        <v>428</v>
      </c>
      <c r="BI477" s="219">
        <f t="shared" si="63"/>
        <v>1.12E-2</v>
      </c>
      <c r="BJ477" s="218">
        <f t="shared" si="61"/>
        <v>245468.19331406927</v>
      </c>
      <c r="BK477" s="217">
        <f t="shared" si="64"/>
        <v>1000</v>
      </c>
    </row>
    <row r="478" spans="8:63" s="215" customFormat="1">
      <c r="H478" s="211"/>
      <c r="I478" s="211"/>
      <c r="J478" s="211"/>
      <c r="K478" s="211"/>
      <c r="L478" s="211"/>
      <c r="M478" s="211"/>
      <c r="BF478" s="215">
        <v>429</v>
      </c>
      <c r="BG478" s="218">
        <f t="shared" si="62"/>
        <v>22163271.167784538</v>
      </c>
      <c r="BH478" s="215">
        <v>429</v>
      </c>
      <c r="BI478" s="219">
        <f t="shared" si="63"/>
        <v>1.12E-2</v>
      </c>
      <c r="BJ478" s="218">
        <f t="shared" si="61"/>
        <v>248228.63707918682</v>
      </c>
      <c r="BK478" s="217">
        <f t="shared" si="64"/>
        <v>1000</v>
      </c>
    </row>
    <row r="479" spans="8:63" s="215" customFormat="1">
      <c r="H479" s="211"/>
      <c r="I479" s="211"/>
      <c r="J479" s="211"/>
      <c r="K479" s="211"/>
      <c r="L479" s="211"/>
      <c r="M479" s="211"/>
      <c r="BF479" s="215">
        <v>430</v>
      </c>
      <c r="BG479" s="218">
        <f t="shared" si="62"/>
        <v>22412499.804863725</v>
      </c>
      <c r="BH479" s="215">
        <v>430</v>
      </c>
      <c r="BI479" s="219">
        <f t="shared" si="63"/>
        <v>1.12E-2</v>
      </c>
      <c r="BJ479" s="218">
        <f t="shared" si="61"/>
        <v>251019.99781447373</v>
      </c>
      <c r="BK479" s="217">
        <f t="shared" si="64"/>
        <v>1000</v>
      </c>
    </row>
    <row r="480" spans="8:63" s="215" customFormat="1">
      <c r="H480" s="211"/>
      <c r="I480" s="211"/>
      <c r="J480" s="211"/>
      <c r="K480" s="211"/>
      <c r="L480" s="211"/>
      <c r="M480" s="211"/>
      <c r="BF480" s="215">
        <v>431</v>
      </c>
      <c r="BG480" s="218">
        <f t="shared" si="62"/>
        <v>22664519.802678198</v>
      </c>
      <c r="BH480" s="215">
        <v>431</v>
      </c>
      <c r="BI480" s="219">
        <f t="shared" si="63"/>
        <v>1.12E-2</v>
      </c>
      <c r="BJ480" s="218">
        <f t="shared" si="61"/>
        <v>253842.62178999581</v>
      </c>
      <c r="BK480" s="217">
        <f t="shared" si="64"/>
        <v>1000</v>
      </c>
    </row>
    <row r="481" spans="8:63" s="215" customFormat="1">
      <c r="H481" s="211"/>
      <c r="I481" s="211"/>
      <c r="J481" s="211"/>
      <c r="K481" s="211"/>
      <c r="L481" s="211"/>
      <c r="M481" s="211"/>
      <c r="BF481" s="215">
        <v>432</v>
      </c>
      <c r="BG481" s="218">
        <f t="shared" si="62"/>
        <v>22919362.424468193</v>
      </c>
      <c r="BH481" s="215">
        <v>432</v>
      </c>
      <c r="BI481" s="219">
        <f t="shared" si="63"/>
        <v>1.12E-2</v>
      </c>
      <c r="BJ481" s="218">
        <f t="shared" si="61"/>
        <v>256696.85915404375</v>
      </c>
      <c r="BK481" s="217">
        <f t="shared" si="64"/>
        <v>1000</v>
      </c>
    </row>
    <row r="482" spans="8:63" s="215" customFormat="1">
      <c r="H482" s="211"/>
      <c r="I482" s="211"/>
      <c r="J482" s="211"/>
      <c r="K482" s="211"/>
      <c r="L482" s="211"/>
      <c r="M482" s="211"/>
      <c r="BF482" s="215">
        <v>433</v>
      </c>
      <c r="BG482" s="218">
        <f t="shared" si="62"/>
        <v>23177059.283622239</v>
      </c>
      <c r="BH482" s="215">
        <v>433</v>
      </c>
      <c r="BI482" s="219">
        <f t="shared" si="63"/>
        <v>1.12E-2</v>
      </c>
      <c r="BJ482" s="218">
        <f t="shared" si="61"/>
        <v>259583.06397656907</v>
      </c>
      <c r="BK482" s="217">
        <f t="shared" si="64"/>
        <v>1000</v>
      </c>
    </row>
    <row r="483" spans="8:63" s="215" customFormat="1">
      <c r="H483" s="211"/>
      <c r="I483" s="211"/>
      <c r="J483" s="211"/>
      <c r="K483" s="211"/>
      <c r="L483" s="211"/>
      <c r="M483" s="211"/>
      <c r="BF483" s="215">
        <v>434</v>
      </c>
      <c r="BG483" s="218">
        <f t="shared" si="62"/>
        <v>23437642.347598806</v>
      </c>
      <c r="BH483" s="215">
        <v>434</v>
      </c>
      <c r="BI483" s="219">
        <f t="shared" si="63"/>
        <v>1.12E-2</v>
      </c>
      <c r="BJ483" s="218">
        <f t="shared" si="61"/>
        <v>262501.59429310664</v>
      </c>
      <c r="BK483" s="217">
        <f t="shared" si="64"/>
        <v>1000</v>
      </c>
    </row>
    <row r="484" spans="8:63" s="215" customFormat="1">
      <c r="H484" s="211"/>
      <c r="I484" s="211"/>
      <c r="J484" s="211"/>
      <c r="K484" s="211"/>
      <c r="L484" s="211"/>
      <c r="M484" s="211"/>
      <c r="BF484" s="215">
        <v>435</v>
      </c>
      <c r="BG484" s="218">
        <f t="shared" si="62"/>
        <v>23701143.941891912</v>
      </c>
      <c r="BH484" s="215">
        <v>435</v>
      </c>
      <c r="BI484" s="219">
        <f t="shared" si="63"/>
        <v>1.12E-2</v>
      </c>
      <c r="BJ484" s="218">
        <f t="shared" si="61"/>
        <v>265452.81214918941</v>
      </c>
      <c r="BK484" s="217">
        <f t="shared" si="64"/>
        <v>1000</v>
      </c>
    </row>
    <row r="485" spans="8:63" s="215" customFormat="1">
      <c r="H485" s="211"/>
      <c r="I485" s="211"/>
      <c r="J485" s="211"/>
      <c r="K485" s="211"/>
      <c r="L485" s="211"/>
      <c r="M485" s="211"/>
      <c r="BF485" s="215">
        <v>436</v>
      </c>
      <c r="BG485" s="218">
        <f t="shared" si="62"/>
        <v>23967596.754041102</v>
      </c>
      <c r="BH485" s="215">
        <v>436</v>
      </c>
      <c r="BI485" s="219">
        <f t="shared" si="63"/>
        <v>1.12E-2</v>
      </c>
      <c r="BJ485" s="218">
        <f t="shared" si="61"/>
        <v>268437.08364526031</v>
      </c>
      <c r="BK485" s="217">
        <f t="shared" si="64"/>
        <v>1000</v>
      </c>
    </row>
    <row r="486" spans="8:63" s="215" customFormat="1">
      <c r="H486" s="211"/>
      <c r="I486" s="211"/>
      <c r="J486" s="211"/>
      <c r="K486" s="211"/>
      <c r="L486" s="211"/>
      <c r="M486" s="211"/>
      <c r="BF486" s="215">
        <v>437</v>
      </c>
      <c r="BG486" s="218">
        <f t="shared" si="62"/>
        <v>24237033.837686364</v>
      </c>
      <c r="BH486" s="215">
        <v>437</v>
      </c>
      <c r="BI486" s="219">
        <f t="shared" si="63"/>
        <v>1.12E-2</v>
      </c>
      <c r="BJ486" s="218">
        <f t="shared" si="61"/>
        <v>271454.77898208727</v>
      </c>
      <c r="BK486" s="217">
        <f t="shared" si="64"/>
        <v>1000</v>
      </c>
    </row>
    <row r="487" spans="8:63" s="215" customFormat="1">
      <c r="H487" s="211"/>
      <c r="I487" s="211"/>
      <c r="J487" s="211"/>
      <c r="K487" s="211"/>
      <c r="L487" s="211"/>
      <c r="M487" s="211"/>
      <c r="BF487" s="215">
        <v>438</v>
      </c>
      <c r="BG487" s="218">
        <f t="shared" si="62"/>
        <v>24509488.616668452</v>
      </c>
      <c r="BH487" s="215">
        <v>438</v>
      </c>
      <c r="BI487" s="219">
        <f t="shared" si="63"/>
        <v>1.12E-2</v>
      </c>
      <c r="BJ487" s="218">
        <f t="shared" si="61"/>
        <v>274506.27250668663</v>
      </c>
      <c r="BK487" s="217">
        <f t="shared" si="64"/>
        <v>1000</v>
      </c>
    </row>
    <row r="488" spans="8:63" s="215" customFormat="1">
      <c r="H488" s="211"/>
      <c r="I488" s="211"/>
      <c r="J488" s="211"/>
      <c r="K488" s="211"/>
      <c r="L488" s="211"/>
      <c r="M488" s="211"/>
      <c r="BF488" s="215">
        <v>439</v>
      </c>
      <c r="BG488" s="218">
        <f t="shared" si="62"/>
        <v>24784994.889175139</v>
      </c>
      <c r="BH488" s="215">
        <v>439</v>
      </c>
      <c r="BI488" s="219">
        <f t="shared" si="63"/>
        <v>1.12E-2</v>
      </c>
      <c r="BJ488" s="218">
        <f t="shared" si="61"/>
        <v>277591.94275876158</v>
      </c>
      <c r="BK488" s="217">
        <f t="shared" si="64"/>
        <v>1000</v>
      </c>
    </row>
    <row r="489" spans="8:63" s="215" customFormat="1">
      <c r="H489" s="211"/>
      <c r="I489" s="211"/>
      <c r="J489" s="211"/>
      <c r="K489" s="211"/>
      <c r="L489" s="211"/>
      <c r="M489" s="211"/>
      <c r="BF489" s="215">
        <v>440</v>
      </c>
      <c r="BG489" s="218">
        <f t="shared" si="62"/>
        <v>25063586.831933901</v>
      </c>
      <c r="BH489" s="215">
        <v>440</v>
      </c>
      <c r="BI489" s="219">
        <f t="shared" si="63"/>
        <v>1.12E-2</v>
      </c>
      <c r="BJ489" s="218">
        <f t="shared" si="61"/>
        <v>280712.17251765967</v>
      </c>
      <c r="BK489" s="217">
        <f t="shared" si="64"/>
        <v>1000</v>
      </c>
    </row>
    <row r="490" spans="8:63" s="215" customFormat="1">
      <c r="H490" s="211"/>
      <c r="I490" s="211"/>
      <c r="J490" s="211"/>
      <c r="K490" s="211"/>
      <c r="L490" s="211"/>
      <c r="M490" s="211"/>
      <c r="BF490" s="215">
        <v>441</v>
      </c>
      <c r="BG490" s="218">
        <f t="shared" si="62"/>
        <v>25345299.004451562</v>
      </c>
      <c r="BH490" s="215">
        <v>441</v>
      </c>
      <c r="BI490" s="219">
        <f t="shared" si="63"/>
        <v>1.12E-2</v>
      </c>
      <c r="BJ490" s="218">
        <f t="shared" si="61"/>
        <v>283867.34884985752</v>
      </c>
      <c r="BK490" s="217">
        <f t="shared" si="64"/>
        <v>1000</v>
      </c>
    </row>
    <row r="491" spans="8:63" s="215" customFormat="1">
      <c r="H491" s="211"/>
      <c r="I491" s="211"/>
      <c r="J491" s="211"/>
      <c r="K491" s="211"/>
      <c r="L491" s="211"/>
      <c r="M491" s="211"/>
      <c r="BF491" s="215">
        <v>442</v>
      </c>
      <c r="BG491" s="218">
        <f t="shared" si="62"/>
        <v>25630166.353301421</v>
      </c>
      <c r="BH491" s="215">
        <v>442</v>
      </c>
      <c r="BI491" s="219">
        <f t="shared" si="63"/>
        <v>1.12E-2</v>
      </c>
      <c r="BJ491" s="218">
        <f t="shared" si="61"/>
        <v>287057.86315697589</v>
      </c>
      <c r="BK491" s="217">
        <f t="shared" si="64"/>
        <v>1000</v>
      </c>
    </row>
    <row r="492" spans="8:63" s="215" customFormat="1">
      <c r="H492" s="211"/>
      <c r="I492" s="211"/>
      <c r="J492" s="211"/>
      <c r="K492" s="211"/>
      <c r="L492" s="211"/>
      <c r="M492" s="211"/>
      <c r="BF492" s="215">
        <v>443</v>
      </c>
      <c r="BG492" s="218">
        <f t="shared" si="62"/>
        <v>25918224.216458395</v>
      </c>
      <c r="BH492" s="215">
        <v>443</v>
      </c>
      <c r="BI492" s="219">
        <f t="shared" si="63"/>
        <v>1.12E-2</v>
      </c>
      <c r="BJ492" s="218">
        <f t="shared" si="61"/>
        <v>290284.11122433405</v>
      </c>
      <c r="BK492" s="217">
        <f t="shared" si="64"/>
        <v>1000</v>
      </c>
    </row>
    <row r="493" spans="8:63" s="215" customFormat="1">
      <c r="H493" s="211"/>
      <c r="I493" s="211"/>
      <c r="J493" s="211"/>
      <c r="K493" s="211"/>
      <c r="L493" s="211"/>
      <c r="M493" s="211"/>
      <c r="BF493" s="215">
        <v>444</v>
      </c>
      <c r="BG493" s="218">
        <f t="shared" si="62"/>
        <v>26209508.32768273</v>
      </c>
      <c r="BH493" s="215">
        <v>444</v>
      </c>
      <c r="BI493" s="219">
        <f t="shared" si="63"/>
        <v>1.12E-2</v>
      </c>
      <c r="BJ493" s="218">
        <f t="shared" si="61"/>
        <v>293546.49327004654</v>
      </c>
      <c r="BK493" s="217">
        <f t="shared" si="64"/>
        <v>1000</v>
      </c>
    </row>
    <row r="494" spans="8:63" s="215" customFormat="1">
      <c r="H494" s="211"/>
      <c r="I494" s="211"/>
      <c r="J494" s="211"/>
      <c r="K494" s="211"/>
      <c r="L494" s="211"/>
      <c r="M494" s="211"/>
      <c r="BF494" s="215">
        <v>445</v>
      </c>
      <c r="BG494" s="218">
        <f t="shared" si="62"/>
        <v>26504054.820952777</v>
      </c>
      <c r="BH494" s="215">
        <v>445</v>
      </c>
      <c r="BI494" s="219">
        <f t="shared" si="63"/>
        <v>1.12E-2</v>
      </c>
      <c r="BJ494" s="218">
        <f t="shared" si="61"/>
        <v>296845.41399467108</v>
      </c>
      <c r="BK494" s="217">
        <f t="shared" si="64"/>
        <v>1000</v>
      </c>
    </row>
    <row r="495" spans="8:63" s="215" customFormat="1">
      <c r="H495" s="211"/>
      <c r="I495" s="211"/>
      <c r="J495" s="211"/>
      <c r="K495" s="211"/>
      <c r="L495" s="211"/>
      <c r="M495" s="211"/>
      <c r="BF495" s="215">
        <v>446</v>
      </c>
      <c r="BG495" s="218">
        <f t="shared" si="62"/>
        <v>26801900.234947447</v>
      </c>
      <c r="BH495" s="215">
        <v>446</v>
      </c>
      <c r="BI495" s="219">
        <f t="shared" si="63"/>
        <v>1.12E-2</v>
      </c>
      <c r="BJ495" s="218">
        <f t="shared" si="61"/>
        <v>300181.28263141139</v>
      </c>
      <c r="BK495" s="217">
        <f t="shared" si="64"/>
        <v>1000</v>
      </c>
    </row>
    <row r="496" spans="8:63" s="215" customFormat="1">
      <c r="H496" s="211"/>
      <c r="I496" s="211"/>
      <c r="J496" s="211"/>
      <c r="K496" s="211"/>
      <c r="L496" s="211"/>
      <c r="M496" s="211"/>
      <c r="BF496" s="215">
        <v>447</v>
      </c>
      <c r="BG496" s="218">
        <f t="shared" si="62"/>
        <v>27103081.517578859</v>
      </c>
      <c r="BH496" s="215">
        <v>447</v>
      </c>
      <c r="BI496" s="219">
        <f t="shared" si="63"/>
        <v>1.12E-2</v>
      </c>
      <c r="BJ496" s="218">
        <f t="shared" si="61"/>
        <v>303554.51299688319</v>
      </c>
      <c r="BK496" s="217">
        <f t="shared" si="64"/>
        <v>1000</v>
      </c>
    </row>
    <row r="497" spans="8:63" s="215" customFormat="1">
      <c r="H497" s="211"/>
      <c r="I497" s="211"/>
      <c r="J497" s="211"/>
      <c r="K497" s="211"/>
      <c r="L497" s="211"/>
      <c r="M497" s="211"/>
      <c r="BF497" s="215">
        <v>448</v>
      </c>
      <c r="BG497" s="218">
        <f t="shared" si="62"/>
        <v>27407636.030575741</v>
      </c>
      <c r="BH497" s="215">
        <v>448</v>
      </c>
      <c r="BI497" s="219">
        <f t="shared" si="63"/>
        <v>1.12E-2</v>
      </c>
      <c r="BJ497" s="218">
        <f t="shared" si="61"/>
        <v>306965.5235424483</v>
      </c>
      <c r="BK497" s="217">
        <f t="shared" si="64"/>
        <v>1000</v>
      </c>
    </row>
    <row r="498" spans="8:63" s="215" customFormat="1">
      <c r="H498" s="211"/>
      <c r="I498" s="211"/>
      <c r="J498" s="211"/>
      <c r="K498" s="211"/>
      <c r="L498" s="211"/>
      <c r="M498" s="211"/>
      <c r="BF498" s="215">
        <v>449</v>
      </c>
      <c r="BG498" s="218">
        <f t="shared" si="62"/>
        <v>27715601.55411819</v>
      </c>
      <c r="BH498" s="215">
        <v>449</v>
      </c>
      <c r="BI498" s="219">
        <f t="shared" si="63"/>
        <v>1.12E-2</v>
      </c>
      <c r="BJ498" s="218">
        <f t="shared" ref="BJ498:BJ561" si="65">BG498*BI498</f>
        <v>310414.73740612372</v>
      </c>
      <c r="BK498" s="217">
        <f t="shared" si="64"/>
        <v>1000</v>
      </c>
    </row>
    <row r="499" spans="8:63" s="215" customFormat="1">
      <c r="H499" s="211"/>
      <c r="I499" s="211"/>
      <c r="J499" s="211"/>
      <c r="K499" s="211"/>
      <c r="L499" s="211"/>
      <c r="M499" s="211"/>
      <c r="BF499" s="215">
        <v>450</v>
      </c>
      <c r="BG499" s="218">
        <f t="shared" ref="BG499:BG562" si="66">BG498+BJ498+BK499</f>
        <v>28027016.291524313</v>
      </c>
      <c r="BH499" s="215">
        <v>450</v>
      </c>
      <c r="BI499" s="219">
        <f t="shared" ref="BI499:BI562" si="67">BI498</f>
        <v>1.12E-2</v>
      </c>
      <c r="BJ499" s="218">
        <f t="shared" si="65"/>
        <v>313902.58246507228</v>
      </c>
      <c r="BK499" s="217">
        <f t="shared" ref="BK499:BK562" si="68">BK498</f>
        <v>1000</v>
      </c>
    </row>
    <row r="500" spans="8:63" s="215" customFormat="1">
      <c r="H500" s="211"/>
      <c r="I500" s="211"/>
      <c r="J500" s="211"/>
      <c r="K500" s="211"/>
      <c r="L500" s="211"/>
      <c r="M500" s="211"/>
      <c r="BF500" s="215">
        <v>451</v>
      </c>
      <c r="BG500" s="218">
        <f t="shared" si="66"/>
        <v>28341918.873989385</v>
      </c>
      <c r="BH500" s="215">
        <v>451</v>
      </c>
      <c r="BI500" s="219">
        <f t="shared" si="67"/>
        <v>1.12E-2</v>
      </c>
      <c r="BJ500" s="218">
        <f t="shared" si="65"/>
        <v>317429.49138868111</v>
      </c>
      <c r="BK500" s="217">
        <f t="shared" si="68"/>
        <v>1000</v>
      </c>
    </row>
    <row r="501" spans="8:63" s="215" customFormat="1">
      <c r="H501" s="211"/>
      <c r="I501" s="211"/>
      <c r="J501" s="211"/>
      <c r="K501" s="211"/>
      <c r="L501" s="211"/>
      <c r="M501" s="211"/>
      <c r="BF501" s="215">
        <v>452</v>
      </c>
      <c r="BG501" s="218">
        <f t="shared" si="66"/>
        <v>28660348.365378067</v>
      </c>
      <c r="BH501" s="215">
        <v>452</v>
      </c>
      <c r="BI501" s="219">
        <f t="shared" si="67"/>
        <v>1.12E-2</v>
      </c>
      <c r="BJ501" s="218">
        <f t="shared" si="65"/>
        <v>320995.90169223433</v>
      </c>
      <c r="BK501" s="217">
        <f t="shared" si="68"/>
        <v>1000</v>
      </c>
    </row>
    <row r="502" spans="8:63" s="215" customFormat="1">
      <c r="H502" s="211"/>
      <c r="I502" s="211"/>
      <c r="J502" s="211"/>
      <c r="K502" s="211"/>
      <c r="L502" s="211"/>
      <c r="M502" s="211"/>
      <c r="BF502" s="215">
        <v>453</v>
      </c>
      <c r="BG502" s="218">
        <f t="shared" si="66"/>
        <v>28982344.267070301</v>
      </c>
      <c r="BH502" s="215">
        <v>453</v>
      </c>
      <c r="BI502" s="219">
        <f t="shared" si="67"/>
        <v>1.12E-2</v>
      </c>
      <c r="BJ502" s="218">
        <f t="shared" si="65"/>
        <v>324602.25579118734</v>
      </c>
      <c r="BK502" s="217">
        <f t="shared" si="68"/>
        <v>1000</v>
      </c>
    </row>
    <row r="503" spans="8:63" s="215" customFormat="1">
      <c r="H503" s="211"/>
      <c r="I503" s="211"/>
      <c r="J503" s="211"/>
      <c r="K503" s="211"/>
      <c r="L503" s="211"/>
      <c r="M503" s="211"/>
      <c r="BF503" s="215">
        <v>454</v>
      </c>
      <c r="BG503" s="218">
        <f t="shared" si="66"/>
        <v>29307946.522861488</v>
      </c>
      <c r="BH503" s="215">
        <v>454</v>
      </c>
      <c r="BI503" s="219">
        <f t="shared" si="67"/>
        <v>1.12E-2</v>
      </c>
      <c r="BJ503" s="218">
        <f t="shared" si="65"/>
        <v>328249.00105604867</v>
      </c>
      <c r="BK503" s="217">
        <f t="shared" si="68"/>
        <v>1000</v>
      </c>
    </row>
    <row r="504" spans="8:63" s="215" customFormat="1">
      <c r="H504" s="211"/>
      <c r="I504" s="211"/>
      <c r="J504" s="211"/>
      <c r="K504" s="211"/>
      <c r="L504" s="211"/>
      <c r="M504" s="211"/>
      <c r="BF504" s="215">
        <v>455</v>
      </c>
      <c r="BG504" s="218">
        <f t="shared" si="66"/>
        <v>29637195.523917537</v>
      </c>
      <c r="BH504" s="215">
        <v>455</v>
      </c>
      <c r="BI504" s="219">
        <f t="shared" si="67"/>
        <v>1.12E-2</v>
      </c>
      <c r="BJ504" s="218">
        <f t="shared" si="65"/>
        <v>331936.58986787644</v>
      </c>
      <c r="BK504" s="217">
        <f t="shared" si="68"/>
        <v>1000</v>
      </c>
    </row>
    <row r="505" spans="8:63" s="215" customFormat="1">
      <c r="H505" s="211"/>
      <c r="I505" s="211"/>
      <c r="J505" s="211"/>
      <c r="K505" s="211"/>
      <c r="L505" s="211"/>
      <c r="M505" s="211"/>
      <c r="BF505" s="215">
        <v>456</v>
      </c>
      <c r="BG505" s="218">
        <f t="shared" si="66"/>
        <v>29970132.113785412</v>
      </c>
      <c r="BH505" s="215">
        <v>456</v>
      </c>
      <c r="BI505" s="219">
        <f t="shared" si="67"/>
        <v>1.12E-2</v>
      </c>
      <c r="BJ505" s="218">
        <f t="shared" si="65"/>
        <v>335665.47967439663</v>
      </c>
      <c r="BK505" s="217">
        <f t="shared" si="68"/>
        <v>1000</v>
      </c>
    </row>
    <row r="506" spans="8:63" s="215" customFormat="1">
      <c r="H506" s="211"/>
      <c r="I506" s="211"/>
      <c r="J506" s="211"/>
      <c r="K506" s="211"/>
      <c r="L506" s="211"/>
      <c r="M506" s="211"/>
      <c r="BF506" s="215">
        <v>457</v>
      </c>
      <c r="BG506" s="218">
        <f t="shared" si="66"/>
        <v>30306797.593459807</v>
      </c>
      <c r="BH506" s="215">
        <v>457</v>
      </c>
      <c r="BI506" s="219">
        <f t="shared" si="67"/>
        <v>1.12E-2</v>
      </c>
      <c r="BJ506" s="218">
        <f t="shared" si="65"/>
        <v>339436.13304674986</v>
      </c>
      <c r="BK506" s="217">
        <f t="shared" si="68"/>
        <v>1000</v>
      </c>
    </row>
    <row r="507" spans="8:63" s="215" customFormat="1">
      <c r="H507" s="211"/>
      <c r="I507" s="211"/>
      <c r="J507" s="211"/>
      <c r="K507" s="211"/>
      <c r="L507" s="211"/>
      <c r="M507" s="211"/>
      <c r="BF507" s="215">
        <v>458</v>
      </c>
      <c r="BG507" s="218">
        <f t="shared" si="66"/>
        <v>30647233.726506557</v>
      </c>
      <c r="BH507" s="215">
        <v>458</v>
      </c>
      <c r="BI507" s="219">
        <f t="shared" si="67"/>
        <v>1.12E-2</v>
      </c>
      <c r="BJ507" s="218">
        <f t="shared" si="65"/>
        <v>343249.01773687341</v>
      </c>
      <c r="BK507" s="217">
        <f t="shared" si="68"/>
        <v>1000</v>
      </c>
    </row>
    <row r="508" spans="8:63" s="215" customFormat="1">
      <c r="H508" s="211"/>
      <c r="I508" s="211"/>
      <c r="J508" s="211"/>
      <c r="K508" s="211"/>
      <c r="L508" s="211"/>
      <c r="M508" s="211"/>
      <c r="BF508" s="215">
        <v>459</v>
      </c>
      <c r="BG508" s="218">
        <f t="shared" si="66"/>
        <v>30991482.744243432</v>
      </c>
      <c r="BH508" s="215">
        <v>459</v>
      </c>
      <c r="BI508" s="219">
        <f t="shared" si="67"/>
        <v>1.12E-2</v>
      </c>
      <c r="BJ508" s="218">
        <f t="shared" si="65"/>
        <v>347104.60673552641</v>
      </c>
      <c r="BK508" s="217">
        <f t="shared" si="68"/>
        <v>1000</v>
      </c>
    </row>
    <row r="509" spans="8:63" s="215" customFormat="1">
      <c r="H509" s="211"/>
      <c r="I509" s="211"/>
      <c r="J509" s="211"/>
      <c r="K509" s="211"/>
      <c r="L509" s="211"/>
      <c r="M509" s="211"/>
      <c r="BF509" s="215">
        <v>460</v>
      </c>
      <c r="BG509" s="218">
        <f t="shared" si="66"/>
        <v>31339587.350978959</v>
      </c>
      <c r="BH509" s="215">
        <v>460</v>
      </c>
      <c r="BI509" s="219">
        <f t="shared" si="67"/>
        <v>1.12E-2</v>
      </c>
      <c r="BJ509" s="218">
        <f t="shared" si="65"/>
        <v>351003.37833096436</v>
      </c>
      <c r="BK509" s="217">
        <f t="shared" si="68"/>
        <v>1000</v>
      </c>
    </row>
    <row r="510" spans="8:63" s="215" customFormat="1">
      <c r="H510" s="211"/>
      <c r="I510" s="211"/>
      <c r="J510" s="211"/>
      <c r="K510" s="211"/>
      <c r="L510" s="211"/>
      <c r="M510" s="211"/>
      <c r="BF510" s="215">
        <v>461</v>
      </c>
      <c r="BG510" s="218">
        <f t="shared" si="66"/>
        <v>31691590.729309924</v>
      </c>
      <c r="BH510" s="215">
        <v>461</v>
      </c>
      <c r="BI510" s="219">
        <f t="shared" si="67"/>
        <v>1.12E-2</v>
      </c>
      <c r="BJ510" s="218">
        <f t="shared" si="65"/>
        <v>354945.81616827112</v>
      </c>
      <c r="BK510" s="217">
        <f t="shared" si="68"/>
        <v>1000</v>
      </c>
    </row>
    <row r="511" spans="8:63" s="215" customFormat="1">
      <c r="H511" s="211"/>
      <c r="I511" s="211"/>
      <c r="J511" s="211"/>
      <c r="K511" s="211"/>
      <c r="L511" s="211"/>
      <c r="M511" s="211"/>
      <c r="BF511" s="215">
        <v>462</v>
      </c>
      <c r="BG511" s="218">
        <f t="shared" si="66"/>
        <v>32047536.545478195</v>
      </c>
      <c r="BH511" s="215">
        <v>462</v>
      </c>
      <c r="BI511" s="219">
        <f t="shared" si="67"/>
        <v>1.12E-2</v>
      </c>
      <c r="BJ511" s="218">
        <f t="shared" si="65"/>
        <v>358932.40930935577</v>
      </c>
      <c r="BK511" s="217">
        <f t="shared" si="68"/>
        <v>1000</v>
      </c>
    </row>
    <row r="512" spans="8:63" s="215" customFormat="1">
      <c r="H512" s="211"/>
      <c r="I512" s="211"/>
      <c r="J512" s="211"/>
      <c r="K512" s="211"/>
      <c r="L512" s="211"/>
      <c r="M512" s="211"/>
      <c r="BF512" s="215">
        <v>463</v>
      </c>
      <c r="BG512" s="218">
        <f t="shared" si="66"/>
        <v>32407468.954787552</v>
      </c>
      <c r="BH512" s="215">
        <v>463</v>
      </c>
      <c r="BI512" s="219">
        <f t="shared" si="67"/>
        <v>1.12E-2</v>
      </c>
      <c r="BJ512" s="218">
        <f t="shared" si="65"/>
        <v>362963.65229362057</v>
      </c>
      <c r="BK512" s="217">
        <f t="shared" si="68"/>
        <v>1000</v>
      </c>
    </row>
    <row r="513" spans="8:63" s="215" customFormat="1">
      <c r="H513" s="211"/>
      <c r="I513" s="211"/>
      <c r="J513" s="211"/>
      <c r="K513" s="211"/>
      <c r="L513" s="211"/>
      <c r="M513" s="211"/>
      <c r="BF513" s="215">
        <v>464</v>
      </c>
      <c r="BG513" s="218">
        <f t="shared" si="66"/>
        <v>32771432.607081171</v>
      </c>
      <c r="BH513" s="215">
        <v>464</v>
      </c>
      <c r="BI513" s="219">
        <f t="shared" si="67"/>
        <v>1.12E-2</v>
      </c>
      <c r="BJ513" s="218">
        <f t="shared" si="65"/>
        <v>367040.04519930913</v>
      </c>
      <c r="BK513" s="217">
        <f t="shared" si="68"/>
        <v>1000</v>
      </c>
    </row>
    <row r="514" spans="8:63" s="215" customFormat="1">
      <c r="H514" s="211"/>
      <c r="I514" s="211"/>
      <c r="J514" s="211"/>
      <c r="K514" s="211"/>
      <c r="L514" s="211"/>
      <c r="M514" s="211"/>
      <c r="BF514" s="215">
        <v>465</v>
      </c>
      <c r="BG514" s="218">
        <f t="shared" si="66"/>
        <v>33139472.65228048</v>
      </c>
      <c r="BH514" s="215">
        <v>465</v>
      </c>
      <c r="BI514" s="219">
        <f t="shared" si="67"/>
        <v>1.12E-2</v>
      </c>
      <c r="BJ514" s="218">
        <f t="shared" si="65"/>
        <v>371162.0937055414</v>
      </c>
      <c r="BK514" s="217">
        <f t="shared" si="68"/>
        <v>1000</v>
      </c>
    </row>
    <row r="515" spans="8:63" s="215" customFormat="1">
      <c r="H515" s="211"/>
      <c r="I515" s="211"/>
      <c r="J515" s="211"/>
      <c r="K515" s="211"/>
      <c r="L515" s="211"/>
      <c r="M515" s="211"/>
      <c r="BF515" s="215">
        <v>466</v>
      </c>
      <c r="BG515" s="218">
        <f t="shared" si="66"/>
        <v>33511634.745986022</v>
      </c>
      <c r="BH515" s="215">
        <v>466</v>
      </c>
      <c r="BI515" s="219">
        <f t="shared" si="67"/>
        <v>1.12E-2</v>
      </c>
      <c r="BJ515" s="218">
        <f t="shared" si="65"/>
        <v>375330.30915504345</v>
      </c>
      <c r="BK515" s="217">
        <f t="shared" si="68"/>
        <v>1000</v>
      </c>
    </row>
    <row r="516" spans="8:63" s="215" customFormat="1">
      <c r="H516" s="211"/>
      <c r="I516" s="211"/>
      <c r="J516" s="211"/>
      <c r="K516" s="211"/>
      <c r="L516" s="211"/>
      <c r="M516" s="211"/>
      <c r="BF516" s="215">
        <v>467</v>
      </c>
      <c r="BG516" s="218">
        <f t="shared" si="66"/>
        <v>33887965.055141069</v>
      </c>
      <c r="BH516" s="215">
        <v>467</v>
      </c>
      <c r="BI516" s="219">
        <f t="shared" si="67"/>
        <v>1.12E-2</v>
      </c>
      <c r="BJ516" s="218">
        <f t="shared" si="65"/>
        <v>379545.20861757995</v>
      </c>
      <c r="BK516" s="217">
        <f t="shared" si="68"/>
        <v>1000</v>
      </c>
    </row>
    <row r="517" spans="8:63" s="215" customFormat="1">
      <c r="H517" s="211"/>
      <c r="I517" s="211"/>
      <c r="J517" s="211"/>
      <c r="K517" s="211"/>
      <c r="L517" s="211"/>
      <c r="M517" s="211"/>
      <c r="BF517" s="215">
        <v>468</v>
      </c>
      <c r="BG517" s="218">
        <f t="shared" si="66"/>
        <v>34268510.263758652</v>
      </c>
      <c r="BH517" s="215">
        <v>468</v>
      </c>
      <c r="BI517" s="219">
        <f t="shared" si="67"/>
        <v>1.12E-2</v>
      </c>
      <c r="BJ517" s="218">
        <f t="shared" si="65"/>
        <v>383807.31495409692</v>
      </c>
      <c r="BK517" s="217">
        <f t="shared" si="68"/>
        <v>1000</v>
      </c>
    </row>
    <row r="518" spans="8:63" s="215" customFormat="1">
      <c r="H518" s="211"/>
      <c r="I518" s="211"/>
      <c r="J518" s="211"/>
      <c r="K518" s="211"/>
      <c r="L518" s="211"/>
      <c r="M518" s="211"/>
      <c r="BF518" s="215">
        <v>469</v>
      </c>
      <c r="BG518" s="218">
        <f t="shared" si="66"/>
        <v>34653317.578712747</v>
      </c>
      <c r="BH518" s="215">
        <v>469</v>
      </c>
      <c r="BI518" s="219">
        <f t="shared" si="67"/>
        <v>1.12E-2</v>
      </c>
      <c r="BJ518" s="218">
        <f t="shared" si="65"/>
        <v>388117.15688158275</v>
      </c>
      <c r="BK518" s="217">
        <f t="shared" si="68"/>
        <v>1000</v>
      </c>
    </row>
    <row r="519" spans="8:63" s="215" customFormat="1">
      <c r="H519" s="211"/>
      <c r="I519" s="211"/>
      <c r="J519" s="211"/>
      <c r="K519" s="211"/>
      <c r="L519" s="211"/>
      <c r="M519" s="211"/>
      <c r="BF519" s="215">
        <v>470</v>
      </c>
      <c r="BG519" s="218">
        <f t="shared" si="66"/>
        <v>35042434.735594332</v>
      </c>
      <c r="BH519" s="215">
        <v>470</v>
      </c>
      <c r="BI519" s="219">
        <f t="shared" si="67"/>
        <v>1.12E-2</v>
      </c>
      <c r="BJ519" s="218">
        <f t="shared" si="65"/>
        <v>392475.26903865649</v>
      </c>
      <c r="BK519" s="217">
        <f t="shared" si="68"/>
        <v>1000</v>
      </c>
    </row>
    <row r="520" spans="8:63" s="215" customFormat="1">
      <c r="H520" s="211"/>
      <c r="I520" s="211"/>
      <c r="J520" s="211"/>
      <c r="K520" s="211"/>
      <c r="L520" s="211"/>
      <c r="M520" s="211"/>
      <c r="BF520" s="215">
        <v>471</v>
      </c>
      <c r="BG520" s="218">
        <f t="shared" si="66"/>
        <v>35435910.004632987</v>
      </c>
      <c r="BH520" s="215">
        <v>471</v>
      </c>
      <c r="BI520" s="219">
        <f t="shared" si="67"/>
        <v>1.12E-2</v>
      </c>
      <c r="BJ520" s="218">
        <f t="shared" si="65"/>
        <v>396882.19205188943</v>
      </c>
      <c r="BK520" s="217">
        <f t="shared" si="68"/>
        <v>1000</v>
      </c>
    </row>
    <row r="521" spans="8:63" s="215" customFormat="1">
      <c r="H521" s="211"/>
      <c r="I521" s="211"/>
      <c r="J521" s="211"/>
      <c r="K521" s="211"/>
      <c r="L521" s="211"/>
      <c r="M521" s="211"/>
      <c r="BF521" s="215">
        <v>472</v>
      </c>
      <c r="BG521" s="218">
        <f t="shared" si="66"/>
        <v>35833792.196684875</v>
      </c>
      <c r="BH521" s="215">
        <v>472</v>
      </c>
      <c r="BI521" s="219">
        <f t="shared" si="67"/>
        <v>1.12E-2</v>
      </c>
      <c r="BJ521" s="218">
        <f t="shared" si="65"/>
        <v>401338.47260287061</v>
      </c>
      <c r="BK521" s="217">
        <f t="shared" si="68"/>
        <v>1000</v>
      </c>
    </row>
    <row r="522" spans="8:63" s="215" customFormat="1">
      <c r="H522" s="211"/>
      <c r="I522" s="211"/>
      <c r="J522" s="211"/>
      <c r="K522" s="211"/>
      <c r="L522" s="211"/>
      <c r="M522" s="211"/>
      <c r="BF522" s="215">
        <v>473</v>
      </c>
      <c r="BG522" s="218">
        <f t="shared" si="66"/>
        <v>36236130.669287749</v>
      </c>
      <c r="BH522" s="215">
        <v>473</v>
      </c>
      <c r="BI522" s="219">
        <f t="shared" si="67"/>
        <v>1.12E-2</v>
      </c>
      <c r="BJ522" s="218">
        <f t="shared" si="65"/>
        <v>405844.66349602275</v>
      </c>
      <c r="BK522" s="217">
        <f t="shared" si="68"/>
        <v>1000</v>
      </c>
    </row>
    <row r="523" spans="8:63" s="215" customFormat="1">
      <c r="H523" s="211"/>
      <c r="I523" s="211"/>
      <c r="J523" s="211"/>
      <c r="K523" s="211"/>
      <c r="L523" s="211"/>
      <c r="M523" s="211"/>
      <c r="BF523" s="215">
        <v>474</v>
      </c>
      <c r="BG523" s="218">
        <f t="shared" si="66"/>
        <v>36642975.332783774</v>
      </c>
      <c r="BH523" s="215">
        <v>474</v>
      </c>
      <c r="BI523" s="219">
        <f t="shared" si="67"/>
        <v>1.12E-2</v>
      </c>
      <c r="BJ523" s="218">
        <f t="shared" si="65"/>
        <v>410401.32372717827</v>
      </c>
      <c r="BK523" s="217">
        <f t="shared" si="68"/>
        <v>1000</v>
      </c>
    </row>
    <row r="524" spans="8:63" s="215" customFormat="1">
      <c r="H524" s="211"/>
      <c r="I524" s="211"/>
      <c r="J524" s="211"/>
      <c r="K524" s="211"/>
      <c r="L524" s="211"/>
      <c r="M524" s="211"/>
      <c r="BF524" s="215">
        <v>475</v>
      </c>
      <c r="BG524" s="218">
        <f t="shared" si="66"/>
        <v>37054376.656510949</v>
      </c>
      <c r="BH524" s="215">
        <v>475</v>
      </c>
      <c r="BI524" s="219">
        <f t="shared" si="67"/>
        <v>1.12E-2</v>
      </c>
      <c r="BJ524" s="218">
        <f t="shared" si="65"/>
        <v>415009.01855292264</v>
      </c>
      <c r="BK524" s="217">
        <f t="shared" si="68"/>
        <v>1000</v>
      </c>
    </row>
    <row r="525" spans="8:63" s="215" customFormat="1">
      <c r="H525" s="211"/>
      <c r="I525" s="211"/>
      <c r="J525" s="211"/>
      <c r="K525" s="211"/>
      <c r="L525" s="211"/>
      <c r="M525" s="211"/>
      <c r="BF525" s="215">
        <v>476</v>
      </c>
      <c r="BG525" s="218">
        <f t="shared" si="66"/>
        <v>37470385.675063871</v>
      </c>
      <c r="BH525" s="215">
        <v>476</v>
      </c>
      <c r="BI525" s="219">
        <f t="shared" si="67"/>
        <v>1.12E-2</v>
      </c>
      <c r="BJ525" s="218">
        <f t="shared" si="65"/>
        <v>419668.31956071535</v>
      </c>
      <c r="BK525" s="217">
        <f t="shared" si="68"/>
        <v>1000</v>
      </c>
    </row>
    <row r="526" spans="8:63" s="215" customFormat="1">
      <c r="H526" s="211"/>
      <c r="I526" s="211"/>
      <c r="J526" s="211"/>
      <c r="K526" s="211"/>
      <c r="L526" s="211"/>
      <c r="M526" s="211"/>
      <c r="BF526" s="215">
        <v>477</v>
      </c>
      <c r="BG526" s="218">
        <f t="shared" si="66"/>
        <v>37891053.994624585</v>
      </c>
      <c r="BH526" s="215">
        <v>477</v>
      </c>
      <c r="BI526" s="219">
        <f t="shared" si="67"/>
        <v>1.12E-2</v>
      </c>
      <c r="BJ526" s="218">
        <f t="shared" si="65"/>
        <v>424379.80473979533</v>
      </c>
      <c r="BK526" s="217">
        <f t="shared" si="68"/>
        <v>1000</v>
      </c>
    </row>
    <row r="527" spans="8:63" s="215" customFormat="1">
      <c r="H527" s="211"/>
      <c r="I527" s="211"/>
      <c r="J527" s="211"/>
      <c r="K527" s="211"/>
      <c r="L527" s="211"/>
      <c r="M527" s="211"/>
      <c r="BF527" s="215">
        <v>478</v>
      </c>
      <c r="BG527" s="218">
        <f t="shared" si="66"/>
        <v>38316433.799364381</v>
      </c>
      <c r="BH527" s="215">
        <v>478</v>
      </c>
      <c r="BI527" s="219">
        <f t="shared" si="67"/>
        <v>1.12E-2</v>
      </c>
      <c r="BJ527" s="218">
        <f t="shared" si="65"/>
        <v>429144.05855288106</v>
      </c>
      <c r="BK527" s="217">
        <f t="shared" si="68"/>
        <v>1000</v>
      </c>
    </row>
    <row r="528" spans="8:63" s="215" customFormat="1">
      <c r="H528" s="211"/>
      <c r="I528" s="211"/>
      <c r="J528" s="211"/>
      <c r="K528" s="211"/>
      <c r="L528" s="211"/>
      <c r="M528" s="211"/>
      <c r="BF528" s="215">
        <v>479</v>
      </c>
      <c r="BG528" s="218">
        <f t="shared" si="66"/>
        <v>38746577.857917264</v>
      </c>
      <c r="BH528" s="215">
        <v>479</v>
      </c>
      <c r="BI528" s="219">
        <f t="shared" si="67"/>
        <v>1.12E-2</v>
      </c>
      <c r="BJ528" s="218">
        <f t="shared" si="65"/>
        <v>433961.67200867337</v>
      </c>
      <c r="BK528" s="217">
        <f t="shared" si="68"/>
        <v>1000</v>
      </c>
    </row>
    <row r="529" spans="8:63" s="215" customFormat="1">
      <c r="H529" s="211"/>
      <c r="I529" s="211"/>
      <c r="J529" s="211"/>
      <c r="K529" s="211"/>
      <c r="L529" s="211"/>
      <c r="M529" s="211"/>
      <c r="BF529" s="215">
        <v>480</v>
      </c>
      <c r="BG529" s="218">
        <f t="shared" si="66"/>
        <v>39181539.529925935</v>
      </c>
      <c r="BH529" s="215">
        <v>480</v>
      </c>
      <c r="BI529" s="219">
        <f t="shared" si="67"/>
        <v>1.12E-2</v>
      </c>
      <c r="BJ529" s="218">
        <f t="shared" si="65"/>
        <v>438833.24273517047</v>
      </c>
      <c r="BK529" s="217">
        <f t="shared" si="68"/>
        <v>1000</v>
      </c>
    </row>
    <row r="530" spans="8:63" s="215" customFormat="1">
      <c r="H530" s="211"/>
      <c r="I530" s="211"/>
      <c r="J530" s="211"/>
      <c r="K530" s="211"/>
      <c r="L530" s="211"/>
      <c r="M530" s="211"/>
      <c r="BF530" s="215">
        <v>481</v>
      </c>
      <c r="BG530" s="218">
        <f t="shared" si="66"/>
        <v>39621372.772661105</v>
      </c>
      <c r="BH530" s="215">
        <v>481</v>
      </c>
      <c r="BI530" s="219">
        <f t="shared" si="67"/>
        <v>1.12E-2</v>
      </c>
      <c r="BJ530" s="218">
        <f t="shared" si="65"/>
        <v>443759.37505380437</v>
      </c>
      <c r="BK530" s="217">
        <f t="shared" si="68"/>
        <v>1000</v>
      </c>
    </row>
    <row r="531" spans="8:63" s="215" customFormat="1">
      <c r="H531" s="211"/>
      <c r="I531" s="211"/>
      <c r="J531" s="211"/>
      <c r="K531" s="211"/>
      <c r="L531" s="211"/>
      <c r="M531" s="211"/>
      <c r="BF531" s="215">
        <v>482</v>
      </c>
      <c r="BG531" s="218">
        <f t="shared" si="66"/>
        <v>40066132.147714913</v>
      </c>
      <c r="BH531" s="215">
        <v>482</v>
      </c>
      <c r="BI531" s="219">
        <f t="shared" si="67"/>
        <v>1.12E-2</v>
      </c>
      <c r="BJ531" s="218">
        <f t="shared" si="65"/>
        <v>448740.68005440704</v>
      </c>
      <c r="BK531" s="217">
        <f t="shared" si="68"/>
        <v>1000</v>
      </c>
    </row>
    <row r="532" spans="8:63" s="215" customFormat="1">
      <c r="H532" s="211"/>
      <c r="I532" s="211"/>
      <c r="J532" s="211"/>
      <c r="K532" s="211"/>
      <c r="L532" s="211"/>
      <c r="M532" s="211"/>
      <c r="BF532" s="215">
        <v>483</v>
      </c>
      <c r="BG532" s="218">
        <f t="shared" si="66"/>
        <v>40515872.827769317</v>
      </c>
      <c r="BH532" s="215">
        <v>483</v>
      </c>
      <c r="BI532" s="219">
        <f t="shared" si="67"/>
        <v>1.12E-2</v>
      </c>
      <c r="BJ532" s="218">
        <f t="shared" si="65"/>
        <v>453777.77567101637</v>
      </c>
      <c r="BK532" s="217">
        <f t="shared" si="68"/>
        <v>1000</v>
      </c>
    </row>
    <row r="533" spans="8:63" s="215" customFormat="1">
      <c r="H533" s="211"/>
      <c r="I533" s="211"/>
      <c r="J533" s="211"/>
      <c r="K533" s="211"/>
      <c r="L533" s="211"/>
      <c r="M533" s="211"/>
      <c r="BF533" s="215">
        <v>484</v>
      </c>
      <c r="BG533" s="218">
        <f t="shared" si="66"/>
        <v>40970650.603440329</v>
      </c>
      <c r="BH533" s="215">
        <v>484</v>
      </c>
      <c r="BI533" s="219">
        <f t="shared" si="67"/>
        <v>1.12E-2</v>
      </c>
      <c r="BJ533" s="218">
        <f t="shared" si="65"/>
        <v>458871.2867585317</v>
      </c>
      <c r="BK533" s="217">
        <f t="shared" si="68"/>
        <v>1000</v>
      </c>
    </row>
    <row r="534" spans="8:63" s="215" customFormat="1">
      <c r="H534" s="211"/>
      <c r="I534" s="211"/>
      <c r="J534" s="211"/>
      <c r="K534" s="211"/>
      <c r="L534" s="211"/>
      <c r="M534" s="211"/>
      <c r="BF534" s="215">
        <v>485</v>
      </c>
      <c r="BG534" s="218">
        <f t="shared" si="66"/>
        <v>41430521.890198864</v>
      </c>
      <c r="BH534" s="215">
        <v>485</v>
      </c>
      <c r="BI534" s="219">
        <f t="shared" si="67"/>
        <v>1.12E-2</v>
      </c>
      <c r="BJ534" s="218">
        <f t="shared" si="65"/>
        <v>464021.84517022729</v>
      </c>
      <c r="BK534" s="217">
        <f t="shared" si="68"/>
        <v>1000</v>
      </c>
    </row>
    <row r="535" spans="8:63" s="215" customFormat="1">
      <c r="H535" s="211"/>
      <c r="I535" s="211"/>
      <c r="J535" s="211"/>
      <c r="K535" s="211"/>
      <c r="L535" s="211"/>
      <c r="M535" s="211"/>
      <c r="BF535" s="215">
        <v>486</v>
      </c>
      <c r="BG535" s="218">
        <f t="shared" si="66"/>
        <v>41895543.735369094</v>
      </c>
      <c r="BH535" s="215">
        <v>486</v>
      </c>
      <c r="BI535" s="219">
        <f t="shared" si="67"/>
        <v>1.12E-2</v>
      </c>
      <c r="BJ535" s="218">
        <f t="shared" si="65"/>
        <v>469230.08983613382</v>
      </c>
      <c r="BK535" s="217">
        <f t="shared" si="68"/>
        <v>1000</v>
      </c>
    </row>
    <row r="536" spans="8:63" s="215" customFormat="1">
      <c r="H536" s="211"/>
      <c r="I536" s="211"/>
      <c r="J536" s="211"/>
      <c r="K536" s="211"/>
      <c r="L536" s="211"/>
      <c r="M536" s="211"/>
      <c r="BF536" s="215">
        <v>487</v>
      </c>
      <c r="BG536" s="218">
        <f t="shared" si="66"/>
        <v>42365773.825205229</v>
      </c>
      <c r="BH536" s="215">
        <v>487</v>
      </c>
      <c r="BI536" s="219">
        <f t="shared" si="67"/>
        <v>1.12E-2</v>
      </c>
      <c r="BJ536" s="218">
        <f t="shared" si="65"/>
        <v>474496.66684229858</v>
      </c>
      <c r="BK536" s="217">
        <f t="shared" si="68"/>
        <v>1000</v>
      </c>
    </row>
    <row r="537" spans="8:63" s="215" customFormat="1">
      <c r="H537" s="211"/>
      <c r="I537" s="211"/>
      <c r="J537" s="211"/>
      <c r="K537" s="211"/>
      <c r="L537" s="211"/>
      <c r="M537" s="211"/>
      <c r="BF537" s="215">
        <v>488</v>
      </c>
      <c r="BG537" s="218">
        <f t="shared" si="66"/>
        <v>42841270.492047526</v>
      </c>
      <c r="BH537" s="215">
        <v>488</v>
      </c>
      <c r="BI537" s="219">
        <f t="shared" si="67"/>
        <v>1.12E-2</v>
      </c>
      <c r="BJ537" s="218">
        <f t="shared" si="65"/>
        <v>479822.22951093229</v>
      </c>
      <c r="BK537" s="217">
        <f t="shared" si="68"/>
        <v>1000</v>
      </c>
    </row>
    <row r="538" spans="8:63" s="215" customFormat="1">
      <c r="H538" s="211"/>
      <c r="I538" s="211"/>
      <c r="J538" s="211"/>
      <c r="K538" s="211"/>
      <c r="L538" s="211"/>
      <c r="M538" s="211"/>
      <c r="BF538" s="215">
        <v>489</v>
      </c>
      <c r="BG538" s="218">
        <f t="shared" si="66"/>
        <v>43322092.721558459</v>
      </c>
      <c r="BH538" s="215">
        <v>489</v>
      </c>
      <c r="BI538" s="219">
        <f t="shared" si="67"/>
        <v>1.12E-2</v>
      </c>
      <c r="BJ538" s="218">
        <f t="shared" si="65"/>
        <v>485207.43848145474</v>
      </c>
      <c r="BK538" s="217">
        <f t="shared" si="68"/>
        <v>1000</v>
      </c>
    </row>
    <row r="539" spans="8:63" s="215" customFormat="1">
      <c r="H539" s="211"/>
      <c r="I539" s="211"/>
      <c r="J539" s="211"/>
      <c r="K539" s="211"/>
      <c r="L539" s="211"/>
      <c r="M539" s="211"/>
      <c r="BF539" s="215">
        <v>490</v>
      </c>
      <c r="BG539" s="218">
        <f t="shared" si="66"/>
        <v>43808300.160039917</v>
      </c>
      <c r="BH539" s="215">
        <v>490</v>
      </c>
      <c r="BI539" s="219">
        <f t="shared" si="67"/>
        <v>1.12E-2</v>
      </c>
      <c r="BJ539" s="218">
        <f t="shared" si="65"/>
        <v>490652.96179244708</v>
      </c>
      <c r="BK539" s="217">
        <f t="shared" si="68"/>
        <v>1000</v>
      </c>
    </row>
    <row r="540" spans="8:63" s="215" customFormat="1">
      <c r="H540" s="211"/>
      <c r="I540" s="211"/>
      <c r="J540" s="211"/>
      <c r="K540" s="211"/>
      <c r="L540" s="211"/>
      <c r="M540" s="211"/>
      <c r="BF540" s="215">
        <v>491</v>
      </c>
      <c r="BG540" s="218">
        <f t="shared" si="66"/>
        <v>44299953.121832363</v>
      </c>
      <c r="BH540" s="215">
        <v>491</v>
      </c>
      <c r="BI540" s="219">
        <f t="shared" si="67"/>
        <v>1.12E-2</v>
      </c>
      <c r="BJ540" s="218">
        <f t="shared" si="65"/>
        <v>496159.47496452247</v>
      </c>
      <c r="BK540" s="217">
        <f t="shared" si="68"/>
        <v>1000</v>
      </c>
    </row>
    <row r="541" spans="8:63" s="215" customFormat="1">
      <c r="H541" s="211"/>
      <c r="I541" s="211"/>
      <c r="J541" s="211"/>
      <c r="K541" s="211"/>
      <c r="L541" s="211"/>
      <c r="M541" s="211"/>
      <c r="BF541" s="215">
        <v>492</v>
      </c>
      <c r="BG541" s="218">
        <f t="shared" si="66"/>
        <v>44797112.596796885</v>
      </c>
      <c r="BH541" s="215">
        <v>492</v>
      </c>
      <c r="BI541" s="219">
        <f t="shared" si="67"/>
        <v>1.12E-2</v>
      </c>
      <c r="BJ541" s="218">
        <f t="shared" si="65"/>
        <v>501727.66108412511</v>
      </c>
      <c r="BK541" s="217">
        <f t="shared" si="68"/>
        <v>1000</v>
      </c>
    </row>
    <row r="542" spans="8:63" s="215" customFormat="1">
      <c r="H542" s="211"/>
      <c r="I542" s="211"/>
      <c r="J542" s="211"/>
      <c r="K542" s="211"/>
      <c r="L542" s="211"/>
      <c r="M542" s="211"/>
      <c r="BF542" s="215">
        <v>493</v>
      </c>
      <c r="BG542" s="218">
        <f t="shared" si="66"/>
        <v>45299840.257881008</v>
      </c>
      <c r="BH542" s="215">
        <v>493</v>
      </c>
      <c r="BI542" s="219">
        <f t="shared" si="67"/>
        <v>1.12E-2</v>
      </c>
      <c r="BJ542" s="218">
        <f t="shared" si="65"/>
        <v>507358.21088826726</v>
      </c>
      <c r="BK542" s="217">
        <f t="shared" si="68"/>
        <v>1000</v>
      </c>
    </row>
    <row r="543" spans="8:63" s="215" customFormat="1">
      <c r="H543" s="211"/>
      <c r="I543" s="211"/>
      <c r="J543" s="211"/>
      <c r="K543" s="211"/>
      <c r="L543" s="211"/>
      <c r="M543" s="211"/>
      <c r="BF543" s="215">
        <v>494</v>
      </c>
      <c r="BG543" s="218">
        <f t="shared" si="66"/>
        <v>45808198.468769275</v>
      </c>
      <c r="BH543" s="215">
        <v>494</v>
      </c>
      <c r="BI543" s="219">
        <f t="shared" si="67"/>
        <v>1.12E-2</v>
      </c>
      <c r="BJ543" s="218">
        <f t="shared" si="65"/>
        <v>513051.82285021589</v>
      </c>
      <c r="BK543" s="217">
        <f t="shared" si="68"/>
        <v>1000</v>
      </c>
    </row>
    <row r="544" spans="8:63" s="215" customFormat="1">
      <c r="H544" s="211"/>
      <c r="I544" s="211"/>
      <c r="J544" s="211"/>
      <c r="K544" s="211"/>
      <c r="L544" s="211"/>
      <c r="M544" s="211"/>
      <c r="BF544" s="215">
        <v>495</v>
      </c>
      <c r="BG544" s="218">
        <f t="shared" si="66"/>
        <v>46322250.291619487</v>
      </c>
      <c r="BH544" s="215">
        <v>495</v>
      </c>
      <c r="BI544" s="219">
        <f t="shared" si="67"/>
        <v>1.12E-2</v>
      </c>
      <c r="BJ544" s="218">
        <f t="shared" si="65"/>
        <v>518809.20326613827</v>
      </c>
      <c r="BK544" s="217">
        <f t="shared" si="68"/>
        <v>1000</v>
      </c>
    </row>
    <row r="545" spans="8:63" s="215" customFormat="1">
      <c r="H545" s="211"/>
      <c r="I545" s="211"/>
      <c r="J545" s="211"/>
      <c r="K545" s="211"/>
      <c r="L545" s="211"/>
      <c r="M545" s="211"/>
      <c r="BF545" s="215">
        <v>496</v>
      </c>
      <c r="BG545" s="218">
        <f t="shared" si="66"/>
        <v>46842059.494885623</v>
      </c>
      <c r="BH545" s="215">
        <v>496</v>
      </c>
      <c r="BI545" s="219">
        <f t="shared" si="67"/>
        <v>1.12E-2</v>
      </c>
      <c r="BJ545" s="218">
        <f t="shared" si="65"/>
        <v>524631.06634271902</v>
      </c>
      <c r="BK545" s="217">
        <f t="shared" si="68"/>
        <v>1000</v>
      </c>
    </row>
    <row r="546" spans="8:63" s="215" customFormat="1">
      <c r="H546" s="211"/>
      <c r="I546" s="211"/>
      <c r="J546" s="211"/>
      <c r="K546" s="211"/>
      <c r="L546" s="211"/>
      <c r="M546" s="211"/>
      <c r="BF546" s="215">
        <v>497</v>
      </c>
      <c r="BG546" s="218">
        <f t="shared" si="66"/>
        <v>47367690.561228342</v>
      </c>
      <c r="BH546" s="215">
        <v>497</v>
      </c>
      <c r="BI546" s="219">
        <f t="shared" si="67"/>
        <v>1.12E-2</v>
      </c>
      <c r="BJ546" s="218">
        <f t="shared" si="65"/>
        <v>530518.13428575743</v>
      </c>
      <c r="BK546" s="217">
        <f t="shared" si="68"/>
        <v>1000</v>
      </c>
    </row>
    <row r="547" spans="8:63" s="215" customFormat="1">
      <c r="H547" s="211"/>
      <c r="I547" s="211"/>
      <c r="J547" s="211"/>
      <c r="K547" s="211"/>
      <c r="L547" s="211"/>
      <c r="M547" s="211"/>
      <c r="BF547" s="215">
        <v>498</v>
      </c>
      <c r="BG547" s="218">
        <f t="shared" si="66"/>
        <v>47899208.695514098</v>
      </c>
      <c r="BH547" s="215">
        <v>498</v>
      </c>
      <c r="BI547" s="219">
        <f t="shared" si="67"/>
        <v>1.12E-2</v>
      </c>
      <c r="BJ547" s="218">
        <f t="shared" si="65"/>
        <v>536471.1373897579</v>
      </c>
      <c r="BK547" s="217">
        <f t="shared" si="68"/>
        <v>1000</v>
      </c>
    </row>
    <row r="548" spans="8:63" s="215" customFormat="1">
      <c r="H548" s="211"/>
      <c r="I548" s="211"/>
      <c r="J548" s="211"/>
      <c r="K548" s="211"/>
      <c r="L548" s="211"/>
      <c r="M548" s="211"/>
      <c r="BF548" s="215">
        <v>499</v>
      </c>
      <c r="BG548" s="218">
        <f t="shared" si="66"/>
        <v>48436679.832903855</v>
      </c>
      <c r="BH548" s="215">
        <v>499</v>
      </c>
      <c r="BI548" s="219">
        <f t="shared" si="67"/>
        <v>1.12E-2</v>
      </c>
      <c r="BJ548" s="218">
        <f t="shared" si="65"/>
        <v>542490.81412852311</v>
      </c>
      <c r="BK548" s="217">
        <f t="shared" si="68"/>
        <v>1000</v>
      </c>
    </row>
    <row r="549" spans="8:63" s="215" customFormat="1">
      <c r="H549" s="211"/>
      <c r="I549" s="211"/>
      <c r="J549" s="211"/>
      <c r="K549" s="211"/>
      <c r="L549" s="211"/>
      <c r="M549" s="211"/>
      <c r="BF549" s="215">
        <v>500</v>
      </c>
      <c r="BG549" s="218">
        <f t="shared" si="66"/>
        <v>48980170.64703238</v>
      </c>
      <c r="BH549" s="215">
        <v>500</v>
      </c>
      <c r="BI549" s="219">
        <f t="shared" si="67"/>
        <v>1.12E-2</v>
      </c>
      <c r="BJ549" s="218">
        <f t="shared" si="65"/>
        <v>548577.91124676261</v>
      </c>
      <c r="BK549" s="217">
        <f t="shared" si="68"/>
        <v>1000</v>
      </c>
    </row>
    <row r="550" spans="8:63" s="215" customFormat="1">
      <c r="H550" s="211"/>
      <c r="I550" s="211"/>
      <c r="J550" s="211"/>
      <c r="K550" s="211"/>
      <c r="L550" s="211"/>
      <c r="M550" s="211"/>
      <c r="BF550" s="215">
        <v>501</v>
      </c>
      <c r="BG550" s="218">
        <f t="shared" si="66"/>
        <v>49529748.558279142</v>
      </c>
      <c r="BH550" s="215">
        <v>501</v>
      </c>
      <c r="BI550" s="219">
        <f t="shared" si="67"/>
        <v>1.12E-2</v>
      </c>
      <c r="BJ550" s="218">
        <f t="shared" si="65"/>
        <v>554733.18385272636</v>
      </c>
      <c r="BK550" s="217">
        <f t="shared" si="68"/>
        <v>1000</v>
      </c>
    </row>
    <row r="551" spans="8:63" s="215" customFormat="1">
      <c r="H551" s="211"/>
      <c r="I551" s="211"/>
      <c r="J551" s="211"/>
      <c r="K551" s="211"/>
      <c r="L551" s="211"/>
      <c r="M551" s="211"/>
      <c r="BF551" s="215">
        <v>502</v>
      </c>
      <c r="BG551" s="218">
        <f t="shared" si="66"/>
        <v>50085481.742131867</v>
      </c>
      <c r="BH551" s="215">
        <v>502</v>
      </c>
      <c r="BI551" s="219">
        <f t="shared" si="67"/>
        <v>1.12E-2</v>
      </c>
      <c r="BJ551" s="218">
        <f t="shared" si="65"/>
        <v>560957.39551187691</v>
      </c>
      <c r="BK551" s="217">
        <f t="shared" si="68"/>
        <v>1000</v>
      </c>
    </row>
    <row r="552" spans="8:63" s="215" customFormat="1">
      <c r="H552" s="211"/>
      <c r="I552" s="211"/>
      <c r="J552" s="211"/>
      <c r="K552" s="211"/>
      <c r="L552" s="211"/>
      <c r="M552" s="211"/>
      <c r="BF552" s="215">
        <v>503</v>
      </c>
      <c r="BG552" s="218">
        <f t="shared" si="66"/>
        <v>50647439.137643747</v>
      </c>
      <c r="BH552" s="215">
        <v>503</v>
      </c>
      <c r="BI552" s="219">
        <f t="shared" si="67"/>
        <v>1.12E-2</v>
      </c>
      <c r="BJ552" s="218">
        <f t="shared" si="65"/>
        <v>567251.31834160991</v>
      </c>
      <c r="BK552" s="217">
        <f t="shared" si="68"/>
        <v>1000</v>
      </c>
    </row>
    <row r="553" spans="8:63" s="215" customFormat="1">
      <c r="H553" s="211"/>
      <c r="I553" s="211"/>
      <c r="J553" s="211"/>
      <c r="K553" s="211"/>
      <c r="L553" s="211"/>
      <c r="M553" s="211"/>
      <c r="BF553" s="215">
        <v>504</v>
      </c>
      <c r="BG553" s="218">
        <f t="shared" si="66"/>
        <v>51215690.45598536</v>
      </c>
      <c r="BH553" s="215">
        <v>504</v>
      </c>
      <c r="BI553" s="219">
        <f t="shared" si="67"/>
        <v>1.12E-2</v>
      </c>
      <c r="BJ553" s="218">
        <f t="shared" si="65"/>
        <v>573615.73310703598</v>
      </c>
      <c r="BK553" s="217">
        <f t="shared" si="68"/>
        <v>1000</v>
      </c>
    </row>
    <row r="554" spans="8:63" s="215" customFormat="1">
      <c r="H554" s="211"/>
      <c r="I554" s="211"/>
      <c r="J554" s="211"/>
      <c r="K554" s="211"/>
      <c r="L554" s="211"/>
      <c r="M554" s="211"/>
      <c r="BF554" s="215">
        <v>505</v>
      </c>
      <c r="BG554" s="218">
        <f t="shared" si="66"/>
        <v>51790306.189092398</v>
      </c>
      <c r="BH554" s="215">
        <v>505</v>
      </c>
      <c r="BI554" s="219">
        <f t="shared" si="67"/>
        <v>1.12E-2</v>
      </c>
      <c r="BJ554" s="218">
        <f t="shared" si="65"/>
        <v>580051.4293178349</v>
      </c>
      <c r="BK554" s="217">
        <f t="shared" si="68"/>
        <v>1000</v>
      </c>
    </row>
    <row r="555" spans="8:63" s="215" customFormat="1">
      <c r="H555" s="211"/>
      <c r="I555" s="211"/>
      <c r="J555" s="211"/>
      <c r="K555" s="211"/>
      <c r="L555" s="211"/>
      <c r="M555" s="211"/>
      <c r="BF555" s="215">
        <v>506</v>
      </c>
      <c r="BG555" s="218">
        <f t="shared" si="66"/>
        <v>52371357.61841023</v>
      </c>
      <c r="BH555" s="215">
        <v>506</v>
      </c>
      <c r="BI555" s="219">
        <f t="shared" si="67"/>
        <v>1.12E-2</v>
      </c>
      <c r="BJ555" s="218">
        <f t="shared" si="65"/>
        <v>586559.20532619453</v>
      </c>
      <c r="BK555" s="217">
        <f t="shared" si="68"/>
        <v>1000</v>
      </c>
    </row>
    <row r="556" spans="8:63" s="215" customFormat="1">
      <c r="H556" s="211"/>
      <c r="I556" s="211"/>
      <c r="J556" s="211"/>
      <c r="K556" s="211"/>
      <c r="L556" s="211"/>
      <c r="M556" s="211"/>
      <c r="BF556" s="215">
        <v>507</v>
      </c>
      <c r="BG556" s="218">
        <f t="shared" si="66"/>
        <v>52958916.823736422</v>
      </c>
      <c r="BH556" s="215">
        <v>507</v>
      </c>
      <c r="BI556" s="219">
        <f t="shared" si="67"/>
        <v>1.12E-2</v>
      </c>
      <c r="BJ556" s="218">
        <f t="shared" si="65"/>
        <v>593139.86842584796</v>
      </c>
      <c r="BK556" s="217">
        <f t="shared" si="68"/>
        <v>1000</v>
      </c>
    </row>
    <row r="557" spans="8:63" s="215" customFormat="1">
      <c r="H557" s="211"/>
      <c r="I557" s="211"/>
      <c r="J557" s="211"/>
      <c r="K557" s="211"/>
      <c r="L557" s="211"/>
      <c r="M557" s="211"/>
      <c r="BF557" s="215">
        <v>508</v>
      </c>
      <c r="BG557" s="218">
        <f t="shared" si="66"/>
        <v>53553056.692162268</v>
      </c>
      <c r="BH557" s="215">
        <v>508</v>
      </c>
      <c r="BI557" s="219">
        <f t="shared" si="67"/>
        <v>1.12E-2</v>
      </c>
      <c r="BJ557" s="218">
        <f t="shared" si="65"/>
        <v>599794.23495221743</v>
      </c>
      <c r="BK557" s="217">
        <f t="shared" si="68"/>
        <v>1000</v>
      </c>
    </row>
    <row r="558" spans="8:63" s="215" customFormat="1">
      <c r="H558" s="211"/>
      <c r="I558" s="211"/>
      <c r="J558" s="211"/>
      <c r="K558" s="211"/>
      <c r="L558" s="211"/>
      <c r="M558" s="211"/>
      <c r="BF558" s="215">
        <v>509</v>
      </c>
      <c r="BG558" s="218">
        <f t="shared" si="66"/>
        <v>54153850.927114487</v>
      </c>
      <c r="BH558" s="215">
        <v>509</v>
      </c>
      <c r="BI558" s="219">
        <f t="shared" si="67"/>
        <v>1.12E-2</v>
      </c>
      <c r="BJ558" s="218">
        <f t="shared" si="65"/>
        <v>606523.1303836822</v>
      </c>
      <c r="BK558" s="217">
        <f t="shared" si="68"/>
        <v>1000</v>
      </c>
    </row>
    <row r="559" spans="8:63" s="215" customFormat="1">
      <c r="H559" s="211"/>
      <c r="I559" s="211"/>
      <c r="J559" s="211"/>
      <c r="K559" s="211"/>
      <c r="L559" s="211"/>
      <c r="M559" s="211"/>
      <c r="BF559" s="215">
        <v>510</v>
      </c>
      <c r="BG559" s="218">
        <f t="shared" si="66"/>
        <v>54761374.057498172</v>
      </c>
      <c r="BH559" s="215">
        <v>510</v>
      </c>
      <c r="BI559" s="219">
        <f t="shared" si="67"/>
        <v>1.12E-2</v>
      </c>
      <c r="BJ559" s="218">
        <f t="shared" si="65"/>
        <v>613327.38944397948</v>
      </c>
      <c r="BK559" s="217">
        <f t="shared" si="68"/>
        <v>1000</v>
      </c>
    </row>
    <row r="560" spans="8:63" s="215" customFormat="1">
      <c r="H560" s="211"/>
      <c r="I560" s="211"/>
      <c r="J560" s="211"/>
      <c r="K560" s="211"/>
      <c r="L560" s="211"/>
      <c r="M560" s="211"/>
      <c r="BF560" s="215">
        <v>511</v>
      </c>
      <c r="BG560" s="218">
        <f t="shared" si="66"/>
        <v>55375701.446942151</v>
      </c>
      <c r="BH560" s="215">
        <v>511</v>
      </c>
      <c r="BI560" s="219">
        <f t="shared" si="67"/>
        <v>1.12E-2</v>
      </c>
      <c r="BJ560" s="218">
        <f t="shared" si="65"/>
        <v>620207.85620575212</v>
      </c>
      <c r="BK560" s="217">
        <f t="shared" si="68"/>
        <v>1000</v>
      </c>
    </row>
    <row r="561" spans="8:63" s="215" customFormat="1">
      <c r="H561" s="211"/>
      <c r="I561" s="211"/>
      <c r="J561" s="211"/>
      <c r="K561" s="211"/>
      <c r="L561" s="211"/>
      <c r="M561" s="211"/>
      <c r="BF561" s="215">
        <v>512</v>
      </c>
      <c r="BG561" s="218">
        <f t="shared" si="66"/>
        <v>55996909.303147905</v>
      </c>
      <c r="BH561" s="215">
        <v>512</v>
      </c>
      <c r="BI561" s="219">
        <f t="shared" si="67"/>
        <v>1.12E-2</v>
      </c>
      <c r="BJ561" s="218">
        <f t="shared" si="65"/>
        <v>627165.38419525651</v>
      </c>
      <c r="BK561" s="217">
        <f t="shared" si="68"/>
        <v>1000</v>
      </c>
    </row>
    <row r="562" spans="8:63" s="215" customFormat="1">
      <c r="H562" s="211"/>
      <c r="I562" s="211"/>
      <c r="J562" s="211"/>
      <c r="K562" s="211"/>
      <c r="L562" s="211"/>
      <c r="M562" s="211"/>
      <c r="BF562" s="215">
        <v>513</v>
      </c>
      <c r="BG562" s="218">
        <f t="shared" si="66"/>
        <v>56625074.687343158</v>
      </c>
      <c r="BH562" s="215">
        <v>513</v>
      </c>
      <c r="BI562" s="219">
        <f t="shared" si="67"/>
        <v>1.12E-2</v>
      </c>
      <c r="BJ562" s="218">
        <f t="shared" ref="BJ562:BJ625" si="69">BG562*BI562</f>
        <v>634200.83649824338</v>
      </c>
      <c r="BK562" s="217">
        <f t="shared" si="68"/>
        <v>1000</v>
      </c>
    </row>
    <row r="563" spans="8:63" s="215" customFormat="1">
      <c r="H563" s="211"/>
      <c r="I563" s="211"/>
      <c r="J563" s="211"/>
      <c r="K563" s="211"/>
      <c r="L563" s="211"/>
      <c r="M563" s="211"/>
      <c r="BF563" s="215">
        <v>514</v>
      </c>
      <c r="BG563" s="218">
        <f t="shared" ref="BG563:BG626" si="70">BG562+BJ562+BK563</f>
        <v>57260275.523841403</v>
      </c>
      <c r="BH563" s="215">
        <v>514</v>
      </c>
      <c r="BI563" s="219">
        <f t="shared" ref="BI563:BI626" si="71">BI562</f>
        <v>1.12E-2</v>
      </c>
      <c r="BJ563" s="218">
        <f t="shared" si="69"/>
        <v>641315.08586702368</v>
      </c>
      <c r="BK563" s="217">
        <f t="shared" ref="BK563:BK626" si="72">BK562</f>
        <v>1000</v>
      </c>
    </row>
    <row r="564" spans="8:63" s="215" customFormat="1">
      <c r="H564" s="211"/>
      <c r="I564" s="211"/>
      <c r="J564" s="211"/>
      <c r="K564" s="211"/>
      <c r="L564" s="211"/>
      <c r="M564" s="211"/>
      <c r="BF564" s="215">
        <v>515</v>
      </c>
      <c r="BG564" s="218">
        <f t="shared" si="70"/>
        <v>57902590.609708428</v>
      </c>
      <c r="BH564" s="215">
        <v>515</v>
      </c>
      <c r="BI564" s="219">
        <f t="shared" si="71"/>
        <v>1.12E-2</v>
      </c>
      <c r="BJ564" s="218">
        <f t="shared" si="69"/>
        <v>648509.01482873445</v>
      </c>
      <c r="BK564" s="217">
        <f t="shared" si="72"/>
        <v>1000</v>
      </c>
    </row>
    <row r="565" spans="8:63" s="215" customFormat="1">
      <c r="H565" s="211"/>
      <c r="I565" s="211"/>
      <c r="J565" s="211"/>
      <c r="K565" s="211"/>
      <c r="L565" s="211"/>
      <c r="M565" s="211"/>
      <c r="BF565" s="215">
        <v>516</v>
      </c>
      <c r="BG565" s="218">
        <f t="shared" si="70"/>
        <v>58552099.624537162</v>
      </c>
      <c r="BH565" s="215">
        <v>516</v>
      </c>
      <c r="BI565" s="219">
        <f t="shared" si="71"/>
        <v>1.12E-2</v>
      </c>
      <c r="BJ565" s="218">
        <f t="shared" si="69"/>
        <v>655783.51579481619</v>
      </c>
      <c r="BK565" s="217">
        <f t="shared" si="72"/>
        <v>1000</v>
      </c>
    </row>
    <row r="566" spans="8:63" s="215" customFormat="1">
      <c r="H566" s="211"/>
      <c r="I566" s="211"/>
      <c r="J566" s="211"/>
      <c r="K566" s="211"/>
      <c r="L566" s="211"/>
      <c r="M566" s="211"/>
      <c r="BF566" s="215">
        <v>517</v>
      </c>
      <c r="BG566" s="218">
        <f t="shared" si="70"/>
        <v>59208883.140331976</v>
      </c>
      <c r="BH566" s="215">
        <v>517</v>
      </c>
      <c r="BI566" s="219">
        <f t="shared" si="71"/>
        <v>1.12E-2</v>
      </c>
      <c r="BJ566" s="218">
        <f t="shared" si="69"/>
        <v>663139.49117171811</v>
      </c>
      <c r="BK566" s="217">
        <f t="shared" si="72"/>
        <v>1000</v>
      </c>
    </row>
    <row r="567" spans="8:63" s="215" customFormat="1">
      <c r="H567" s="211"/>
      <c r="I567" s="211"/>
      <c r="J567" s="211"/>
      <c r="K567" s="211"/>
      <c r="L567" s="211"/>
      <c r="M567" s="211"/>
      <c r="BF567" s="215">
        <v>518</v>
      </c>
      <c r="BG567" s="218">
        <f t="shared" si="70"/>
        <v>59873022.631503694</v>
      </c>
      <c r="BH567" s="215">
        <v>518</v>
      </c>
      <c r="BI567" s="219">
        <f t="shared" si="71"/>
        <v>1.12E-2</v>
      </c>
      <c r="BJ567" s="218">
        <f t="shared" si="69"/>
        <v>670577.85347284132</v>
      </c>
      <c r="BK567" s="217">
        <f t="shared" si="72"/>
        <v>1000</v>
      </c>
    </row>
    <row r="568" spans="8:63" s="215" customFormat="1">
      <c r="H568" s="211"/>
      <c r="I568" s="211"/>
      <c r="J568" s="211"/>
      <c r="K568" s="211"/>
      <c r="L568" s="211"/>
      <c r="M568" s="211"/>
      <c r="BF568" s="215">
        <v>519</v>
      </c>
      <c r="BG568" s="218">
        <f t="shared" si="70"/>
        <v>60544600.484976538</v>
      </c>
      <c r="BH568" s="215">
        <v>519</v>
      </c>
      <c r="BI568" s="219">
        <f t="shared" si="71"/>
        <v>1.12E-2</v>
      </c>
      <c r="BJ568" s="218">
        <f t="shared" si="69"/>
        <v>678099.52543173719</v>
      </c>
      <c r="BK568" s="217">
        <f t="shared" si="72"/>
        <v>1000</v>
      </c>
    </row>
    <row r="569" spans="8:63" s="215" customFormat="1">
      <c r="H569" s="211"/>
      <c r="I569" s="211"/>
      <c r="J569" s="211"/>
      <c r="K569" s="211"/>
      <c r="L569" s="211"/>
      <c r="M569" s="211"/>
      <c r="BF569" s="215">
        <v>520</v>
      </c>
      <c r="BG569" s="218">
        <f t="shared" si="70"/>
        <v>61223700.010408275</v>
      </c>
      <c r="BH569" s="215">
        <v>520</v>
      </c>
      <c r="BI569" s="219">
        <f t="shared" si="71"/>
        <v>1.12E-2</v>
      </c>
      <c r="BJ569" s="218">
        <f t="shared" si="69"/>
        <v>685705.44011657266</v>
      </c>
      <c r="BK569" s="217">
        <f t="shared" si="72"/>
        <v>1000</v>
      </c>
    </row>
    <row r="570" spans="8:63" s="215" customFormat="1">
      <c r="H570" s="211"/>
      <c r="I570" s="211"/>
      <c r="J570" s="211"/>
      <c r="K570" s="211"/>
      <c r="L570" s="211"/>
      <c r="M570" s="211"/>
      <c r="BF570" s="215">
        <v>521</v>
      </c>
      <c r="BG570" s="218">
        <f t="shared" si="70"/>
        <v>61910405.450524844</v>
      </c>
      <c r="BH570" s="215">
        <v>521</v>
      </c>
      <c r="BI570" s="219">
        <f t="shared" si="71"/>
        <v>1.12E-2</v>
      </c>
      <c r="BJ570" s="218">
        <f t="shared" si="69"/>
        <v>693396.5410458782</v>
      </c>
      <c r="BK570" s="217">
        <f t="shared" si="72"/>
        <v>1000</v>
      </c>
    </row>
    <row r="571" spans="8:63" s="215" customFormat="1">
      <c r="H571" s="211"/>
      <c r="I571" s="211"/>
      <c r="J571" s="211"/>
      <c r="K571" s="211"/>
      <c r="L571" s="211"/>
      <c r="M571" s="211"/>
      <c r="BF571" s="215">
        <v>522</v>
      </c>
      <c r="BG571" s="218">
        <f t="shared" si="70"/>
        <v>62604801.991570726</v>
      </c>
      <c r="BH571" s="215">
        <v>522</v>
      </c>
      <c r="BI571" s="219">
        <f t="shared" si="71"/>
        <v>1.12E-2</v>
      </c>
      <c r="BJ571" s="218">
        <f t="shared" si="69"/>
        <v>701173.78230559209</v>
      </c>
      <c r="BK571" s="217">
        <f t="shared" si="72"/>
        <v>1000</v>
      </c>
    </row>
    <row r="572" spans="8:63" s="215" customFormat="1">
      <c r="H572" s="211"/>
      <c r="I572" s="211"/>
      <c r="J572" s="211"/>
      <c r="K572" s="211"/>
      <c r="L572" s="211"/>
      <c r="M572" s="211"/>
      <c r="BF572" s="215">
        <v>523</v>
      </c>
      <c r="BG572" s="218">
        <f t="shared" si="70"/>
        <v>63306975.773876317</v>
      </c>
      <c r="BH572" s="215">
        <v>523</v>
      </c>
      <c r="BI572" s="219">
        <f t="shared" si="71"/>
        <v>1.12E-2</v>
      </c>
      <c r="BJ572" s="218">
        <f t="shared" si="69"/>
        <v>709038.12866741477</v>
      </c>
      <c r="BK572" s="217">
        <f t="shared" si="72"/>
        <v>1000</v>
      </c>
    </row>
    <row r="573" spans="8:63" s="215" customFormat="1">
      <c r="H573" s="211"/>
      <c r="I573" s="211"/>
      <c r="J573" s="211"/>
      <c r="K573" s="211"/>
      <c r="L573" s="211"/>
      <c r="M573" s="211"/>
      <c r="BF573" s="215">
        <v>524</v>
      </c>
      <c r="BG573" s="218">
        <f t="shared" si="70"/>
        <v>64017013.902543731</v>
      </c>
      <c r="BH573" s="215">
        <v>524</v>
      </c>
      <c r="BI573" s="219">
        <f t="shared" si="71"/>
        <v>1.12E-2</v>
      </c>
      <c r="BJ573" s="218">
        <f t="shared" si="69"/>
        <v>716990.55570848973</v>
      </c>
      <c r="BK573" s="217">
        <f t="shared" si="72"/>
        <v>1000</v>
      </c>
    </row>
    <row r="574" spans="8:63" s="215" customFormat="1">
      <c r="H574" s="211"/>
      <c r="I574" s="211"/>
      <c r="J574" s="211"/>
      <c r="K574" s="211"/>
      <c r="L574" s="211"/>
      <c r="M574" s="211"/>
      <c r="BF574" s="215">
        <v>525</v>
      </c>
      <c r="BG574" s="218">
        <f t="shared" si="70"/>
        <v>64735004.458252221</v>
      </c>
      <c r="BH574" s="215">
        <v>525</v>
      </c>
      <c r="BI574" s="219">
        <f t="shared" si="71"/>
        <v>1.12E-2</v>
      </c>
      <c r="BJ574" s="218">
        <f t="shared" si="69"/>
        <v>725032.04993242491</v>
      </c>
      <c r="BK574" s="217">
        <f t="shared" si="72"/>
        <v>1000</v>
      </c>
    </row>
    <row r="575" spans="8:63" s="215" customFormat="1">
      <c r="H575" s="211"/>
      <c r="I575" s="211"/>
      <c r="J575" s="211"/>
      <c r="K575" s="211"/>
      <c r="L575" s="211"/>
      <c r="M575" s="211"/>
      <c r="BF575" s="215">
        <v>526</v>
      </c>
      <c r="BG575" s="218">
        <f t="shared" si="70"/>
        <v>65461036.508184649</v>
      </c>
      <c r="BH575" s="215">
        <v>526</v>
      </c>
      <c r="BI575" s="219">
        <f t="shared" si="71"/>
        <v>1.12E-2</v>
      </c>
      <c r="BJ575" s="218">
        <f t="shared" si="69"/>
        <v>733163.60889166803</v>
      </c>
      <c r="BK575" s="217">
        <f t="shared" si="72"/>
        <v>1000</v>
      </c>
    </row>
    <row r="576" spans="8:63" s="215" customFormat="1">
      <c r="H576" s="211"/>
      <c r="I576" s="211"/>
      <c r="J576" s="211"/>
      <c r="K576" s="211"/>
      <c r="L576" s="211"/>
      <c r="M576" s="211"/>
      <c r="BF576" s="215">
        <v>527</v>
      </c>
      <c r="BG576" s="218">
        <f t="shared" si="70"/>
        <v>66195200.117076315</v>
      </c>
      <c r="BH576" s="215">
        <v>527</v>
      </c>
      <c r="BI576" s="219">
        <f t="shared" si="71"/>
        <v>1.12E-2</v>
      </c>
      <c r="BJ576" s="218">
        <f t="shared" si="69"/>
        <v>741386.24131125468</v>
      </c>
      <c r="BK576" s="217">
        <f t="shared" si="72"/>
        <v>1000</v>
      </c>
    </row>
    <row r="577" spans="8:63" s="215" customFormat="1">
      <c r="H577" s="211"/>
      <c r="I577" s="211"/>
      <c r="J577" s="211"/>
      <c r="K577" s="211"/>
      <c r="L577" s="211"/>
      <c r="M577" s="211"/>
      <c r="BF577" s="215">
        <v>528</v>
      </c>
      <c r="BG577" s="218">
        <f t="shared" si="70"/>
        <v>66937586.358387567</v>
      </c>
      <c r="BH577" s="215">
        <v>528</v>
      </c>
      <c r="BI577" s="219">
        <f t="shared" si="71"/>
        <v>1.12E-2</v>
      </c>
      <c r="BJ577" s="218">
        <f t="shared" si="69"/>
        <v>749700.96721394069</v>
      </c>
      <c r="BK577" s="217">
        <f t="shared" si="72"/>
        <v>1000</v>
      </c>
    </row>
    <row r="578" spans="8:63" s="215" customFormat="1">
      <c r="H578" s="211"/>
      <c r="I578" s="211"/>
      <c r="J578" s="211"/>
      <c r="K578" s="211"/>
      <c r="L578" s="211"/>
      <c r="M578" s="211"/>
      <c r="BF578" s="215">
        <v>529</v>
      </c>
      <c r="BG578" s="218">
        <f t="shared" si="70"/>
        <v>67688287.325601503</v>
      </c>
      <c r="BH578" s="215">
        <v>529</v>
      </c>
      <c r="BI578" s="219">
        <f t="shared" si="71"/>
        <v>1.12E-2</v>
      </c>
      <c r="BJ578" s="218">
        <f t="shared" si="69"/>
        <v>758108.81804673688</v>
      </c>
      <c r="BK578" s="217">
        <f t="shared" si="72"/>
        <v>1000</v>
      </c>
    </row>
    <row r="579" spans="8:63" s="215" customFormat="1">
      <c r="H579" s="211"/>
      <c r="I579" s="211"/>
      <c r="J579" s="211"/>
      <c r="K579" s="211"/>
      <c r="L579" s="211"/>
      <c r="M579" s="211"/>
      <c r="BF579" s="215">
        <v>530</v>
      </c>
      <c r="BG579" s="218">
        <f t="shared" si="70"/>
        <v>68447396.143648237</v>
      </c>
      <c r="BH579" s="215">
        <v>530</v>
      </c>
      <c r="BI579" s="219">
        <f t="shared" si="71"/>
        <v>1.12E-2</v>
      </c>
      <c r="BJ579" s="218">
        <f t="shared" si="69"/>
        <v>766610.8368088603</v>
      </c>
      <c r="BK579" s="217">
        <f t="shared" si="72"/>
        <v>1000</v>
      </c>
    </row>
    <row r="580" spans="8:63" s="215" customFormat="1">
      <c r="H580" s="211"/>
      <c r="I580" s="211"/>
      <c r="J580" s="211"/>
      <c r="K580" s="211"/>
      <c r="L580" s="211"/>
      <c r="M580" s="211"/>
      <c r="BF580" s="215">
        <v>531</v>
      </c>
      <c r="BG580" s="218">
        <f t="shared" si="70"/>
        <v>69215006.980457097</v>
      </c>
      <c r="BH580" s="215">
        <v>531</v>
      </c>
      <c r="BI580" s="219">
        <f t="shared" si="71"/>
        <v>1.12E-2</v>
      </c>
      <c r="BJ580" s="218">
        <f t="shared" si="69"/>
        <v>775208.07818111952</v>
      </c>
      <c r="BK580" s="217">
        <f t="shared" si="72"/>
        <v>1000</v>
      </c>
    </row>
    <row r="581" spans="8:63" s="215" customFormat="1">
      <c r="H581" s="211"/>
      <c r="I581" s="211"/>
      <c r="J581" s="211"/>
      <c r="K581" s="211"/>
      <c r="L581" s="211"/>
      <c r="M581" s="211"/>
      <c r="BF581" s="215">
        <v>532</v>
      </c>
      <c r="BG581" s="218">
        <f t="shared" si="70"/>
        <v>69991215.058638215</v>
      </c>
      <c r="BH581" s="215">
        <v>532</v>
      </c>
      <c r="BI581" s="219">
        <f t="shared" si="71"/>
        <v>1.12E-2</v>
      </c>
      <c r="BJ581" s="218">
        <f t="shared" si="69"/>
        <v>783901.60865674797</v>
      </c>
      <c r="BK581" s="217">
        <f t="shared" si="72"/>
        <v>1000</v>
      </c>
    </row>
    <row r="582" spans="8:63" s="215" customFormat="1">
      <c r="H582" s="211"/>
      <c r="I582" s="211"/>
      <c r="J582" s="211"/>
      <c r="K582" s="211"/>
      <c r="L582" s="211"/>
      <c r="M582" s="211"/>
      <c r="BF582" s="215">
        <v>533</v>
      </c>
      <c r="BG582" s="218">
        <f t="shared" si="70"/>
        <v>70776116.667294964</v>
      </c>
      <c r="BH582" s="215">
        <v>533</v>
      </c>
      <c r="BI582" s="219">
        <f t="shared" si="71"/>
        <v>1.12E-2</v>
      </c>
      <c r="BJ582" s="218">
        <f t="shared" si="69"/>
        <v>792692.50667370355</v>
      </c>
      <c r="BK582" s="217">
        <f t="shared" si="72"/>
        <v>1000</v>
      </c>
    </row>
    <row r="583" spans="8:63" s="215" customFormat="1">
      <c r="H583" s="211"/>
      <c r="I583" s="211"/>
      <c r="J583" s="211"/>
      <c r="K583" s="211"/>
      <c r="L583" s="211"/>
      <c r="M583" s="211"/>
      <c r="BF583" s="215">
        <v>534</v>
      </c>
      <c r="BG583" s="218">
        <f t="shared" si="70"/>
        <v>71569809.173968673</v>
      </c>
      <c r="BH583" s="215">
        <v>534</v>
      </c>
      <c r="BI583" s="219">
        <f t="shared" si="71"/>
        <v>1.12E-2</v>
      </c>
      <c r="BJ583" s="218">
        <f t="shared" si="69"/>
        <v>801581.86274844909</v>
      </c>
      <c r="BK583" s="217">
        <f t="shared" si="72"/>
        <v>1000</v>
      </c>
    </row>
    <row r="584" spans="8:63" s="215" customFormat="1">
      <c r="H584" s="211"/>
      <c r="I584" s="211"/>
      <c r="J584" s="211"/>
      <c r="K584" s="211"/>
      <c r="L584" s="211"/>
      <c r="M584" s="211"/>
      <c r="BF584" s="215">
        <v>535</v>
      </c>
      <c r="BG584" s="218">
        <f t="shared" si="70"/>
        <v>72372391.036717117</v>
      </c>
      <c r="BH584" s="215">
        <v>535</v>
      </c>
      <c r="BI584" s="219">
        <f t="shared" si="71"/>
        <v>1.12E-2</v>
      </c>
      <c r="BJ584" s="218">
        <f t="shared" si="69"/>
        <v>810570.77961123164</v>
      </c>
      <c r="BK584" s="217">
        <f t="shared" si="72"/>
        <v>1000</v>
      </c>
    </row>
    <row r="585" spans="8:63" s="215" customFormat="1">
      <c r="H585" s="211"/>
      <c r="I585" s="211"/>
      <c r="J585" s="211"/>
      <c r="K585" s="211"/>
      <c r="L585" s="211"/>
      <c r="M585" s="211"/>
      <c r="BF585" s="215">
        <v>536</v>
      </c>
      <c r="BG585" s="218">
        <f t="shared" si="70"/>
        <v>73183961.816328347</v>
      </c>
      <c r="BH585" s="215">
        <v>536</v>
      </c>
      <c r="BI585" s="219">
        <f t="shared" si="71"/>
        <v>1.12E-2</v>
      </c>
      <c r="BJ585" s="218">
        <f t="shared" si="69"/>
        <v>819660.37234287744</v>
      </c>
      <c r="BK585" s="217">
        <f t="shared" si="72"/>
        <v>1000</v>
      </c>
    </row>
    <row r="586" spans="8:63" s="215" customFormat="1">
      <c r="H586" s="211"/>
      <c r="I586" s="211"/>
      <c r="J586" s="211"/>
      <c r="K586" s="211"/>
      <c r="L586" s="211"/>
      <c r="M586" s="211"/>
      <c r="BF586" s="215">
        <v>537</v>
      </c>
      <c r="BG586" s="218">
        <f t="shared" si="70"/>
        <v>74004622.188671231</v>
      </c>
      <c r="BH586" s="215">
        <v>537</v>
      </c>
      <c r="BI586" s="219">
        <f t="shared" si="71"/>
        <v>1.12E-2</v>
      </c>
      <c r="BJ586" s="218">
        <f t="shared" si="69"/>
        <v>828851.7685131178</v>
      </c>
      <c r="BK586" s="217">
        <f t="shared" si="72"/>
        <v>1000</v>
      </c>
    </row>
    <row r="587" spans="8:63" s="215" customFormat="1">
      <c r="H587" s="211"/>
      <c r="I587" s="211"/>
      <c r="J587" s="211"/>
      <c r="K587" s="211"/>
      <c r="L587" s="211"/>
      <c r="M587" s="211"/>
      <c r="BF587" s="215">
        <v>538</v>
      </c>
      <c r="BG587" s="218">
        <f t="shared" si="70"/>
        <v>74834473.957184345</v>
      </c>
      <c r="BH587" s="215">
        <v>538</v>
      </c>
      <c r="BI587" s="219">
        <f t="shared" si="71"/>
        <v>1.12E-2</v>
      </c>
      <c r="BJ587" s="218">
        <f t="shared" si="69"/>
        <v>838146.10832046461</v>
      </c>
      <c r="BK587" s="217">
        <f t="shared" si="72"/>
        <v>1000</v>
      </c>
    </row>
    <row r="588" spans="8:63" s="215" customFormat="1">
      <c r="H588" s="211"/>
      <c r="I588" s="211"/>
      <c r="J588" s="211"/>
      <c r="K588" s="211"/>
      <c r="L588" s="211"/>
      <c r="M588" s="211"/>
      <c r="BF588" s="215">
        <v>539</v>
      </c>
      <c r="BG588" s="218">
        <f t="shared" si="70"/>
        <v>75673620.065504804</v>
      </c>
      <c r="BH588" s="215">
        <v>539</v>
      </c>
      <c r="BI588" s="219">
        <f t="shared" si="71"/>
        <v>1.12E-2</v>
      </c>
      <c r="BJ588" s="218">
        <f t="shared" si="69"/>
        <v>847544.54473365378</v>
      </c>
      <c r="BK588" s="217">
        <f t="shared" si="72"/>
        <v>1000</v>
      </c>
    </row>
    <row r="589" spans="8:63" s="215" customFormat="1">
      <c r="H589" s="211"/>
      <c r="I589" s="211"/>
      <c r="J589" s="211"/>
      <c r="K589" s="211"/>
      <c r="L589" s="211"/>
      <c r="M589" s="211"/>
      <c r="BF589" s="215">
        <v>540</v>
      </c>
      <c r="BG589" s="218">
        <f t="shared" si="70"/>
        <v>76522164.610238463</v>
      </c>
      <c r="BH589" s="215">
        <v>540</v>
      </c>
      <c r="BI589" s="219">
        <f t="shared" si="71"/>
        <v>1.12E-2</v>
      </c>
      <c r="BJ589" s="218">
        <f t="shared" si="69"/>
        <v>857048.24363467074</v>
      </c>
      <c r="BK589" s="217">
        <f t="shared" si="72"/>
        <v>1000</v>
      </c>
    </row>
    <row r="590" spans="8:63" s="215" customFormat="1">
      <c r="H590" s="211"/>
      <c r="I590" s="211"/>
      <c r="J590" s="211"/>
      <c r="K590" s="211"/>
      <c r="L590" s="211"/>
      <c r="M590" s="211"/>
      <c r="BF590" s="215">
        <v>541</v>
      </c>
      <c r="BG590" s="218">
        <f t="shared" si="70"/>
        <v>77380212.853873134</v>
      </c>
      <c r="BH590" s="215">
        <v>541</v>
      </c>
      <c r="BI590" s="219">
        <f t="shared" si="71"/>
        <v>1.12E-2</v>
      </c>
      <c r="BJ590" s="218">
        <f t="shared" si="69"/>
        <v>866658.38396337908</v>
      </c>
      <c r="BK590" s="217">
        <f t="shared" si="72"/>
        <v>1000</v>
      </c>
    </row>
    <row r="591" spans="8:63" s="215" customFormat="1">
      <c r="H591" s="211"/>
      <c r="I591" s="211"/>
      <c r="J591" s="211"/>
      <c r="K591" s="211"/>
      <c r="L591" s="211"/>
      <c r="M591" s="211"/>
      <c r="BF591" s="215">
        <v>542</v>
      </c>
      <c r="BG591" s="218">
        <f t="shared" si="70"/>
        <v>78247871.23783651</v>
      </c>
      <c r="BH591" s="215">
        <v>542</v>
      </c>
      <c r="BI591" s="219">
        <f t="shared" si="71"/>
        <v>1.12E-2</v>
      </c>
      <c r="BJ591" s="218">
        <f t="shared" si="69"/>
        <v>876376.15786376887</v>
      </c>
      <c r="BK591" s="217">
        <f t="shared" si="72"/>
        <v>1000</v>
      </c>
    </row>
    <row r="592" spans="8:63" s="215" customFormat="1">
      <c r="H592" s="211"/>
      <c r="I592" s="211"/>
      <c r="J592" s="211"/>
      <c r="K592" s="211"/>
      <c r="L592" s="211"/>
      <c r="M592" s="211"/>
      <c r="BF592" s="215">
        <v>543</v>
      </c>
      <c r="BG592" s="218">
        <f t="shared" si="70"/>
        <v>79125247.395700276</v>
      </c>
      <c r="BH592" s="215">
        <v>543</v>
      </c>
      <c r="BI592" s="219">
        <f t="shared" si="71"/>
        <v>1.12E-2</v>
      </c>
      <c r="BJ592" s="218">
        <f t="shared" si="69"/>
        <v>886202.77083184302</v>
      </c>
      <c r="BK592" s="217">
        <f t="shared" si="72"/>
        <v>1000</v>
      </c>
    </row>
    <row r="593" spans="8:63" s="215" customFormat="1">
      <c r="H593" s="211"/>
      <c r="I593" s="211"/>
      <c r="J593" s="211"/>
      <c r="K593" s="211"/>
      <c r="L593" s="211"/>
      <c r="M593" s="211"/>
      <c r="BF593" s="215">
        <v>544</v>
      </c>
      <c r="BG593" s="218">
        <f t="shared" si="70"/>
        <v>80012450.166532114</v>
      </c>
      <c r="BH593" s="215">
        <v>544</v>
      </c>
      <c r="BI593" s="219">
        <f t="shared" si="71"/>
        <v>1.12E-2</v>
      </c>
      <c r="BJ593" s="218">
        <f t="shared" si="69"/>
        <v>896139.44186515966</v>
      </c>
      <c r="BK593" s="217">
        <f t="shared" si="72"/>
        <v>1000</v>
      </c>
    </row>
    <row r="594" spans="8:63" s="215" customFormat="1">
      <c r="H594" s="211"/>
      <c r="I594" s="211"/>
      <c r="J594" s="211"/>
      <c r="K594" s="211"/>
      <c r="L594" s="211"/>
      <c r="M594" s="211"/>
      <c r="BF594" s="215">
        <v>545</v>
      </c>
      <c r="BG594" s="218">
        <f t="shared" si="70"/>
        <v>80909589.608397275</v>
      </c>
      <c r="BH594" s="215">
        <v>545</v>
      </c>
      <c r="BI594" s="219">
        <f t="shared" si="71"/>
        <v>1.12E-2</v>
      </c>
      <c r="BJ594" s="218">
        <f t="shared" si="69"/>
        <v>906187.40361404943</v>
      </c>
      <c r="BK594" s="217">
        <f t="shared" si="72"/>
        <v>1000</v>
      </c>
    </row>
    <row r="595" spans="8:63" s="215" customFormat="1">
      <c r="H595" s="211"/>
      <c r="I595" s="211"/>
      <c r="J595" s="211"/>
      <c r="K595" s="211"/>
      <c r="L595" s="211"/>
      <c r="M595" s="211"/>
      <c r="BF595" s="215">
        <v>546</v>
      </c>
      <c r="BG595" s="218">
        <f t="shared" si="70"/>
        <v>81816777.012011319</v>
      </c>
      <c r="BH595" s="215">
        <v>546</v>
      </c>
      <c r="BI595" s="219">
        <f t="shared" si="71"/>
        <v>1.12E-2</v>
      </c>
      <c r="BJ595" s="218">
        <f t="shared" si="69"/>
        <v>916347.90253452677</v>
      </c>
      <c r="BK595" s="217">
        <f t="shared" si="72"/>
        <v>1000</v>
      </c>
    </row>
    <row r="596" spans="8:63" s="215" customFormat="1">
      <c r="H596" s="211"/>
      <c r="I596" s="211"/>
      <c r="J596" s="211"/>
      <c r="K596" s="211"/>
      <c r="L596" s="211"/>
      <c r="M596" s="211"/>
      <c r="BF596" s="215">
        <v>547</v>
      </c>
      <c r="BG596" s="218">
        <f t="shared" si="70"/>
        <v>82734124.914545849</v>
      </c>
      <c r="BH596" s="215">
        <v>547</v>
      </c>
      <c r="BI596" s="219">
        <f t="shared" si="71"/>
        <v>1.12E-2</v>
      </c>
      <c r="BJ596" s="218">
        <f t="shared" si="69"/>
        <v>926622.1990429135</v>
      </c>
      <c r="BK596" s="217">
        <f t="shared" si="72"/>
        <v>1000</v>
      </c>
    </row>
    <row r="597" spans="8:63" s="215" customFormat="1">
      <c r="H597" s="211"/>
      <c r="I597" s="211"/>
      <c r="J597" s="211"/>
      <c r="K597" s="211"/>
      <c r="L597" s="211"/>
      <c r="M597" s="211"/>
      <c r="BF597" s="215">
        <v>548</v>
      </c>
      <c r="BG597" s="218">
        <f t="shared" si="70"/>
        <v>83661747.113588765</v>
      </c>
      <c r="BH597" s="215">
        <v>548</v>
      </c>
      <c r="BI597" s="219">
        <f t="shared" si="71"/>
        <v>1.12E-2</v>
      </c>
      <c r="BJ597" s="218">
        <f t="shared" si="69"/>
        <v>937011.56767219421</v>
      </c>
      <c r="BK597" s="217">
        <f t="shared" si="72"/>
        <v>1000</v>
      </c>
    </row>
    <row r="598" spans="8:63" s="215" customFormat="1">
      <c r="H598" s="211"/>
      <c r="I598" s="211"/>
      <c r="J598" s="211"/>
      <c r="K598" s="211"/>
      <c r="L598" s="211"/>
      <c r="M598" s="211"/>
      <c r="BF598" s="215">
        <v>549</v>
      </c>
      <c r="BG598" s="218">
        <f t="shared" si="70"/>
        <v>84599758.681260958</v>
      </c>
      <c r="BH598" s="215">
        <v>549</v>
      </c>
      <c r="BI598" s="219">
        <f t="shared" si="71"/>
        <v>1.12E-2</v>
      </c>
      <c r="BJ598" s="218">
        <f t="shared" si="69"/>
        <v>947517.29723012273</v>
      </c>
      <c r="BK598" s="217">
        <f t="shared" si="72"/>
        <v>1000</v>
      </c>
    </row>
    <row r="599" spans="8:63" s="215" customFormat="1">
      <c r="H599" s="211"/>
      <c r="I599" s="211"/>
      <c r="J599" s="211"/>
      <c r="K599" s="211"/>
      <c r="L599" s="211"/>
      <c r="M599" s="211"/>
      <c r="BF599" s="215">
        <v>550</v>
      </c>
      <c r="BG599" s="218">
        <f t="shared" si="70"/>
        <v>85548275.978491083</v>
      </c>
      <c r="BH599" s="215">
        <v>550</v>
      </c>
      <c r="BI599" s="219">
        <f t="shared" si="71"/>
        <v>1.12E-2</v>
      </c>
      <c r="BJ599" s="218">
        <f t="shared" si="69"/>
        <v>958140.69095910015</v>
      </c>
      <c r="BK599" s="217">
        <f t="shared" si="72"/>
        <v>1000</v>
      </c>
    </row>
    <row r="600" spans="8:63" s="215" customFormat="1">
      <c r="H600" s="211"/>
      <c r="I600" s="211"/>
      <c r="J600" s="211"/>
      <c r="K600" s="211"/>
      <c r="L600" s="211"/>
      <c r="M600" s="211"/>
      <c r="BF600" s="215">
        <v>551</v>
      </c>
      <c r="BG600" s="218">
        <f t="shared" si="70"/>
        <v>86507416.669450179</v>
      </c>
      <c r="BH600" s="215">
        <v>551</v>
      </c>
      <c r="BI600" s="219">
        <f t="shared" si="71"/>
        <v>1.12E-2</v>
      </c>
      <c r="BJ600" s="218">
        <f t="shared" si="69"/>
        <v>968883.06669784198</v>
      </c>
      <c r="BK600" s="217">
        <f t="shared" si="72"/>
        <v>1000</v>
      </c>
    </row>
    <row r="601" spans="8:63" s="215" customFormat="1">
      <c r="H601" s="211"/>
      <c r="I601" s="211"/>
      <c r="J601" s="211"/>
      <c r="K601" s="211"/>
      <c r="L601" s="211"/>
      <c r="M601" s="211"/>
      <c r="BF601" s="215">
        <v>552</v>
      </c>
      <c r="BG601" s="218">
        <f t="shared" si="70"/>
        <v>87477299.736148015</v>
      </c>
      <c r="BH601" s="215">
        <v>552</v>
      </c>
      <c r="BI601" s="219">
        <f t="shared" si="71"/>
        <v>1.12E-2</v>
      </c>
      <c r="BJ601" s="218">
        <f t="shared" si="69"/>
        <v>979745.75704485772</v>
      </c>
      <c r="BK601" s="217">
        <f t="shared" si="72"/>
        <v>1000</v>
      </c>
    </row>
    <row r="602" spans="8:63" s="215" customFormat="1">
      <c r="H602" s="211"/>
      <c r="I602" s="211"/>
      <c r="J602" s="211"/>
      <c r="K602" s="211"/>
      <c r="L602" s="211"/>
      <c r="M602" s="211"/>
      <c r="BF602" s="215">
        <v>553</v>
      </c>
      <c r="BG602" s="218">
        <f t="shared" si="70"/>
        <v>88458045.493192866</v>
      </c>
      <c r="BH602" s="215">
        <v>553</v>
      </c>
      <c r="BI602" s="219">
        <f t="shared" si="71"/>
        <v>1.12E-2</v>
      </c>
      <c r="BJ602" s="218">
        <f t="shared" si="69"/>
        <v>990730.10952376004</v>
      </c>
      <c r="BK602" s="217">
        <f t="shared" si="72"/>
        <v>1000</v>
      </c>
    </row>
    <row r="603" spans="8:63" s="215" customFormat="1">
      <c r="H603" s="211"/>
      <c r="I603" s="211"/>
      <c r="J603" s="211"/>
      <c r="K603" s="211"/>
      <c r="L603" s="211"/>
      <c r="M603" s="211"/>
      <c r="BF603" s="215">
        <v>554</v>
      </c>
      <c r="BG603" s="218">
        <f t="shared" si="70"/>
        <v>89449775.602716625</v>
      </c>
      <c r="BH603" s="215">
        <v>554</v>
      </c>
      <c r="BI603" s="219">
        <f t="shared" si="71"/>
        <v>1.12E-2</v>
      </c>
      <c r="BJ603" s="218">
        <f t="shared" si="69"/>
        <v>1001837.4867504262</v>
      </c>
      <c r="BK603" s="217">
        <f t="shared" si="72"/>
        <v>1000</v>
      </c>
    </row>
    <row r="604" spans="8:63" s="215" customFormat="1">
      <c r="H604" s="211"/>
      <c r="I604" s="211"/>
      <c r="J604" s="211"/>
      <c r="K604" s="211"/>
      <c r="L604" s="211"/>
      <c r="M604" s="211"/>
      <c r="BF604" s="215">
        <v>555</v>
      </c>
      <c r="BG604" s="218">
        <f t="shared" si="70"/>
        <v>90452613.089467049</v>
      </c>
      <c r="BH604" s="215">
        <v>555</v>
      </c>
      <c r="BI604" s="219">
        <f t="shared" si="71"/>
        <v>1.12E-2</v>
      </c>
      <c r="BJ604" s="218">
        <f t="shared" si="69"/>
        <v>1013069.266602031</v>
      </c>
      <c r="BK604" s="217">
        <f t="shared" si="72"/>
        <v>1000</v>
      </c>
    </row>
    <row r="605" spans="8:63" s="215" customFormat="1">
      <c r="H605" s="211"/>
      <c r="I605" s="211"/>
      <c r="J605" s="211"/>
      <c r="K605" s="211"/>
      <c r="L605" s="211"/>
      <c r="M605" s="211"/>
      <c r="BF605" s="215">
        <v>556</v>
      </c>
      <c r="BG605" s="218">
        <f t="shared" si="70"/>
        <v>91466682.356069073</v>
      </c>
      <c r="BH605" s="215">
        <v>556</v>
      </c>
      <c r="BI605" s="219">
        <f t="shared" si="71"/>
        <v>1.12E-2</v>
      </c>
      <c r="BJ605" s="218">
        <f t="shared" si="69"/>
        <v>1024426.8423879736</v>
      </c>
      <c r="BK605" s="217">
        <f t="shared" si="72"/>
        <v>1000</v>
      </c>
    </row>
    <row r="606" spans="8:63" s="215" customFormat="1">
      <c r="H606" s="211"/>
      <c r="I606" s="211"/>
      <c r="J606" s="211"/>
      <c r="K606" s="211"/>
      <c r="L606" s="211"/>
      <c r="M606" s="211"/>
      <c r="BF606" s="215">
        <v>557</v>
      </c>
      <c r="BG606" s="218">
        <f t="shared" si="70"/>
        <v>92492109.198457047</v>
      </c>
      <c r="BH606" s="215">
        <v>557</v>
      </c>
      <c r="BI606" s="219">
        <f t="shared" si="71"/>
        <v>1.12E-2</v>
      </c>
      <c r="BJ606" s="218">
        <f t="shared" si="69"/>
        <v>1035911.6230227189</v>
      </c>
      <c r="BK606" s="217">
        <f t="shared" si="72"/>
        <v>1000</v>
      </c>
    </row>
    <row r="607" spans="8:63" s="215" customFormat="1">
      <c r="H607" s="211"/>
      <c r="I607" s="211"/>
      <c r="J607" s="211"/>
      <c r="K607" s="211"/>
      <c r="L607" s="211"/>
      <c r="M607" s="211"/>
      <c r="BF607" s="215">
        <v>558</v>
      </c>
      <c r="BG607" s="218">
        <f t="shared" si="70"/>
        <v>93529020.821479768</v>
      </c>
      <c r="BH607" s="215">
        <v>558</v>
      </c>
      <c r="BI607" s="219">
        <f t="shared" si="71"/>
        <v>1.12E-2</v>
      </c>
      <c r="BJ607" s="218">
        <f t="shared" si="69"/>
        <v>1047525.0332005734</v>
      </c>
      <c r="BK607" s="217">
        <f t="shared" si="72"/>
        <v>1000</v>
      </c>
    </row>
    <row r="608" spans="8:63" s="215" customFormat="1">
      <c r="H608" s="211"/>
      <c r="I608" s="211"/>
      <c r="J608" s="211"/>
      <c r="K608" s="211"/>
      <c r="L608" s="211"/>
      <c r="M608" s="211"/>
      <c r="BF608" s="215">
        <v>559</v>
      </c>
      <c r="BG608" s="218">
        <f t="shared" si="70"/>
        <v>94577545.854680344</v>
      </c>
      <c r="BH608" s="215">
        <v>559</v>
      </c>
      <c r="BI608" s="219">
        <f t="shared" si="71"/>
        <v>1.12E-2</v>
      </c>
      <c r="BJ608" s="218">
        <f t="shared" si="69"/>
        <v>1059268.5135724198</v>
      </c>
      <c r="BK608" s="217">
        <f t="shared" si="72"/>
        <v>1000</v>
      </c>
    </row>
    <row r="609" spans="8:63" s="215" customFormat="1">
      <c r="H609" s="211"/>
      <c r="I609" s="211"/>
      <c r="J609" s="211"/>
      <c r="K609" s="211"/>
      <c r="L609" s="211"/>
      <c r="M609" s="211"/>
      <c r="BF609" s="215">
        <v>560</v>
      </c>
      <c r="BG609" s="218">
        <f t="shared" si="70"/>
        <v>95637814.368252769</v>
      </c>
      <c r="BH609" s="215">
        <v>560</v>
      </c>
      <c r="BI609" s="219">
        <f t="shared" si="71"/>
        <v>1.12E-2</v>
      </c>
      <c r="BJ609" s="218">
        <f t="shared" si="69"/>
        <v>1071143.520924431</v>
      </c>
      <c r="BK609" s="217">
        <f t="shared" si="72"/>
        <v>1000</v>
      </c>
    </row>
    <row r="610" spans="8:63" s="215" customFormat="1">
      <c r="H610" s="211"/>
      <c r="I610" s="211"/>
      <c r="J610" s="211"/>
      <c r="K610" s="211"/>
      <c r="L610" s="211"/>
      <c r="M610" s="211"/>
      <c r="BF610" s="215">
        <v>561</v>
      </c>
      <c r="BG610" s="218">
        <f t="shared" si="70"/>
        <v>96709957.889177203</v>
      </c>
      <c r="BH610" s="215">
        <v>561</v>
      </c>
      <c r="BI610" s="219">
        <f t="shared" si="71"/>
        <v>1.12E-2</v>
      </c>
      <c r="BJ610" s="218">
        <f t="shared" si="69"/>
        <v>1083151.5283587847</v>
      </c>
      <c r="BK610" s="217">
        <f t="shared" si="72"/>
        <v>1000</v>
      </c>
    </row>
    <row r="611" spans="8:63" s="215" customFormat="1">
      <c r="H611" s="211"/>
      <c r="I611" s="211"/>
      <c r="J611" s="211"/>
      <c r="K611" s="211"/>
      <c r="L611" s="211"/>
      <c r="M611" s="211"/>
      <c r="BF611" s="215">
        <v>562</v>
      </c>
      <c r="BG611" s="218">
        <f t="shared" si="70"/>
        <v>97794109.41753599</v>
      </c>
      <c r="BH611" s="215">
        <v>562</v>
      </c>
      <c r="BI611" s="219">
        <f t="shared" si="71"/>
        <v>1.12E-2</v>
      </c>
      <c r="BJ611" s="218">
        <f t="shared" si="69"/>
        <v>1095294.0254764031</v>
      </c>
      <c r="BK611" s="217">
        <f t="shared" si="72"/>
        <v>1000</v>
      </c>
    </row>
    <row r="612" spans="8:63" s="215" customFormat="1">
      <c r="H612" s="211"/>
      <c r="I612" s="211"/>
      <c r="J612" s="211"/>
      <c r="K612" s="211"/>
      <c r="L612" s="211"/>
      <c r="M612" s="211"/>
      <c r="BF612" s="215">
        <v>563</v>
      </c>
      <c r="BG612" s="218">
        <f t="shared" si="70"/>
        <v>98890403.443012387</v>
      </c>
      <c r="BH612" s="215">
        <v>563</v>
      </c>
      <c r="BI612" s="219">
        <f t="shared" si="71"/>
        <v>1.12E-2</v>
      </c>
      <c r="BJ612" s="218">
        <f t="shared" si="69"/>
        <v>1107572.5185617388</v>
      </c>
      <c r="BK612" s="217">
        <f t="shared" si="72"/>
        <v>1000</v>
      </c>
    </row>
    <row r="613" spans="8:63" s="215" customFormat="1">
      <c r="H613" s="211"/>
      <c r="I613" s="211"/>
      <c r="J613" s="211"/>
      <c r="K613" s="211"/>
      <c r="L613" s="211"/>
      <c r="M613" s="211"/>
      <c r="BF613" s="215">
        <v>564</v>
      </c>
      <c r="BG613" s="218">
        <f t="shared" si="70"/>
        <v>99998975.961574122</v>
      </c>
      <c r="BH613" s="215">
        <v>564</v>
      </c>
      <c r="BI613" s="219">
        <f t="shared" si="71"/>
        <v>1.12E-2</v>
      </c>
      <c r="BJ613" s="218">
        <f t="shared" si="69"/>
        <v>1119988.5307696301</v>
      </c>
      <c r="BK613" s="217">
        <f t="shared" si="72"/>
        <v>1000</v>
      </c>
    </row>
    <row r="614" spans="8:63" s="215" customFormat="1">
      <c r="H614" s="211"/>
      <c r="I614" s="211"/>
      <c r="J614" s="211"/>
      <c r="K614" s="211"/>
      <c r="L614" s="211"/>
      <c r="M614" s="211"/>
      <c r="BF614" s="215">
        <v>565</v>
      </c>
      <c r="BG614" s="218">
        <f t="shared" si="70"/>
        <v>101119964.49234375</v>
      </c>
      <c r="BH614" s="215">
        <v>565</v>
      </c>
      <c r="BI614" s="219">
        <f t="shared" si="71"/>
        <v>1.12E-2</v>
      </c>
      <c r="BJ614" s="218">
        <f t="shared" si="69"/>
        <v>1132543.6023142501</v>
      </c>
      <c r="BK614" s="217">
        <f t="shared" si="72"/>
        <v>1000</v>
      </c>
    </row>
    <row r="615" spans="8:63" s="215" customFormat="1">
      <c r="H615" s="211"/>
      <c r="I615" s="211"/>
      <c r="J615" s="211"/>
      <c r="K615" s="211"/>
      <c r="L615" s="211"/>
      <c r="M615" s="211"/>
      <c r="BF615" s="215">
        <v>566</v>
      </c>
      <c r="BG615" s="218">
        <f t="shared" si="70"/>
        <v>102253508.094658</v>
      </c>
      <c r="BH615" s="215">
        <v>566</v>
      </c>
      <c r="BI615" s="219">
        <f t="shared" si="71"/>
        <v>1.12E-2</v>
      </c>
      <c r="BJ615" s="218">
        <f t="shared" si="69"/>
        <v>1145239.2906601697</v>
      </c>
      <c r="BK615" s="217">
        <f t="shared" si="72"/>
        <v>1000</v>
      </c>
    </row>
    <row r="616" spans="8:63" s="215" customFormat="1">
      <c r="H616" s="211"/>
      <c r="I616" s="211"/>
      <c r="J616" s="211"/>
      <c r="K616" s="211"/>
      <c r="L616" s="211"/>
      <c r="M616" s="211"/>
      <c r="BF616" s="215">
        <v>567</v>
      </c>
      <c r="BG616" s="218">
        <f t="shared" si="70"/>
        <v>103399747.38531817</v>
      </c>
      <c r="BH616" s="215">
        <v>567</v>
      </c>
      <c r="BI616" s="219">
        <f t="shared" si="71"/>
        <v>1.12E-2</v>
      </c>
      <c r="BJ616" s="218">
        <f t="shared" si="69"/>
        <v>1158077.1707155635</v>
      </c>
      <c r="BK616" s="217">
        <f t="shared" si="72"/>
        <v>1000</v>
      </c>
    </row>
    <row r="617" spans="8:63" s="215" customFormat="1">
      <c r="H617" s="211"/>
      <c r="I617" s="211"/>
      <c r="J617" s="211"/>
      <c r="K617" s="211"/>
      <c r="L617" s="211"/>
      <c r="M617" s="211"/>
      <c r="BF617" s="215">
        <v>568</v>
      </c>
      <c r="BG617" s="218">
        <f t="shared" si="70"/>
        <v>104558824.55603375</v>
      </c>
      <c r="BH617" s="215">
        <v>568</v>
      </c>
      <c r="BI617" s="219">
        <f t="shared" si="71"/>
        <v>1.12E-2</v>
      </c>
      <c r="BJ617" s="218">
        <f t="shared" si="69"/>
        <v>1171058.8350275778</v>
      </c>
      <c r="BK617" s="217">
        <f t="shared" si="72"/>
        <v>1000</v>
      </c>
    </row>
    <row r="618" spans="8:63" s="215" customFormat="1">
      <c r="H618" s="211"/>
      <c r="I618" s="211"/>
      <c r="J618" s="211"/>
      <c r="K618" s="211"/>
      <c r="L618" s="211"/>
      <c r="M618" s="211"/>
      <c r="BF618" s="215">
        <v>569</v>
      </c>
      <c r="BG618" s="218">
        <f t="shared" si="70"/>
        <v>105730883.39106132</v>
      </c>
      <c r="BH618" s="215">
        <v>569</v>
      </c>
      <c r="BI618" s="219">
        <f t="shared" si="71"/>
        <v>1.12E-2</v>
      </c>
      <c r="BJ618" s="218">
        <f t="shared" si="69"/>
        <v>1184185.8939798868</v>
      </c>
      <c r="BK618" s="217">
        <f t="shared" si="72"/>
        <v>1000</v>
      </c>
    </row>
    <row r="619" spans="8:63" s="215" customFormat="1">
      <c r="H619" s="211"/>
      <c r="I619" s="211"/>
      <c r="J619" s="211"/>
      <c r="K619" s="211"/>
      <c r="L619" s="211"/>
      <c r="M619" s="211"/>
      <c r="BF619" s="215">
        <v>570</v>
      </c>
      <c r="BG619" s="218">
        <f t="shared" si="70"/>
        <v>106916069.28504121</v>
      </c>
      <c r="BH619" s="215">
        <v>570</v>
      </c>
      <c r="BI619" s="219">
        <f t="shared" si="71"/>
        <v>1.12E-2</v>
      </c>
      <c r="BJ619" s="218">
        <f t="shared" si="69"/>
        <v>1197459.9759924617</v>
      </c>
      <c r="BK619" s="217">
        <f t="shared" si="72"/>
        <v>1000</v>
      </c>
    </row>
    <row r="620" spans="8:63" s="215" customFormat="1">
      <c r="H620" s="211"/>
      <c r="I620" s="211"/>
      <c r="J620" s="211"/>
      <c r="K620" s="211"/>
      <c r="L620" s="211"/>
      <c r="M620" s="211"/>
      <c r="BF620" s="215">
        <v>571</v>
      </c>
      <c r="BG620" s="218">
        <f t="shared" si="70"/>
        <v>108114529.26103367</v>
      </c>
      <c r="BH620" s="215">
        <v>571</v>
      </c>
      <c r="BI620" s="219">
        <f t="shared" si="71"/>
        <v>1.12E-2</v>
      </c>
      <c r="BJ620" s="218">
        <f t="shared" si="69"/>
        <v>1210882.7277235771</v>
      </c>
      <c r="BK620" s="217">
        <f t="shared" si="72"/>
        <v>1000</v>
      </c>
    </row>
    <row r="621" spans="8:63" s="215" customFormat="1">
      <c r="H621" s="211"/>
      <c r="I621" s="211"/>
      <c r="J621" s="211"/>
      <c r="K621" s="211"/>
      <c r="L621" s="211"/>
      <c r="M621" s="211"/>
      <c r="BF621" s="215">
        <v>572</v>
      </c>
      <c r="BG621" s="218">
        <f t="shared" si="70"/>
        <v>109326411.98875725</v>
      </c>
      <c r="BH621" s="215">
        <v>572</v>
      </c>
      <c r="BI621" s="219">
        <f t="shared" si="71"/>
        <v>1.12E-2</v>
      </c>
      <c r="BJ621" s="218">
        <f t="shared" si="69"/>
        <v>1224455.8142740813</v>
      </c>
      <c r="BK621" s="217">
        <f t="shared" si="72"/>
        <v>1000</v>
      </c>
    </row>
    <row r="622" spans="8:63" s="215" customFormat="1">
      <c r="H622" s="211"/>
      <c r="I622" s="211"/>
      <c r="J622" s="211"/>
      <c r="K622" s="211"/>
      <c r="L622" s="211"/>
      <c r="M622" s="211"/>
      <c r="BF622" s="215">
        <v>573</v>
      </c>
      <c r="BG622" s="218">
        <f t="shared" si="70"/>
        <v>110551867.80303134</v>
      </c>
      <c r="BH622" s="215">
        <v>573</v>
      </c>
      <c r="BI622" s="219">
        <f t="shared" si="71"/>
        <v>1.12E-2</v>
      </c>
      <c r="BJ622" s="218">
        <f t="shared" si="69"/>
        <v>1238180.9193939511</v>
      </c>
      <c r="BK622" s="217">
        <f t="shared" si="72"/>
        <v>1000</v>
      </c>
    </row>
    <row r="623" spans="8:63" s="215" customFormat="1">
      <c r="H623" s="211"/>
      <c r="I623" s="211"/>
      <c r="J623" s="211"/>
      <c r="K623" s="211"/>
      <c r="L623" s="211"/>
      <c r="M623" s="211"/>
      <c r="BF623" s="215">
        <v>574</v>
      </c>
      <c r="BG623" s="218">
        <f t="shared" si="70"/>
        <v>111791048.7224253</v>
      </c>
      <c r="BH623" s="215">
        <v>574</v>
      </c>
      <c r="BI623" s="219">
        <f t="shared" si="71"/>
        <v>1.12E-2</v>
      </c>
      <c r="BJ623" s="218">
        <f t="shared" si="69"/>
        <v>1252059.7456911632</v>
      </c>
      <c r="BK623" s="217">
        <f t="shared" si="72"/>
        <v>1000</v>
      </c>
    </row>
    <row r="624" spans="8:63" s="215" customFormat="1">
      <c r="H624" s="211"/>
      <c r="I624" s="211"/>
      <c r="J624" s="211"/>
      <c r="K624" s="211"/>
      <c r="L624" s="211"/>
      <c r="M624" s="211"/>
      <c r="BF624" s="215">
        <v>575</v>
      </c>
      <c r="BG624" s="218">
        <f t="shared" si="70"/>
        <v>113044108.46811646</v>
      </c>
      <c r="BH624" s="215">
        <v>575</v>
      </c>
      <c r="BI624" s="219">
        <f t="shared" si="71"/>
        <v>1.12E-2</v>
      </c>
      <c r="BJ624" s="218">
        <f t="shared" si="69"/>
        <v>1266094.0148429044</v>
      </c>
      <c r="BK624" s="217">
        <f t="shared" si="72"/>
        <v>1000</v>
      </c>
    </row>
    <row r="625" spans="8:63" s="215" customFormat="1">
      <c r="H625" s="211"/>
      <c r="I625" s="211"/>
      <c r="J625" s="211"/>
      <c r="K625" s="211"/>
      <c r="L625" s="211"/>
      <c r="M625" s="211"/>
      <c r="BF625" s="215">
        <v>576</v>
      </c>
      <c r="BG625" s="218">
        <f t="shared" si="70"/>
        <v>114311202.48295936</v>
      </c>
      <c r="BH625" s="215">
        <v>576</v>
      </c>
      <c r="BI625" s="219">
        <f t="shared" si="71"/>
        <v>1.12E-2</v>
      </c>
      <c r="BJ625" s="218">
        <f t="shared" si="69"/>
        <v>1280285.4678091449</v>
      </c>
      <c r="BK625" s="217">
        <f t="shared" si="72"/>
        <v>1000</v>
      </c>
    </row>
    <row r="626" spans="8:63" s="215" customFormat="1">
      <c r="H626" s="211"/>
      <c r="I626" s="211"/>
      <c r="J626" s="211"/>
      <c r="K626" s="211"/>
      <c r="L626" s="211"/>
      <c r="M626" s="211"/>
      <c r="BF626" s="215">
        <v>577</v>
      </c>
      <c r="BG626" s="218">
        <f t="shared" si="70"/>
        <v>115592487.9507685</v>
      </c>
      <c r="BH626" s="215">
        <v>577</v>
      </c>
      <c r="BI626" s="219">
        <f t="shared" si="71"/>
        <v>1.12E-2</v>
      </c>
      <c r="BJ626" s="218">
        <f t="shared" ref="BJ626:BJ689" si="73">BG626*BI626</f>
        <v>1294635.8650486071</v>
      </c>
      <c r="BK626" s="217">
        <f t="shared" si="72"/>
        <v>1000</v>
      </c>
    </row>
    <row r="627" spans="8:63" s="215" customFormat="1">
      <c r="H627" s="211"/>
      <c r="I627" s="211"/>
      <c r="J627" s="211"/>
      <c r="K627" s="211"/>
      <c r="L627" s="211"/>
      <c r="M627" s="211"/>
      <c r="BF627" s="215">
        <v>578</v>
      </c>
      <c r="BG627" s="218">
        <f t="shared" ref="BG627:BG690" si="74">BG626+BJ626+BK627</f>
        <v>116888123.8158171</v>
      </c>
      <c r="BH627" s="215">
        <v>578</v>
      </c>
      <c r="BI627" s="219">
        <f t="shared" ref="BI627:BI690" si="75">BI626</f>
        <v>1.12E-2</v>
      </c>
      <c r="BJ627" s="218">
        <f t="shared" si="73"/>
        <v>1309146.9867371516</v>
      </c>
      <c r="BK627" s="217">
        <f t="shared" ref="BK627:BK690" si="76">BK626</f>
        <v>1000</v>
      </c>
    </row>
    <row r="628" spans="8:63" s="215" customFormat="1">
      <c r="H628" s="211"/>
      <c r="I628" s="211"/>
      <c r="J628" s="211"/>
      <c r="K628" s="211"/>
      <c r="L628" s="211"/>
      <c r="M628" s="211"/>
      <c r="BF628" s="215">
        <v>579</v>
      </c>
      <c r="BG628" s="218">
        <f t="shared" si="74"/>
        <v>118198270.80255425</v>
      </c>
      <c r="BH628" s="215">
        <v>579</v>
      </c>
      <c r="BI628" s="219">
        <f t="shared" si="75"/>
        <v>1.12E-2</v>
      </c>
      <c r="BJ628" s="218">
        <f t="shared" si="73"/>
        <v>1323820.6329886075</v>
      </c>
      <c r="BK628" s="217">
        <f t="shared" si="76"/>
        <v>1000</v>
      </c>
    </row>
    <row r="629" spans="8:63" s="215" customFormat="1">
      <c r="H629" s="211"/>
      <c r="I629" s="211"/>
      <c r="J629" s="211"/>
      <c r="K629" s="211"/>
      <c r="L629" s="211"/>
      <c r="M629" s="211"/>
      <c r="BF629" s="215">
        <v>580</v>
      </c>
      <c r="BG629" s="218">
        <f t="shared" si="74"/>
        <v>119523091.43554285</v>
      </c>
      <c r="BH629" s="215">
        <v>580</v>
      </c>
      <c r="BI629" s="219">
        <f t="shared" si="75"/>
        <v>1.12E-2</v>
      </c>
      <c r="BJ629" s="218">
        <f t="shared" si="73"/>
        <v>1338658.6240780798</v>
      </c>
      <c r="BK629" s="217">
        <f t="shared" si="76"/>
        <v>1000</v>
      </c>
    </row>
    <row r="630" spans="8:63" s="215" customFormat="1">
      <c r="H630" s="211"/>
      <c r="I630" s="211"/>
      <c r="J630" s="211"/>
      <c r="K630" s="211"/>
      <c r="L630" s="211"/>
      <c r="M630" s="211"/>
      <c r="BF630" s="215">
        <v>581</v>
      </c>
      <c r="BG630" s="218">
        <f t="shared" si="74"/>
        <v>120862750.05962093</v>
      </c>
      <c r="BH630" s="215">
        <v>581</v>
      </c>
      <c r="BI630" s="219">
        <f t="shared" si="75"/>
        <v>1.12E-2</v>
      </c>
      <c r="BJ630" s="218">
        <f t="shared" si="73"/>
        <v>1353662.8006677544</v>
      </c>
      <c r="BK630" s="217">
        <f t="shared" si="76"/>
        <v>1000</v>
      </c>
    </row>
    <row r="631" spans="8:63" s="215" customFormat="1">
      <c r="H631" s="211"/>
      <c r="I631" s="211"/>
      <c r="J631" s="211"/>
      <c r="K631" s="211"/>
      <c r="L631" s="211"/>
      <c r="M631" s="211"/>
      <c r="BF631" s="215">
        <v>582</v>
      </c>
      <c r="BG631" s="218">
        <f t="shared" si="74"/>
        <v>122217412.86028868</v>
      </c>
      <c r="BH631" s="215">
        <v>582</v>
      </c>
      <c r="BI631" s="219">
        <f t="shared" si="75"/>
        <v>1.12E-2</v>
      </c>
      <c r="BJ631" s="218">
        <f t="shared" si="73"/>
        <v>1368835.0240352333</v>
      </c>
      <c r="BK631" s="217">
        <f t="shared" si="76"/>
        <v>1000</v>
      </c>
    </row>
    <row r="632" spans="8:63" s="215" customFormat="1">
      <c r="H632" s="211"/>
      <c r="I632" s="211"/>
      <c r="J632" s="211"/>
      <c r="K632" s="211"/>
      <c r="L632" s="211"/>
      <c r="M632" s="211"/>
      <c r="BF632" s="215">
        <v>583</v>
      </c>
      <c r="BG632" s="218">
        <f t="shared" si="74"/>
        <v>123587247.88432391</v>
      </c>
      <c r="BH632" s="215">
        <v>583</v>
      </c>
      <c r="BI632" s="219">
        <f t="shared" si="75"/>
        <v>1.12E-2</v>
      </c>
      <c r="BJ632" s="218">
        <f t="shared" si="73"/>
        <v>1384177.1763044277</v>
      </c>
      <c r="BK632" s="217">
        <f t="shared" si="76"/>
        <v>1000</v>
      </c>
    </row>
    <row r="633" spans="8:63" s="215" customFormat="1">
      <c r="H633" s="211"/>
      <c r="I633" s="211"/>
      <c r="J633" s="211"/>
      <c r="K633" s="211"/>
      <c r="L633" s="211"/>
      <c r="M633" s="211"/>
      <c r="BF633" s="215">
        <v>584</v>
      </c>
      <c r="BG633" s="218">
        <f t="shared" si="74"/>
        <v>124972425.06062834</v>
      </c>
      <c r="BH633" s="215">
        <v>584</v>
      </c>
      <c r="BI633" s="219">
        <f t="shared" si="75"/>
        <v>1.12E-2</v>
      </c>
      <c r="BJ633" s="218">
        <f t="shared" si="73"/>
        <v>1399691.1606790374</v>
      </c>
      <c r="BK633" s="217">
        <f t="shared" si="76"/>
        <v>1000</v>
      </c>
    </row>
    <row r="634" spans="8:63" s="215" customFormat="1">
      <c r="H634" s="211"/>
      <c r="I634" s="211"/>
      <c r="J634" s="211"/>
      <c r="K634" s="211"/>
      <c r="L634" s="211"/>
      <c r="M634" s="211"/>
      <c r="BF634" s="215">
        <v>585</v>
      </c>
      <c r="BG634" s="218">
        <f t="shared" si="74"/>
        <v>126373116.22130738</v>
      </c>
      <c r="BH634" s="215">
        <v>585</v>
      </c>
      <c r="BI634" s="219">
        <f t="shared" si="75"/>
        <v>1.12E-2</v>
      </c>
      <c r="BJ634" s="218">
        <f t="shared" si="73"/>
        <v>1415378.9016786427</v>
      </c>
      <c r="BK634" s="217">
        <f t="shared" si="76"/>
        <v>1000</v>
      </c>
    </row>
    <row r="635" spans="8:63" s="215" customFormat="1">
      <c r="H635" s="211"/>
      <c r="I635" s="211"/>
      <c r="J635" s="211"/>
      <c r="K635" s="211"/>
      <c r="L635" s="211"/>
      <c r="M635" s="211"/>
      <c r="BF635" s="215">
        <v>586</v>
      </c>
      <c r="BG635" s="218">
        <f t="shared" si="74"/>
        <v>127789495.12298602</v>
      </c>
      <c r="BH635" s="215">
        <v>586</v>
      </c>
      <c r="BI635" s="219">
        <f t="shared" si="75"/>
        <v>1.12E-2</v>
      </c>
      <c r="BJ635" s="218">
        <f t="shared" si="73"/>
        <v>1431242.3453774434</v>
      </c>
      <c r="BK635" s="217">
        <f t="shared" si="76"/>
        <v>1000</v>
      </c>
    </row>
    <row r="636" spans="8:63" s="215" customFormat="1">
      <c r="H636" s="211"/>
      <c r="I636" s="211"/>
      <c r="J636" s="211"/>
      <c r="K636" s="211"/>
      <c r="L636" s="211"/>
      <c r="M636" s="211"/>
      <c r="BF636" s="215">
        <v>587</v>
      </c>
      <c r="BG636" s="218">
        <f t="shared" si="74"/>
        <v>129221737.46836346</v>
      </c>
      <c r="BH636" s="215">
        <v>587</v>
      </c>
      <c r="BI636" s="219">
        <f t="shared" si="75"/>
        <v>1.12E-2</v>
      </c>
      <c r="BJ636" s="218">
        <f t="shared" si="73"/>
        <v>1447283.4596456708</v>
      </c>
      <c r="BK636" s="217">
        <f t="shared" si="76"/>
        <v>1000</v>
      </c>
    </row>
    <row r="637" spans="8:63" s="215" customFormat="1">
      <c r="H637" s="211"/>
      <c r="I637" s="211"/>
      <c r="J637" s="211"/>
      <c r="K637" s="211"/>
      <c r="L637" s="211"/>
      <c r="M637" s="211"/>
      <c r="BF637" s="215">
        <v>588</v>
      </c>
      <c r="BG637" s="218">
        <f t="shared" si="74"/>
        <v>130670020.92800914</v>
      </c>
      <c r="BH637" s="215">
        <v>588</v>
      </c>
      <c r="BI637" s="219">
        <f t="shared" si="75"/>
        <v>1.12E-2</v>
      </c>
      <c r="BJ637" s="218">
        <f t="shared" si="73"/>
        <v>1463504.2343937024</v>
      </c>
      <c r="BK637" s="217">
        <f t="shared" si="76"/>
        <v>1000</v>
      </c>
    </row>
    <row r="638" spans="8:63" s="215" customFormat="1">
      <c r="H638" s="211"/>
      <c r="I638" s="211"/>
      <c r="J638" s="211"/>
      <c r="K638" s="211"/>
      <c r="L638" s="211"/>
      <c r="M638" s="211"/>
      <c r="BF638" s="215">
        <v>589</v>
      </c>
      <c r="BG638" s="218">
        <f t="shared" si="74"/>
        <v>132134525.16240284</v>
      </c>
      <c r="BH638" s="215">
        <v>589</v>
      </c>
      <c r="BI638" s="219">
        <f t="shared" si="75"/>
        <v>1.12E-2</v>
      </c>
      <c r="BJ638" s="218">
        <f t="shared" si="73"/>
        <v>1479906.6818189118</v>
      </c>
      <c r="BK638" s="217">
        <f t="shared" si="76"/>
        <v>1000</v>
      </c>
    </row>
    <row r="639" spans="8:63" s="215" customFormat="1">
      <c r="H639" s="211"/>
      <c r="I639" s="211"/>
      <c r="J639" s="211"/>
      <c r="K639" s="211"/>
      <c r="L639" s="211"/>
      <c r="M639" s="211"/>
      <c r="BF639" s="215">
        <v>590</v>
      </c>
      <c r="BG639" s="218">
        <f t="shared" si="74"/>
        <v>133615431.84422176</v>
      </c>
      <c r="BH639" s="215">
        <v>590</v>
      </c>
      <c r="BI639" s="219">
        <f t="shared" si="75"/>
        <v>1.12E-2</v>
      </c>
      <c r="BJ639" s="218">
        <f t="shared" si="73"/>
        <v>1496492.8366552836</v>
      </c>
      <c r="BK639" s="217">
        <f t="shared" si="76"/>
        <v>1000</v>
      </c>
    </row>
    <row r="640" spans="8:63" s="215" customFormat="1">
      <c r="H640" s="211"/>
      <c r="I640" s="211"/>
      <c r="J640" s="211"/>
      <c r="K640" s="211"/>
      <c r="L640" s="211"/>
      <c r="M640" s="211"/>
      <c r="BF640" s="215">
        <v>591</v>
      </c>
      <c r="BG640" s="218">
        <f t="shared" si="74"/>
        <v>135112924.68087703</v>
      </c>
      <c r="BH640" s="215">
        <v>591</v>
      </c>
      <c r="BI640" s="219">
        <f t="shared" si="75"/>
        <v>1.12E-2</v>
      </c>
      <c r="BJ640" s="218">
        <f t="shared" si="73"/>
        <v>1513264.7564258226</v>
      </c>
      <c r="BK640" s="217">
        <f t="shared" si="76"/>
        <v>1000</v>
      </c>
    </row>
    <row r="641" spans="8:63" s="215" customFormat="1">
      <c r="H641" s="211"/>
      <c r="I641" s="211"/>
      <c r="J641" s="211"/>
      <c r="K641" s="211"/>
      <c r="L641" s="211"/>
      <c r="M641" s="211"/>
      <c r="BF641" s="215">
        <v>592</v>
      </c>
      <c r="BG641" s="218">
        <f t="shared" si="74"/>
        <v>136627189.43730286</v>
      </c>
      <c r="BH641" s="215">
        <v>592</v>
      </c>
      <c r="BI641" s="219">
        <f t="shared" si="75"/>
        <v>1.12E-2</v>
      </c>
      <c r="BJ641" s="218">
        <f t="shared" si="73"/>
        <v>1530224.521697792</v>
      </c>
      <c r="BK641" s="217">
        <f t="shared" si="76"/>
        <v>1000</v>
      </c>
    </row>
    <row r="642" spans="8:63" s="215" customFormat="1">
      <c r="H642" s="211"/>
      <c r="I642" s="211"/>
      <c r="J642" s="211"/>
      <c r="K642" s="211"/>
      <c r="L642" s="211"/>
      <c r="M642" s="211"/>
      <c r="BF642" s="215">
        <v>593</v>
      </c>
      <c r="BG642" s="218">
        <f t="shared" si="74"/>
        <v>138158413.95900065</v>
      </c>
      <c r="BH642" s="215">
        <v>593</v>
      </c>
      <c r="BI642" s="219">
        <f t="shared" si="75"/>
        <v>1.12E-2</v>
      </c>
      <c r="BJ642" s="218">
        <f t="shared" si="73"/>
        <v>1547374.2363408073</v>
      </c>
      <c r="BK642" s="217">
        <f t="shared" si="76"/>
        <v>1000</v>
      </c>
    </row>
    <row r="643" spans="8:63" s="215" customFormat="1">
      <c r="H643" s="211"/>
      <c r="I643" s="211"/>
      <c r="J643" s="211"/>
      <c r="K643" s="211"/>
      <c r="L643" s="211"/>
      <c r="M643" s="211"/>
      <c r="BF643" s="215">
        <v>594</v>
      </c>
      <c r="BG643" s="218">
        <f t="shared" si="74"/>
        <v>139706788.19534147</v>
      </c>
      <c r="BH643" s="215">
        <v>594</v>
      </c>
      <c r="BI643" s="219">
        <f t="shared" si="75"/>
        <v>1.12E-2</v>
      </c>
      <c r="BJ643" s="218">
        <f t="shared" si="73"/>
        <v>1564716.0277878244</v>
      </c>
      <c r="BK643" s="217">
        <f t="shared" si="76"/>
        <v>1000</v>
      </c>
    </row>
    <row r="644" spans="8:63" s="215" customFormat="1">
      <c r="H644" s="211"/>
      <c r="I644" s="211"/>
      <c r="J644" s="211"/>
      <c r="K644" s="211"/>
      <c r="L644" s="211"/>
      <c r="M644" s="211"/>
      <c r="BF644" s="215">
        <v>595</v>
      </c>
      <c r="BG644" s="218">
        <f t="shared" si="74"/>
        <v>141272504.2231293</v>
      </c>
      <c r="BH644" s="215">
        <v>595</v>
      </c>
      <c r="BI644" s="219">
        <f t="shared" si="75"/>
        <v>1.12E-2</v>
      </c>
      <c r="BJ644" s="218">
        <f t="shared" si="73"/>
        <v>1582252.0472990482</v>
      </c>
      <c r="BK644" s="217">
        <f t="shared" si="76"/>
        <v>1000</v>
      </c>
    </row>
    <row r="645" spans="8:63" s="215" customFormat="1">
      <c r="H645" s="211"/>
      <c r="I645" s="211"/>
      <c r="J645" s="211"/>
      <c r="K645" s="211"/>
      <c r="L645" s="211"/>
      <c r="M645" s="211"/>
      <c r="BF645" s="215">
        <v>596</v>
      </c>
      <c r="BG645" s="218">
        <f t="shared" si="74"/>
        <v>142855756.27042836</v>
      </c>
      <c r="BH645" s="215">
        <v>596</v>
      </c>
      <c r="BI645" s="219">
        <f t="shared" si="75"/>
        <v>1.12E-2</v>
      </c>
      <c r="BJ645" s="218">
        <f t="shared" si="73"/>
        <v>1599984.4702287975</v>
      </c>
      <c r="BK645" s="217">
        <f t="shared" si="76"/>
        <v>1000</v>
      </c>
    </row>
    <row r="646" spans="8:63" s="215" customFormat="1">
      <c r="H646" s="211"/>
      <c r="I646" s="211"/>
      <c r="J646" s="211"/>
      <c r="K646" s="211"/>
      <c r="L646" s="211"/>
      <c r="M646" s="211"/>
      <c r="BF646" s="215">
        <v>597</v>
      </c>
      <c r="BG646" s="218">
        <f t="shared" si="74"/>
        <v>144456740.74065715</v>
      </c>
      <c r="BH646" s="215">
        <v>597</v>
      </c>
      <c r="BI646" s="219">
        <f t="shared" si="75"/>
        <v>1.12E-2</v>
      </c>
      <c r="BJ646" s="218">
        <f t="shared" si="73"/>
        <v>1617915.4962953601</v>
      </c>
      <c r="BK646" s="217">
        <f t="shared" si="76"/>
        <v>1000</v>
      </c>
    </row>
    <row r="647" spans="8:63" s="215" customFormat="1">
      <c r="H647" s="211"/>
      <c r="I647" s="211"/>
      <c r="J647" s="211"/>
      <c r="K647" s="211"/>
      <c r="L647" s="211"/>
      <c r="M647" s="211"/>
      <c r="BF647" s="215">
        <v>598</v>
      </c>
      <c r="BG647" s="218">
        <f t="shared" si="74"/>
        <v>146075656.23695251</v>
      </c>
      <c r="BH647" s="215">
        <v>598</v>
      </c>
      <c r="BI647" s="219">
        <f t="shared" si="75"/>
        <v>1.12E-2</v>
      </c>
      <c r="BJ647" s="218">
        <f t="shared" si="73"/>
        <v>1636047.3498538681</v>
      </c>
      <c r="BK647" s="217">
        <f t="shared" si="76"/>
        <v>1000</v>
      </c>
    </row>
    <row r="648" spans="8:63" s="215" customFormat="1">
      <c r="H648" s="211"/>
      <c r="I648" s="211"/>
      <c r="J648" s="211"/>
      <c r="K648" s="211"/>
      <c r="L648" s="211"/>
      <c r="M648" s="211"/>
      <c r="BF648" s="215">
        <v>599</v>
      </c>
      <c r="BG648" s="218">
        <f t="shared" si="74"/>
        <v>147712703.58680639</v>
      </c>
      <c r="BH648" s="215">
        <v>599</v>
      </c>
      <c r="BI648" s="219">
        <f t="shared" si="75"/>
        <v>1.12E-2</v>
      </c>
      <c r="BJ648" s="218">
        <f t="shared" si="73"/>
        <v>1654382.2801722316</v>
      </c>
      <c r="BK648" s="217">
        <f t="shared" si="76"/>
        <v>1000</v>
      </c>
    </row>
    <row r="649" spans="8:63" s="215" customFormat="1">
      <c r="H649" s="211"/>
      <c r="I649" s="211"/>
      <c r="J649" s="211"/>
      <c r="K649" s="211"/>
      <c r="L649" s="211"/>
      <c r="M649" s="211"/>
      <c r="BF649" s="215">
        <v>600</v>
      </c>
      <c r="BG649" s="218">
        <f t="shared" si="74"/>
        <v>149368085.86697862</v>
      </c>
      <c r="BH649" s="215">
        <v>600</v>
      </c>
      <c r="BI649" s="219">
        <f t="shared" si="75"/>
        <v>1.12E-2</v>
      </c>
      <c r="BJ649" s="218">
        <f t="shared" si="73"/>
        <v>1672922.5617101605</v>
      </c>
      <c r="BK649" s="217">
        <f t="shared" si="76"/>
        <v>1000</v>
      </c>
    </row>
    <row r="650" spans="8:63" s="215" customFormat="1">
      <c r="H650" s="211"/>
      <c r="I650" s="211"/>
      <c r="J650" s="211"/>
      <c r="K650" s="211"/>
      <c r="L650" s="211"/>
      <c r="M650" s="211"/>
      <c r="BF650" s="215">
        <v>601</v>
      </c>
      <c r="BG650" s="218">
        <f t="shared" si="74"/>
        <v>151042008.42868876</v>
      </c>
      <c r="BH650" s="215">
        <v>601</v>
      </c>
      <c r="BI650" s="219">
        <f t="shared" si="75"/>
        <v>1.12E-2</v>
      </c>
      <c r="BJ650" s="218">
        <f t="shared" si="73"/>
        <v>1691670.4944013141</v>
      </c>
      <c r="BK650" s="217">
        <f t="shared" si="76"/>
        <v>1000</v>
      </c>
    </row>
    <row r="651" spans="8:63" s="215" customFormat="1">
      <c r="H651" s="211"/>
      <c r="I651" s="211"/>
      <c r="J651" s="211"/>
      <c r="K651" s="211"/>
      <c r="L651" s="211"/>
      <c r="M651" s="211"/>
      <c r="BF651" s="215">
        <v>602</v>
      </c>
      <c r="BG651" s="218">
        <f t="shared" si="74"/>
        <v>152734678.92309007</v>
      </c>
      <c r="BH651" s="215">
        <v>602</v>
      </c>
      <c r="BI651" s="219">
        <f t="shared" si="75"/>
        <v>1.12E-2</v>
      </c>
      <c r="BJ651" s="218">
        <f t="shared" si="73"/>
        <v>1710628.4039386087</v>
      </c>
      <c r="BK651" s="217">
        <f t="shared" si="76"/>
        <v>1000</v>
      </c>
    </row>
    <row r="652" spans="8:63" s="215" customFormat="1">
      <c r="H652" s="211"/>
      <c r="I652" s="211"/>
      <c r="J652" s="211"/>
      <c r="K652" s="211"/>
      <c r="L652" s="211"/>
      <c r="M652" s="211"/>
      <c r="BF652" s="215">
        <v>603</v>
      </c>
      <c r="BG652" s="218">
        <f t="shared" si="74"/>
        <v>154446307.32702869</v>
      </c>
      <c r="BH652" s="215">
        <v>603</v>
      </c>
      <c r="BI652" s="219">
        <f t="shared" si="75"/>
        <v>1.12E-2</v>
      </c>
      <c r="BJ652" s="218">
        <f t="shared" si="73"/>
        <v>1729798.6420627213</v>
      </c>
      <c r="BK652" s="217">
        <f t="shared" si="76"/>
        <v>1000</v>
      </c>
    </row>
    <row r="653" spans="8:63" s="215" customFormat="1">
      <c r="H653" s="211"/>
      <c r="I653" s="211"/>
      <c r="J653" s="211"/>
      <c r="K653" s="211"/>
      <c r="L653" s="211"/>
      <c r="M653" s="211"/>
      <c r="BF653" s="215">
        <v>604</v>
      </c>
      <c r="BG653" s="218">
        <f t="shared" si="74"/>
        <v>156177105.96909142</v>
      </c>
      <c r="BH653" s="215">
        <v>604</v>
      </c>
      <c r="BI653" s="219">
        <f t="shared" si="75"/>
        <v>1.12E-2</v>
      </c>
      <c r="BJ653" s="218">
        <f t="shared" si="73"/>
        <v>1749183.5868538239</v>
      </c>
      <c r="BK653" s="217">
        <f t="shared" si="76"/>
        <v>1000</v>
      </c>
    </row>
    <row r="654" spans="8:63" s="215" customFormat="1">
      <c r="H654" s="211"/>
      <c r="I654" s="211"/>
      <c r="J654" s="211"/>
      <c r="K654" s="211"/>
      <c r="L654" s="211"/>
      <c r="M654" s="211"/>
      <c r="BF654" s="215">
        <v>605</v>
      </c>
      <c r="BG654" s="218">
        <f t="shared" si="74"/>
        <v>157927289.55594525</v>
      </c>
      <c r="BH654" s="215">
        <v>605</v>
      </c>
      <c r="BI654" s="219">
        <f t="shared" si="75"/>
        <v>1.12E-2</v>
      </c>
      <c r="BJ654" s="218">
        <f t="shared" si="73"/>
        <v>1768785.6430265869</v>
      </c>
      <c r="BK654" s="217">
        <f t="shared" si="76"/>
        <v>1000</v>
      </c>
    </row>
    <row r="655" spans="8:63" s="215" customFormat="1">
      <c r="H655" s="211"/>
      <c r="I655" s="211"/>
      <c r="J655" s="211"/>
      <c r="K655" s="211"/>
      <c r="L655" s="211"/>
      <c r="M655" s="211"/>
      <c r="BF655" s="215">
        <v>606</v>
      </c>
      <c r="BG655" s="218">
        <f t="shared" si="74"/>
        <v>159697075.19897184</v>
      </c>
      <c r="BH655" s="215">
        <v>606</v>
      </c>
      <c r="BI655" s="219">
        <f t="shared" si="75"/>
        <v>1.12E-2</v>
      </c>
      <c r="BJ655" s="218">
        <f t="shared" si="73"/>
        <v>1788607.2422284845</v>
      </c>
      <c r="BK655" s="217">
        <f t="shared" si="76"/>
        <v>1000</v>
      </c>
    </row>
    <row r="656" spans="8:63" s="215" customFormat="1">
      <c r="H656" s="211"/>
      <c r="I656" s="211"/>
      <c r="J656" s="211"/>
      <c r="K656" s="211"/>
      <c r="L656" s="211"/>
      <c r="M656" s="211"/>
      <c r="BF656" s="215">
        <v>607</v>
      </c>
      <c r="BG656" s="218">
        <f t="shared" si="74"/>
        <v>161486682.44120032</v>
      </c>
      <c r="BH656" s="215">
        <v>607</v>
      </c>
      <c r="BI656" s="219">
        <f t="shared" si="75"/>
        <v>1.12E-2</v>
      </c>
      <c r="BJ656" s="218">
        <f t="shared" si="73"/>
        <v>1808650.8433414435</v>
      </c>
      <c r="BK656" s="217">
        <f t="shared" si="76"/>
        <v>1000</v>
      </c>
    </row>
    <row r="657" spans="8:63" s="215" customFormat="1">
      <c r="H657" s="211"/>
      <c r="I657" s="211"/>
      <c r="J657" s="211"/>
      <c r="K657" s="211"/>
      <c r="L657" s="211"/>
      <c r="M657" s="211"/>
      <c r="BF657" s="215">
        <v>608</v>
      </c>
      <c r="BG657" s="218">
        <f t="shared" si="74"/>
        <v>163296333.28454176</v>
      </c>
      <c r="BH657" s="215">
        <v>608</v>
      </c>
      <c r="BI657" s="219">
        <f t="shared" si="75"/>
        <v>1.12E-2</v>
      </c>
      <c r="BJ657" s="218">
        <f t="shared" si="73"/>
        <v>1828918.9327868677</v>
      </c>
      <c r="BK657" s="217">
        <f t="shared" si="76"/>
        <v>1000</v>
      </c>
    </row>
    <row r="658" spans="8:63" s="215" customFormat="1">
      <c r="H658" s="211"/>
      <c r="I658" s="211"/>
      <c r="J658" s="211"/>
      <c r="K658" s="211"/>
      <c r="L658" s="211"/>
      <c r="M658" s="211"/>
      <c r="BF658" s="215">
        <v>609</v>
      </c>
      <c r="BG658" s="218">
        <f t="shared" si="74"/>
        <v>165126252.21732864</v>
      </c>
      <c r="BH658" s="215">
        <v>609</v>
      </c>
      <c r="BI658" s="219">
        <f t="shared" si="75"/>
        <v>1.12E-2</v>
      </c>
      <c r="BJ658" s="218">
        <f t="shared" si="73"/>
        <v>1849414.0248340808</v>
      </c>
      <c r="BK658" s="217">
        <f t="shared" si="76"/>
        <v>1000</v>
      </c>
    </row>
    <row r="659" spans="8:63" s="215" customFormat="1">
      <c r="H659" s="211"/>
      <c r="I659" s="211"/>
      <c r="J659" s="211"/>
      <c r="K659" s="211"/>
      <c r="L659" s="211"/>
      <c r="M659" s="211"/>
      <c r="BF659" s="215">
        <v>610</v>
      </c>
      <c r="BG659" s="218">
        <f t="shared" si="74"/>
        <v>166976666.2421627</v>
      </c>
      <c r="BH659" s="215">
        <v>610</v>
      </c>
      <c r="BI659" s="219">
        <f t="shared" si="75"/>
        <v>1.12E-2</v>
      </c>
      <c r="BJ659" s="218">
        <f t="shared" si="73"/>
        <v>1870138.6619122222</v>
      </c>
      <c r="BK659" s="217">
        <f t="shared" si="76"/>
        <v>1000</v>
      </c>
    </row>
    <row r="660" spans="8:63" s="215" customFormat="1">
      <c r="H660" s="211"/>
      <c r="I660" s="211"/>
      <c r="J660" s="211"/>
      <c r="K660" s="211"/>
      <c r="L660" s="211"/>
      <c r="M660" s="211"/>
      <c r="BF660" s="215">
        <v>611</v>
      </c>
      <c r="BG660" s="218">
        <f t="shared" si="74"/>
        <v>168847804.90407494</v>
      </c>
      <c r="BH660" s="215">
        <v>611</v>
      </c>
      <c r="BI660" s="219">
        <f t="shared" si="75"/>
        <v>1.12E-2</v>
      </c>
      <c r="BJ660" s="218">
        <f t="shared" si="73"/>
        <v>1891095.4149256393</v>
      </c>
      <c r="BK660" s="217">
        <f t="shared" si="76"/>
        <v>1000</v>
      </c>
    </row>
    <row r="661" spans="8:63" s="215" customFormat="1">
      <c r="H661" s="211"/>
      <c r="I661" s="211"/>
      <c r="J661" s="211"/>
      <c r="K661" s="211"/>
      <c r="L661" s="211"/>
      <c r="M661" s="211"/>
      <c r="BF661" s="215">
        <v>612</v>
      </c>
      <c r="BG661" s="218">
        <f t="shared" si="74"/>
        <v>170739900.31900057</v>
      </c>
      <c r="BH661" s="215">
        <v>612</v>
      </c>
      <c r="BI661" s="219">
        <f t="shared" si="75"/>
        <v>1.12E-2</v>
      </c>
      <c r="BJ661" s="218">
        <f t="shared" si="73"/>
        <v>1912286.8835728064</v>
      </c>
      <c r="BK661" s="217">
        <f t="shared" si="76"/>
        <v>1000</v>
      </c>
    </row>
    <row r="662" spans="8:63" s="215" customFormat="1">
      <c r="H662" s="211"/>
      <c r="I662" s="211"/>
      <c r="J662" s="211"/>
      <c r="K662" s="211"/>
      <c r="L662" s="211"/>
      <c r="M662" s="211"/>
      <c r="BF662" s="215">
        <v>613</v>
      </c>
      <c r="BG662" s="218">
        <f t="shared" si="74"/>
        <v>172653187.20257339</v>
      </c>
      <c r="BH662" s="215">
        <v>613</v>
      </c>
      <c r="BI662" s="219">
        <f t="shared" si="75"/>
        <v>1.12E-2</v>
      </c>
      <c r="BJ662" s="218">
        <f t="shared" si="73"/>
        <v>1933715.6966688219</v>
      </c>
      <c r="BK662" s="217">
        <f t="shared" si="76"/>
        <v>1000</v>
      </c>
    </row>
    <row r="663" spans="8:63" s="215" customFormat="1">
      <c r="H663" s="211"/>
      <c r="I663" s="211"/>
      <c r="J663" s="211"/>
      <c r="K663" s="211"/>
      <c r="L663" s="211"/>
      <c r="M663" s="211"/>
      <c r="BF663" s="215">
        <v>614</v>
      </c>
      <c r="BG663" s="218">
        <f t="shared" si="74"/>
        <v>174587902.89924222</v>
      </c>
      <c r="BH663" s="215">
        <v>614</v>
      </c>
      <c r="BI663" s="219">
        <f t="shared" si="75"/>
        <v>1.12E-2</v>
      </c>
      <c r="BJ663" s="218">
        <f t="shared" si="73"/>
        <v>1955384.5124715129</v>
      </c>
      <c r="BK663" s="217">
        <f t="shared" si="76"/>
        <v>1000</v>
      </c>
    </row>
    <row r="664" spans="8:63" s="215" customFormat="1">
      <c r="H664" s="211"/>
      <c r="I664" s="211"/>
      <c r="J664" s="211"/>
      <c r="K664" s="211"/>
      <c r="L664" s="211"/>
      <c r="M664" s="211"/>
      <c r="BF664" s="215">
        <v>615</v>
      </c>
      <c r="BG664" s="218">
        <f t="shared" si="74"/>
        <v>176544287.41171375</v>
      </c>
      <c r="BH664" s="215">
        <v>615</v>
      </c>
      <c r="BI664" s="219">
        <f t="shared" si="75"/>
        <v>1.12E-2</v>
      </c>
      <c r="BJ664" s="218">
        <f t="shared" si="73"/>
        <v>1977296.0190111939</v>
      </c>
      <c r="BK664" s="217">
        <f t="shared" si="76"/>
        <v>1000</v>
      </c>
    </row>
    <row r="665" spans="8:63" s="215" customFormat="1">
      <c r="H665" s="211"/>
      <c r="I665" s="211"/>
      <c r="J665" s="211"/>
      <c r="K665" s="211"/>
      <c r="L665" s="211"/>
      <c r="M665" s="211"/>
      <c r="BF665" s="215">
        <v>616</v>
      </c>
      <c r="BG665" s="218">
        <f t="shared" si="74"/>
        <v>178522583.43072495</v>
      </c>
      <c r="BH665" s="215">
        <v>616</v>
      </c>
      <c r="BI665" s="219">
        <f t="shared" si="75"/>
        <v>1.12E-2</v>
      </c>
      <c r="BJ665" s="218">
        <f t="shared" si="73"/>
        <v>1999452.9344241193</v>
      </c>
      <c r="BK665" s="217">
        <f t="shared" si="76"/>
        <v>1000</v>
      </c>
    </row>
    <row r="666" spans="8:63" s="215" customFormat="1">
      <c r="H666" s="211"/>
      <c r="I666" s="211"/>
      <c r="J666" s="211"/>
      <c r="K666" s="211"/>
      <c r="L666" s="211"/>
      <c r="M666" s="211"/>
      <c r="BF666" s="215">
        <v>617</v>
      </c>
      <c r="BG666" s="218">
        <f t="shared" si="74"/>
        <v>180523036.36514908</v>
      </c>
      <c r="BH666" s="215">
        <v>617</v>
      </c>
      <c r="BI666" s="219">
        <f t="shared" si="75"/>
        <v>1.12E-2</v>
      </c>
      <c r="BJ666" s="218">
        <f t="shared" si="73"/>
        <v>2021858.0072896697</v>
      </c>
      <c r="BK666" s="217">
        <f t="shared" si="76"/>
        <v>1000</v>
      </c>
    </row>
    <row r="667" spans="8:63" s="215" customFormat="1">
      <c r="H667" s="211"/>
      <c r="I667" s="211"/>
      <c r="J667" s="211"/>
      <c r="K667" s="211"/>
      <c r="L667" s="211"/>
      <c r="M667" s="211"/>
      <c r="BF667" s="215">
        <v>618</v>
      </c>
      <c r="BG667" s="218">
        <f t="shared" si="74"/>
        <v>182545894.37243876</v>
      </c>
      <c r="BH667" s="215">
        <v>618</v>
      </c>
      <c r="BI667" s="219">
        <f t="shared" si="75"/>
        <v>1.12E-2</v>
      </c>
      <c r="BJ667" s="218">
        <f t="shared" si="73"/>
        <v>2044514.0169713141</v>
      </c>
      <c r="BK667" s="217">
        <f t="shared" si="76"/>
        <v>1000</v>
      </c>
    </row>
    <row r="668" spans="8:63" s="215" customFormat="1">
      <c r="H668" s="211"/>
      <c r="I668" s="211"/>
      <c r="J668" s="211"/>
      <c r="K668" s="211"/>
      <c r="L668" s="211"/>
      <c r="M668" s="211"/>
      <c r="BF668" s="215">
        <v>619</v>
      </c>
      <c r="BG668" s="218">
        <f t="shared" si="74"/>
        <v>184591408.38941008</v>
      </c>
      <c r="BH668" s="215">
        <v>619</v>
      </c>
      <c r="BI668" s="219">
        <f t="shared" si="75"/>
        <v>1.12E-2</v>
      </c>
      <c r="BJ668" s="218">
        <f t="shared" si="73"/>
        <v>2067423.7739613929</v>
      </c>
      <c r="BK668" s="217">
        <f t="shared" si="76"/>
        <v>1000</v>
      </c>
    </row>
    <row r="669" spans="8:63" s="215" customFormat="1">
      <c r="H669" s="211"/>
      <c r="I669" s="211"/>
      <c r="J669" s="211"/>
      <c r="K669" s="211"/>
      <c r="L669" s="211"/>
      <c r="M669" s="211"/>
      <c r="BF669" s="215">
        <v>620</v>
      </c>
      <c r="BG669" s="218">
        <f t="shared" si="74"/>
        <v>186659832.16337147</v>
      </c>
      <c r="BH669" s="215">
        <v>620</v>
      </c>
      <c r="BI669" s="219">
        <f t="shared" si="75"/>
        <v>1.12E-2</v>
      </c>
      <c r="BJ669" s="218">
        <f t="shared" si="73"/>
        <v>2090590.1202297604</v>
      </c>
      <c r="BK669" s="217">
        <f t="shared" si="76"/>
        <v>1000</v>
      </c>
    </row>
    <row r="670" spans="8:63" s="215" customFormat="1">
      <c r="H670" s="211"/>
      <c r="I670" s="211"/>
      <c r="J670" s="211"/>
      <c r="K670" s="211"/>
      <c r="L670" s="211"/>
      <c r="M670" s="211"/>
      <c r="BF670" s="215">
        <v>621</v>
      </c>
      <c r="BG670" s="218">
        <f t="shared" si="74"/>
        <v>188751422.28360122</v>
      </c>
      <c r="BH670" s="215">
        <v>621</v>
      </c>
      <c r="BI670" s="219">
        <f t="shared" si="75"/>
        <v>1.12E-2</v>
      </c>
      <c r="BJ670" s="218">
        <f t="shared" si="73"/>
        <v>2114015.9295763336</v>
      </c>
      <c r="BK670" s="217">
        <f t="shared" si="76"/>
        <v>1000</v>
      </c>
    </row>
    <row r="671" spans="8:63" s="215" customFormat="1">
      <c r="H671" s="211"/>
      <c r="I671" s="211"/>
      <c r="J671" s="211"/>
      <c r="K671" s="211"/>
      <c r="L671" s="211"/>
      <c r="M671" s="211"/>
      <c r="BF671" s="215">
        <v>622</v>
      </c>
      <c r="BG671" s="218">
        <f t="shared" si="74"/>
        <v>190866438.21317756</v>
      </c>
      <c r="BH671" s="215">
        <v>622</v>
      </c>
      <c r="BI671" s="219">
        <f t="shared" si="75"/>
        <v>1.12E-2</v>
      </c>
      <c r="BJ671" s="218">
        <f t="shared" si="73"/>
        <v>2137704.1079875887</v>
      </c>
      <c r="BK671" s="217">
        <f t="shared" si="76"/>
        <v>1000</v>
      </c>
    </row>
    <row r="672" spans="8:63" s="215" customFormat="1">
      <c r="H672" s="211"/>
      <c r="I672" s="211"/>
      <c r="J672" s="211"/>
      <c r="K672" s="211"/>
      <c r="L672" s="211"/>
      <c r="M672" s="211"/>
      <c r="BF672" s="215">
        <v>623</v>
      </c>
      <c r="BG672" s="218">
        <f t="shared" si="74"/>
        <v>193005142.32116514</v>
      </c>
      <c r="BH672" s="215">
        <v>623</v>
      </c>
      <c r="BI672" s="219">
        <f t="shared" si="75"/>
        <v>1.12E-2</v>
      </c>
      <c r="BJ672" s="218">
        <f t="shared" si="73"/>
        <v>2161657.5939970496</v>
      </c>
      <c r="BK672" s="217">
        <f t="shared" si="76"/>
        <v>1000</v>
      </c>
    </row>
    <row r="673" spans="8:63" s="215" customFormat="1">
      <c r="H673" s="211"/>
      <c r="I673" s="211"/>
      <c r="J673" s="211"/>
      <c r="K673" s="211"/>
      <c r="L673" s="211"/>
      <c r="M673" s="211"/>
      <c r="BF673" s="215">
        <v>624</v>
      </c>
      <c r="BG673" s="218">
        <f t="shared" si="74"/>
        <v>195167799.91516221</v>
      </c>
      <c r="BH673" s="215">
        <v>624</v>
      </c>
      <c r="BI673" s="219">
        <f t="shared" si="75"/>
        <v>1.12E-2</v>
      </c>
      <c r="BJ673" s="218">
        <f t="shared" si="73"/>
        <v>2185879.3590498166</v>
      </c>
      <c r="BK673" s="217">
        <f t="shared" si="76"/>
        <v>1000</v>
      </c>
    </row>
    <row r="674" spans="8:63" s="215" customFormat="1">
      <c r="H674" s="211"/>
      <c r="I674" s="211"/>
      <c r="J674" s="211"/>
      <c r="K674" s="211"/>
      <c r="L674" s="211"/>
      <c r="M674" s="211"/>
      <c r="BF674" s="215">
        <v>625</v>
      </c>
      <c r="BG674" s="218">
        <f t="shared" si="74"/>
        <v>197354679.27421203</v>
      </c>
      <c r="BH674" s="215">
        <v>625</v>
      </c>
      <c r="BI674" s="219">
        <f t="shared" si="75"/>
        <v>1.12E-2</v>
      </c>
      <c r="BJ674" s="218">
        <f t="shared" si="73"/>
        <v>2210372.4078711746</v>
      </c>
      <c r="BK674" s="217">
        <f t="shared" si="76"/>
        <v>1000</v>
      </c>
    </row>
    <row r="675" spans="8:63" s="215" customFormat="1">
      <c r="H675" s="211"/>
      <c r="I675" s="211"/>
      <c r="J675" s="211"/>
      <c r="K675" s="211"/>
      <c r="L675" s="211"/>
      <c r="M675" s="211"/>
      <c r="BF675" s="215">
        <v>626</v>
      </c>
      <c r="BG675" s="218">
        <f t="shared" si="74"/>
        <v>199566051.68208322</v>
      </c>
      <c r="BH675" s="215">
        <v>626</v>
      </c>
      <c r="BI675" s="219">
        <f t="shared" si="75"/>
        <v>1.12E-2</v>
      </c>
      <c r="BJ675" s="218">
        <f t="shared" si="73"/>
        <v>2235139.7788393321</v>
      </c>
      <c r="BK675" s="217">
        <f t="shared" si="76"/>
        <v>1000</v>
      </c>
    </row>
    <row r="676" spans="8:63" s="215" customFormat="1">
      <c r="H676" s="211"/>
      <c r="I676" s="211"/>
      <c r="J676" s="211"/>
      <c r="K676" s="211"/>
      <c r="L676" s="211"/>
      <c r="M676" s="211"/>
      <c r="BF676" s="215">
        <v>627</v>
      </c>
      <c r="BG676" s="218">
        <f t="shared" si="74"/>
        <v>201802191.46092254</v>
      </c>
      <c r="BH676" s="215">
        <v>627</v>
      </c>
      <c r="BI676" s="219">
        <f t="shared" si="75"/>
        <v>1.12E-2</v>
      </c>
      <c r="BJ676" s="218">
        <f t="shared" si="73"/>
        <v>2260184.5443623322</v>
      </c>
      <c r="BK676" s="217">
        <f t="shared" si="76"/>
        <v>1000</v>
      </c>
    </row>
    <row r="677" spans="8:63" s="215" customFormat="1">
      <c r="H677" s="211"/>
      <c r="I677" s="211"/>
      <c r="J677" s="211"/>
      <c r="K677" s="211"/>
      <c r="L677" s="211"/>
      <c r="M677" s="211"/>
      <c r="BF677" s="215">
        <v>628</v>
      </c>
      <c r="BG677" s="218">
        <f t="shared" si="74"/>
        <v>204063376.00528488</v>
      </c>
      <c r="BH677" s="215">
        <v>628</v>
      </c>
      <c r="BI677" s="219">
        <f t="shared" si="75"/>
        <v>1.12E-2</v>
      </c>
      <c r="BJ677" s="218">
        <f t="shared" si="73"/>
        <v>2285509.8112591906</v>
      </c>
      <c r="BK677" s="217">
        <f t="shared" si="76"/>
        <v>1000</v>
      </c>
    </row>
    <row r="678" spans="8:63" s="215" customFormat="1">
      <c r="H678" s="211"/>
      <c r="I678" s="211"/>
      <c r="J678" s="211"/>
      <c r="K678" s="211"/>
      <c r="L678" s="211"/>
      <c r="M678" s="211"/>
      <c r="BF678" s="215">
        <v>629</v>
      </c>
      <c r="BG678" s="218">
        <f t="shared" si="74"/>
        <v>206349885.81654406</v>
      </c>
      <c r="BH678" s="215">
        <v>629</v>
      </c>
      <c r="BI678" s="219">
        <f t="shared" si="75"/>
        <v>1.12E-2</v>
      </c>
      <c r="BJ678" s="218">
        <f t="shared" si="73"/>
        <v>2311118.7211452932</v>
      </c>
      <c r="BK678" s="217">
        <f t="shared" si="76"/>
        <v>1000</v>
      </c>
    </row>
    <row r="679" spans="8:63" s="215" customFormat="1">
      <c r="H679" s="211"/>
      <c r="I679" s="211"/>
      <c r="J679" s="211"/>
      <c r="K679" s="211"/>
      <c r="L679" s="211"/>
      <c r="M679" s="211"/>
      <c r="BF679" s="215">
        <v>630</v>
      </c>
      <c r="BG679" s="218">
        <f t="shared" si="74"/>
        <v>208662004.53768936</v>
      </c>
      <c r="BH679" s="215">
        <v>630</v>
      </c>
      <c r="BI679" s="219">
        <f t="shared" si="75"/>
        <v>1.12E-2</v>
      </c>
      <c r="BJ679" s="218">
        <f t="shared" si="73"/>
        <v>2337014.450822121</v>
      </c>
      <c r="BK679" s="217">
        <f t="shared" si="76"/>
        <v>1000</v>
      </c>
    </row>
    <row r="680" spans="8:63" s="215" customFormat="1">
      <c r="H680" s="211"/>
      <c r="I680" s="211"/>
      <c r="J680" s="211"/>
      <c r="K680" s="211"/>
      <c r="L680" s="211"/>
      <c r="M680" s="211"/>
      <c r="BF680" s="215">
        <v>631</v>
      </c>
      <c r="BG680" s="218">
        <f t="shared" si="74"/>
        <v>211000018.98851147</v>
      </c>
      <c r="BH680" s="215">
        <v>631</v>
      </c>
      <c r="BI680" s="219">
        <f t="shared" si="75"/>
        <v>1.12E-2</v>
      </c>
      <c r="BJ680" s="218">
        <f t="shared" si="73"/>
        <v>2363200.2126713283</v>
      </c>
      <c r="BK680" s="217">
        <f t="shared" si="76"/>
        <v>1000</v>
      </c>
    </row>
    <row r="681" spans="8:63" s="215" customFormat="1">
      <c r="H681" s="211"/>
      <c r="I681" s="211"/>
      <c r="J681" s="211"/>
      <c r="K681" s="211"/>
      <c r="L681" s="211"/>
      <c r="M681" s="211"/>
      <c r="BF681" s="215">
        <v>632</v>
      </c>
      <c r="BG681" s="218">
        <f t="shared" si="74"/>
        <v>213364219.20118281</v>
      </c>
      <c r="BH681" s="215">
        <v>632</v>
      </c>
      <c r="BI681" s="219">
        <f t="shared" si="75"/>
        <v>1.12E-2</v>
      </c>
      <c r="BJ681" s="218">
        <f t="shared" si="73"/>
        <v>2389679.2550532473</v>
      </c>
      <c r="BK681" s="217">
        <f t="shared" si="76"/>
        <v>1000</v>
      </c>
    </row>
    <row r="682" spans="8:63" s="215" customFormat="1">
      <c r="H682" s="211"/>
      <c r="I682" s="211"/>
      <c r="J682" s="211"/>
      <c r="K682" s="211"/>
      <c r="L682" s="211"/>
      <c r="M682" s="211"/>
      <c r="BF682" s="215">
        <v>633</v>
      </c>
      <c r="BG682" s="218">
        <f t="shared" si="74"/>
        <v>215754898.45623606</v>
      </c>
      <c r="BH682" s="215">
        <v>633</v>
      </c>
      <c r="BI682" s="219">
        <f t="shared" si="75"/>
        <v>1.12E-2</v>
      </c>
      <c r="BJ682" s="218">
        <f t="shared" si="73"/>
        <v>2416454.862709844</v>
      </c>
      <c r="BK682" s="217">
        <f t="shared" si="76"/>
        <v>1000</v>
      </c>
    </row>
    <row r="683" spans="8:63" s="215" customFormat="1">
      <c r="H683" s="211"/>
      <c r="I683" s="211"/>
      <c r="J683" s="211"/>
      <c r="K683" s="211"/>
      <c r="L683" s="211"/>
      <c r="M683" s="211"/>
      <c r="BF683" s="215">
        <v>634</v>
      </c>
      <c r="BG683" s="218">
        <f t="shared" si="74"/>
        <v>218172353.31894591</v>
      </c>
      <c r="BH683" s="215">
        <v>634</v>
      </c>
      <c r="BI683" s="219">
        <f t="shared" si="75"/>
        <v>1.12E-2</v>
      </c>
      <c r="BJ683" s="218">
        <f t="shared" si="73"/>
        <v>2443530.3571721944</v>
      </c>
      <c r="BK683" s="217">
        <f t="shared" si="76"/>
        <v>1000</v>
      </c>
    </row>
    <row r="684" spans="8:63" s="215" customFormat="1">
      <c r="H684" s="211"/>
      <c r="I684" s="211"/>
      <c r="J684" s="211"/>
      <c r="K684" s="211"/>
      <c r="L684" s="211"/>
      <c r="M684" s="211"/>
      <c r="BF684" s="215">
        <v>635</v>
      </c>
      <c r="BG684" s="218">
        <f t="shared" si="74"/>
        <v>220616883.67611811</v>
      </c>
      <c r="BH684" s="215">
        <v>635</v>
      </c>
      <c r="BI684" s="219">
        <f t="shared" si="75"/>
        <v>1.12E-2</v>
      </c>
      <c r="BJ684" s="218">
        <f t="shared" si="73"/>
        <v>2470909.0971725229</v>
      </c>
      <c r="BK684" s="217">
        <f t="shared" si="76"/>
        <v>1000</v>
      </c>
    </row>
    <row r="685" spans="8:63" s="215" customFormat="1">
      <c r="H685" s="211"/>
      <c r="I685" s="211"/>
      <c r="J685" s="211"/>
      <c r="K685" s="211"/>
      <c r="L685" s="211"/>
      <c r="M685" s="211"/>
      <c r="BF685" s="215">
        <v>636</v>
      </c>
      <c r="BG685" s="218">
        <f t="shared" si="74"/>
        <v>223088792.77329063</v>
      </c>
      <c r="BH685" s="215">
        <v>636</v>
      </c>
      <c r="BI685" s="219">
        <f t="shared" si="75"/>
        <v>1.12E-2</v>
      </c>
      <c r="BJ685" s="218">
        <f t="shared" si="73"/>
        <v>2498594.4790608552</v>
      </c>
      <c r="BK685" s="217">
        <f t="shared" si="76"/>
        <v>1000</v>
      </c>
    </row>
    <row r="686" spans="8:63" s="215" customFormat="1">
      <c r="H686" s="211"/>
      <c r="I686" s="211"/>
      <c r="J686" s="211"/>
      <c r="K686" s="211"/>
      <c r="L686" s="211"/>
      <c r="M686" s="211"/>
      <c r="BF686" s="215">
        <v>637</v>
      </c>
      <c r="BG686" s="218">
        <f t="shared" si="74"/>
        <v>225588387.25235149</v>
      </c>
      <c r="BH686" s="215">
        <v>637</v>
      </c>
      <c r="BI686" s="219">
        <f t="shared" si="75"/>
        <v>1.12E-2</v>
      </c>
      <c r="BJ686" s="218">
        <f t="shared" si="73"/>
        <v>2526589.9372263369</v>
      </c>
      <c r="BK686" s="217">
        <f t="shared" si="76"/>
        <v>1000</v>
      </c>
    </row>
    <row r="687" spans="8:63" s="215" customFormat="1">
      <c r="H687" s="211"/>
      <c r="I687" s="211"/>
      <c r="J687" s="211"/>
      <c r="K687" s="211"/>
      <c r="L687" s="211"/>
      <c r="M687" s="211"/>
      <c r="BF687" s="215">
        <v>638</v>
      </c>
      <c r="BG687" s="218">
        <f t="shared" si="74"/>
        <v>228115977.18957782</v>
      </c>
      <c r="BH687" s="215">
        <v>638</v>
      </c>
      <c r="BI687" s="219">
        <f t="shared" si="75"/>
        <v>1.12E-2</v>
      </c>
      <c r="BJ687" s="218">
        <f t="shared" si="73"/>
        <v>2554898.9445232716</v>
      </c>
      <c r="BK687" s="217">
        <f t="shared" si="76"/>
        <v>1000</v>
      </c>
    </row>
    <row r="688" spans="8:63" s="215" customFormat="1">
      <c r="H688" s="211"/>
      <c r="I688" s="211"/>
      <c r="J688" s="211"/>
      <c r="K688" s="211"/>
      <c r="L688" s="211"/>
      <c r="M688" s="211"/>
      <c r="BF688" s="215">
        <v>639</v>
      </c>
      <c r="BG688" s="218">
        <f t="shared" si="74"/>
        <v>230671876.13410109</v>
      </c>
      <c r="BH688" s="215">
        <v>639</v>
      </c>
      <c r="BI688" s="219">
        <f t="shared" si="75"/>
        <v>1.12E-2</v>
      </c>
      <c r="BJ688" s="218">
        <f t="shared" si="73"/>
        <v>2583525.0127019323</v>
      </c>
      <c r="BK688" s="217">
        <f t="shared" si="76"/>
        <v>1000</v>
      </c>
    </row>
    <row r="689" spans="8:63" s="215" customFormat="1">
      <c r="H689" s="211"/>
      <c r="I689" s="211"/>
      <c r="J689" s="211"/>
      <c r="K689" s="211"/>
      <c r="L689" s="211"/>
      <c r="M689" s="211"/>
      <c r="BF689" s="215">
        <v>640</v>
      </c>
      <c r="BG689" s="218">
        <f t="shared" si="74"/>
        <v>233256401.14680302</v>
      </c>
      <c r="BH689" s="215">
        <v>640</v>
      </c>
      <c r="BI689" s="219">
        <f t="shared" si="75"/>
        <v>1.12E-2</v>
      </c>
      <c r="BJ689" s="218">
        <f t="shared" si="73"/>
        <v>2612471.6928441939</v>
      </c>
      <c r="BK689" s="217">
        <f t="shared" si="76"/>
        <v>1000</v>
      </c>
    </row>
    <row r="690" spans="8:63" s="215" customFormat="1">
      <c r="H690" s="211"/>
      <c r="I690" s="211"/>
      <c r="J690" s="211"/>
      <c r="K690" s="211"/>
      <c r="L690" s="211"/>
      <c r="M690" s="211"/>
      <c r="BF690" s="215">
        <v>641</v>
      </c>
      <c r="BG690" s="218">
        <f t="shared" si="74"/>
        <v>235869872.8396472</v>
      </c>
      <c r="BH690" s="215">
        <v>641</v>
      </c>
      <c r="BI690" s="219">
        <f t="shared" si="75"/>
        <v>1.12E-2</v>
      </c>
      <c r="BJ690" s="218">
        <f t="shared" ref="BJ690:BJ753" si="77">BG690*BI690</f>
        <v>2641742.5758040487</v>
      </c>
      <c r="BK690" s="217">
        <f t="shared" si="76"/>
        <v>1000</v>
      </c>
    </row>
    <row r="691" spans="8:63" s="215" customFormat="1">
      <c r="H691" s="211"/>
      <c r="I691" s="211"/>
      <c r="J691" s="211"/>
      <c r="K691" s="211"/>
      <c r="L691" s="211"/>
      <c r="M691" s="211"/>
      <c r="BF691" s="215">
        <v>642</v>
      </c>
      <c r="BG691" s="218">
        <f t="shared" ref="BG691:BG754" si="78">BG690+BJ690+BK691</f>
        <v>238512615.41545126</v>
      </c>
      <c r="BH691" s="215">
        <v>642</v>
      </c>
      <c r="BI691" s="219">
        <f t="shared" ref="BI691:BI754" si="79">BI690</f>
        <v>1.12E-2</v>
      </c>
      <c r="BJ691" s="218">
        <f t="shared" si="77"/>
        <v>2671341.292653054</v>
      </c>
      <c r="BK691" s="217">
        <f t="shared" ref="BK691:BK754" si="80">BK690</f>
        <v>1000</v>
      </c>
    </row>
    <row r="692" spans="8:63" s="215" customFormat="1">
      <c r="H692" s="211"/>
      <c r="I692" s="211"/>
      <c r="J692" s="211"/>
      <c r="K692" s="211"/>
      <c r="L692" s="211"/>
      <c r="M692" s="211"/>
      <c r="BF692" s="215">
        <v>643</v>
      </c>
      <c r="BG692" s="218">
        <f t="shared" si="78"/>
        <v>241184956.70810431</v>
      </c>
      <c r="BH692" s="215">
        <v>643</v>
      </c>
      <c r="BI692" s="219">
        <f t="shared" si="79"/>
        <v>1.12E-2</v>
      </c>
      <c r="BJ692" s="218">
        <f t="shared" si="77"/>
        <v>2701271.5151307681</v>
      </c>
      <c r="BK692" s="217">
        <f t="shared" si="80"/>
        <v>1000</v>
      </c>
    </row>
    <row r="693" spans="8:63" s="215" customFormat="1">
      <c r="H693" s="211"/>
      <c r="I693" s="211"/>
      <c r="J693" s="211"/>
      <c r="K693" s="211"/>
      <c r="L693" s="211"/>
      <c r="M693" s="211"/>
      <c r="BF693" s="215">
        <v>644</v>
      </c>
      <c r="BG693" s="218">
        <f t="shared" si="78"/>
        <v>243887228.22323507</v>
      </c>
      <c r="BH693" s="215">
        <v>644</v>
      </c>
      <c r="BI693" s="219">
        <f t="shared" si="79"/>
        <v>1.12E-2</v>
      </c>
      <c r="BJ693" s="218">
        <f t="shared" si="77"/>
        <v>2731536.9561002329</v>
      </c>
      <c r="BK693" s="217">
        <f t="shared" si="80"/>
        <v>1000</v>
      </c>
    </row>
    <row r="694" spans="8:63" s="215" customFormat="1">
      <c r="H694" s="211"/>
      <c r="I694" s="211"/>
      <c r="J694" s="211"/>
      <c r="K694" s="211"/>
      <c r="L694" s="211"/>
      <c r="M694" s="211"/>
      <c r="BF694" s="215">
        <v>645</v>
      </c>
      <c r="BG694" s="218">
        <f t="shared" si="78"/>
        <v>246619765.1793353</v>
      </c>
      <c r="BH694" s="215">
        <v>645</v>
      </c>
      <c r="BI694" s="219">
        <f t="shared" si="79"/>
        <v>1.12E-2</v>
      </c>
      <c r="BJ694" s="218">
        <f t="shared" si="77"/>
        <v>2762141.3700085552</v>
      </c>
      <c r="BK694" s="217">
        <f t="shared" si="80"/>
        <v>1000</v>
      </c>
    </row>
    <row r="695" spans="8:63" s="215" customFormat="1">
      <c r="H695" s="211"/>
      <c r="I695" s="211"/>
      <c r="J695" s="211"/>
      <c r="K695" s="211"/>
      <c r="L695" s="211"/>
      <c r="M695" s="211"/>
      <c r="BF695" s="215">
        <v>646</v>
      </c>
      <c r="BG695" s="218">
        <f t="shared" si="78"/>
        <v>249382906.54934385</v>
      </c>
      <c r="BH695" s="215">
        <v>646</v>
      </c>
      <c r="BI695" s="219">
        <f t="shared" si="79"/>
        <v>1.12E-2</v>
      </c>
      <c r="BJ695" s="218">
        <f t="shared" si="77"/>
        <v>2793088.5533526512</v>
      </c>
      <c r="BK695" s="217">
        <f t="shared" si="80"/>
        <v>1000</v>
      </c>
    </row>
    <row r="696" spans="8:63" s="215" customFormat="1">
      <c r="H696" s="211"/>
      <c r="I696" s="211"/>
      <c r="J696" s="211"/>
      <c r="K696" s="211"/>
      <c r="L696" s="211"/>
      <c r="M696" s="211"/>
      <c r="BF696" s="215">
        <v>647</v>
      </c>
      <c r="BG696" s="218">
        <f t="shared" si="78"/>
        <v>252176995.10269651</v>
      </c>
      <c r="BH696" s="215">
        <v>647</v>
      </c>
      <c r="BI696" s="219">
        <f t="shared" si="79"/>
        <v>1.12E-2</v>
      </c>
      <c r="BJ696" s="218">
        <f t="shared" si="77"/>
        <v>2824382.3451502007</v>
      </c>
      <c r="BK696" s="217">
        <f t="shared" si="80"/>
        <v>1000</v>
      </c>
    </row>
    <row r="697" spans="8:63" s="215" customFormat="1">
      <c r="H697" s="211"/>
      <c r="I697" s="211"/>
      <c r="J697" s="211"/>
      <c r="K697" s="211"/>
      <c r="L697" s="211"/>
      <c r="M697" s="211"/>
      <c r="BF697" s="215">
        <v>648</v>
      </c>
      <c r="BG697" s="218">
        <f t="shared" si="78"/>
        <v>255002377.44784671</v>
      </c>
      <c r="BH697" s="215">
        <v>648</v>
      </c>
      <c r="BI697" s="219">
        <f t="shared" si="79"/>
        <v>1.12E-2</v>
      </c>
      <c r="BJ697" s="218">
        <f t="shared" si="77"/>
        <v>2856026.6274158834</v>
      </c>
      <c r="BK697" s="217">
        <f t="shared" si="80"/>
        <v>1000</v>
      </c>
    </row>
    <row r="698" spans="8:63" s="215" customFormat="1">
      <c r="H698" s="211"/>
      <c r="I698" s="211"/>
      <c r="J698" s="211"/>
      <c r="K698" s="211"/>
      <c r="L698" s="211"/>
      <c r="M698" s="211"/>
      <c r="BF698" s="215">
        <v>649</v>
      </c>
      <c r="BG698" s="218">
        <f t="shared" si="78"/>
        <v>257859404.07526261</v>
      </c>
      <c r="BH698" s="215">
        <v>649</v>
      </c>
      <c r="BI698" s="219">
        <f t="shared" si="79"/>
        <v>1.12E-2</v>
      </c>
      <c r="BJ698" s="218">
        <f t="shared" si="77"/>
        <v>2888025.3256429411</v>
      </c>
      <c r="BK698" s="217">
        <f t="shared" si="80"/>
        <v>1000</v>
      </c>
    </row>
    <row r="699" spans="8:63" s="215" customFormat="1">
      <c r="H699" s="211"/>
      <c r="I699" s="211"/>
      <c r="J699" s="211"/>
      <c r="K699" s="211"/>
      <c r="L699" s="211"/>
      <c r="M699" s="211"/>
      <c r="BF699" s="215">
        <v>650</v>
      </c>
      <c r="BG699" s="218">
        <f t="shared" si="78"/>
        <v>260748429.40090555</v>
      </c>
      <c r="BH699" s="215">
        <v>650</v>
      </c>
      <c r="BI699" s="219">
        <f t="shared" si="79"/>
        <v>1.12E-2</v>
      </c>
      <c r="BJ699" s="218">
        <f t="shared" si="77"/>
        <v>2920382.4092901424</v>
      </c>
      <c r="BK699" s="217">
        <f t="shared" si="80"/>
        <v>1000</v>
      </c>
    </row>
    <row r="700" spans="8:63" s="215" customFormat="1">
      <c r="H700" s="211"/>
      <c r="I700" s="211"/>
      <c r="J700" s="211"/>
      <c r="K700" s="211"/>
      <c r="L700" s="211"/>
      <c r="M700" s="211"/>
      <c r="BF700" s="215">
        <v>651</v>
      </c>
      <c r="BG700" s="218">
        <f t="shared" si="78"/>
        <v>263669811.81019568</v>
      </c>
      <c r="BH700" s="215">
        <v>651</v>
      </c>
      <c r="BI700" s="219">
        <f t="shared" si="79"/>
        <v>1.12E-2</v>
      </c>
      <c r="BJ700" s="218">
        <f t="shared" si="77"/>
        <v>2953101.8922741916</v>
      </c>
      <c r="BK700" s="217">
        <f t="shared" si="80"/>
        <v>1000</v>
      </c>
    </row>
    <row r="701" spans="8:63" s="215" customFormat="1">
      <c r="H701" s="211"/>
      <c r="I701" s="211"/>
      <c r="J701" s="211"/>
      <c r="K701" s="211"/>
      <c r="L701" s="211"/>
      <c r="M701" s="211"/>
      <c r="BF701" s="215">
        <v>652</v>
      </c>
      <c r="BG701" s="218">
        <f t="shared" si="78"/>
        <v>266623913.70246989</v>
      </c>
      <c r="BH701" s="215">
        <v>652</v>
      </c>
      <c r="BI701" s="219">
        <f t="shared" si="79"/>
        <v>1.12E-2</v>
      </c>
      <c r="BJ701" s="218">
        <f t="shared" si="77"/>
        <v>2986187.8334676628</v>
      </c>
      <c r="BK701" s="217">
        <f t="shared" si="80"/>
        <v>1000</v>
      </c>
    </row>
    <row r="702" spans="8:63" s="215" customFormat="1">
      <c r="H702" s="211"/>
      <c r="I702" s="211"/>
      <c r="J702" s="211"/>
      <c r="K702" s="211"/>
      <c r="L702" s="211"/>
      <c r="M702" s="211"/>
      <c r="BF702" s="215">
        <v>653</v>
      </c>
      <c r="BG702" s="218">
        <f t="shared" si="78"/>
        <v>269611101.53593755</v>
      </c>
      <c r="BH702" s="215">
        <v>653</v>
      </c>
      <c r="BI702" s="219">
        <f t="shared" si="79"/>
        <v>1.12E-2</v>
      </c>
      <c r="BJ702" s="218">
        <f t="shared" si="77"/>
        <v>3019644.3372025006</v>
      </c>
      <c r="BK702" s="217">
        <f t="shared" si="80"/>
        <v>1000</v>
      </c>
    </row>
    <row r="703" spans="8:63" s="215" customFormat="1">
      <c r="H703" s="211"/>
      <c r="I703" s="211"/>
      <c r="J703" s="211"/>
      <c r="K703" s="211"/>
      <c r="L703" s="211"/>
      <c r="M703" s="211"/>
      <c r="BF703" s="215">
        <v>654</v>
      </c>
      <c r="BG703" s="218">
        <f t="shared" si="78"/>
        <v>272631745.87314004</v>
      </c>
      <c r="BH703" s="215">
        <v>654</v>
      </c>
      <c r="BI703" s="219">
        <f t="shared" si="79"/>
        <v>1.12E-2</v>
      </c>
      <c r="BJ703" s="218">
        <f t="shared" si="77"/>
        <v>3053475.5537791685</v>
      </c>
      <c r="BK703" s="217">
        <f t="shared" si="80"/>
        <v>1000</v>
      </c>
    </row>
    <row r="704" spans="8:63" s="215" customFormat="1">
      <c r="H704" s="211"/>
      <c r="I704" s="211"/>
      <c r="J704" s="211"/>
      <c r="K704" s="211"/>
      <c r="L704" s="211"/>
      <c r="M704" s="211"/>
      <c r="BF704" s="215">
        <v>655</v>
      </c>
      <c r="BG704" s="218">
        <f t="shared" si="78"/>
        <v>275686221.42691922</v>
      </c>
      <c r="BH704" s="215">
        <v>655</v>
      </c>
      <c r="BI704" s="219">
        <f t="shared" si="79"/>
        <v>1.12E-2</v>
      </c>
      <c r="BJ704" s="218">
        <f t="shared" si="77"/>
        <v>3087685.6799814953</v>
      </c>
      <c r="BK704" s="217">
        <f t="shared" si="80"/>
        <v>1000</v>
      </c>
    </row>
    <row r="705" spans="8:63" s="215" customFormat="1">
      <c r="H705" s="211"/>
      <c r="I705" s="211"/>
      <c r="J705" s="211"/>
      <c r="K705" s="211"/>
      <c r="L705" s="211"/>
      <c r="M705" s="211"/>
      <c r="BF705" s="215">
        <v>656</v>
      </c>
      <c r="BG705" s="218">
        <f t="shared" si="78"/>
        <v>278774907.10690069</v>
      </c>
      <c r="BH705" s="215">
        <v>656</v>
      </c>
      <c r="BI705" s="219">
        <f t="shared" si="79"/>
        <v>1.12E-2</v>
      </c>
      <c r="BJ705" s="218">
        <f t="shared" si="77"/>
        <v>3122278.9595972877</v>
      </c>
      <c r="BK705" s="217">
        <f t="shared" si="80"/>
        <v>1000</v>
      </c>
    </row>
    <row r="706" spans="8:63" s="215" customFormat="1">
      <c r="H706" s="211"/>
      <c r="I706" s="211"/>
      <c r="J706" s="211"/>
      <c r="K706" s="211"/>
      <c r="L706" s="211"/>
      <c r="M706" s="211"/>
      <c r="BF706" s="215">
        <v>657</v>
      </c>
      <c r="BG706" s="218">
        <f t="shared" si="78"/>
        <v>281898186.06649798</v>
      </c>
      <c r="BH706" s="215">
        <v>657</v>
      </c>
      <c r="BI706" s="219">
        <f t="shared" si="79"/>
        <v>1.12E-2</v>
      </c>
      <c r="BJ706" s="218">
        <f t="shared" si="77"/>
        <v>3157259.6839447776</v>
      </c>
      <c r="BK706" s="217">
        <f t="shared" si="80"/>
        <v>1000</v>
      </c>
    </row>
    <row r="707" spans="8:63" s="215" customFormat="1">
      <c r="H707" s="211"/>
      <c r="I707" s="211"/>
      <c r="J707" s="211"/>
      <c r="K707" s="211"/>
      <c r="L707" s="211"/>
      <c r="M707" s="211"/>
      <c r="BF707" s="215">
        <v>658</v>
      </c>
      <c r="BG707" s="218">
        <f t="shared" si="78"/>
        <v>285056445.75044274</v>
      </c>
      <c r="BH707" s="215">
        <v>658</v>
      </c>
      <c r="BI707" s="219">
        <f t="shared" si="79"/>
        <v>1.12E-2</v>
      </c>
      <c r="BJ707" s="218">
        <f t="shared" si="77"/>
        <v>3192632.1924049589</v>
      </c>
      <c r="BK707" s="217">
        <f t="shared" si="80"/>
        <v>1000</v>
      </c>
    </row>
    <row r="708" spans="8:63" s="215" customFormat="1">
      <c r="H708" s="211"/>
      <c r="I708" s="211"/>
      <c r="J708" s="211"/>
      <c r="K708" s="211"/>
      <c r="L708" s="211"/>
      <c r="M708" s="211"/>
      <c r="BF708" s="215">
        <v>659</v>
      </c>
      <c r="BG708" s="218">
        <f t="shared" si="78"/>
        <v>288250077.94284773</v>
      </c>
      <c r="BH708" s="215">
        <v>659</v>
      </c>
      <c r="BI708" s="219">
        <f t="shared" si="79"/>
        <v>1.12E-2</v>
      </c>
      <c r="BJ708" s="218">
        <f t="shared" si="77"/>
        <v>3228400.8729598946</v>
      </c>
      <c r="BK708" s="217">
        <f t="shared" si="80"/>
        <v>1000</v>
      </c>
    </row>
    <row r="709" spans="8:63" s="215" customFormat="1">
      <c r="H709" s="211"/>
      <c r="I709" s="211"/>
      <c r="J709" s="211"/>
      <c r="K709" s="211"/>
      <c r="L709" s="211"/>
      <c r="M709" s="211"/>
      <c r="BF709" s="215">
        <v>660</v>
      </c>
      <c r="BG709" s="218">
        <f t="shared" si="78"/>
        <v>291479478.81580764</v>
      </c>
      <c r="BH709" s="215">
        <v>660</v>
      </c>
      <c r="BI709" s="219">
        <f t="shared" si="79"/>
        <v>1.12E-2</v>
      </c>
      <c r="BJ709" s="218">
        <f t="shared" si="77"/>
        <v>3264570.1627370454</v>
      </c>
      <c r="BK709" s="217">
        <f t="shared" si="80"/>
        <v>1000</v>
      </c>
    </row>
    <row r="710" spans="8:63" s="215" customFormat="1">
      <c r="H710" s="211"/>
      <c r="I710" s="211"/>
      <c r="J710" s="211"/>
      <c r="K710" s="211"/>
      <c r="L710" s="211"/>
      <c r="M710" s="211"/>
      <c r="BF710" s="215">
        <v>661</v>
      </c>
      <c r="BG710" s="218">
        <f t="shared" si="78"/>
        <v>294745048.97854471</v>
      </c>
      <c r="BH710" s="215">
        <v>661</v>
      </c>
      <c r="BI710" s="219">
        <f t="shared" si="79"/>
        <v>1.12E-2</v>
      </c>
      <c r="BJ710" s="218">
        <f t="shared" si="77"/>
        <v>3301144.5485597006</v>
      </c>
      <c r="BK710" s="217">
        <f t="shared" si="80"/>
        <v>1000</v>
      </c>
    </row>
    <row r="711" spans="8:63" s="215" customFormat="1">
      <c r="H711" s="211"/>
      <c r="I711" s="211"/>
      <c r="J711" s="211"/>
      <c r="K711" s="211"/>
      <c r="L711" s="211"/>
      <c r="M711" s="211"/>
      <c r="BF711" s="215">
        <v>662</v>
      </c>
      <c r="BG711" s="218">
        <f t="shared" si="78"/>
        <v>298047193.52710444</v>
      </c>
      <c r="BH711" s="215">
        <v>662</v>
      </c>
      <c r="BI711" s="219">
        <f t="shared" si="79"/>
        <v>1.12E-2</v>
      </c>
      <c r="BJ711" s="218">
        <f t="shared" si="77"/>
        <v>3338128.5675035696</v>
      </c>
      <c r="BK711" s="217">
        <f t="shared" si="80"/>
        <v>1000</v>
      </c>
    </row>
    <row r="712" spans="8:63" s="215" customFormat="1">
      <c r="H712" s="211"/>
      <c r="I712" s="211"/>
      <c r="J712" s="211"/>
      <c r="K712" s="211"/>
      <c r="L712" s="211"/>
      <c r="M712" s="211"/>
      <c r="BF712" s="215">
        <v>663</v>
      </c>
      <c r="BG712" s="218">
        <f t="shared" si="78"/>
        <v>301386322.09460801</v>
      </c>
      <c r="BH712" s="215">
        <v>663</v>
      </c>
      <c r="BI712" s="219">
        <f t="shared" si="79"/>
        <v>1.12E-2</v>
      </c>
      <c r="BJ712" s="218">
        <f t="shared" si="77"/>
        <v>3375526.8074596096</v>
      </c>
      <c r="BK712" s="217">
        <f t="shared" si="80"/>
        <v>1000</v>
      </c>
    </row>
    <row r="713" spans="8:63" s="215" customFormat="1">
      <c r="H713" s="211"/>
      <c r="I713" s="211"/>
      <c r="J713" s="211"/>
      <c r="K713" s="211"/>
      <c r="L713" s="211"/>
      <c r="M713" s="211"/>
      <c r="BF713" s="215">
        <v>664</v>
      </c>
      <c r="BG713" s="218">
        <f t="shared" si="78"/>
        <v>304762848.9020676</v>
      </c>
      <c r="BH713" s="215">
        <v>664</v>
      </c>
      <c r="BI713" s="219">
        <f t="shared" si="79"/>
        <v>1.12E-2</v>
      </c>
      <c r="BJ713" s="218">
        <f t="shared" si="77"/>
        <v>3413343.907703157</v>
      </c>
      <c r="BK713" s="217">
        <f t="shared" si="80"/>
        <v>1000</v>
      </c>
    </row>
    <row r="714" spans="8:63" s="215" customFormat="1">
      <c r="H714" s="211"/>
      <c r="I714" s="211"/>
      <c r="J714" s="211"/>
      <c r="K714" s="211"/>
      <c r="L714" s="211"/>
      <c r="M714" s="211"/>
      <c r="BF714" s="215">
        <v>665</v>
      </c>
      <c r="BG714" s="218">
        <f t="shared" si="78"/>
        <v>308177192.80977076</v>
      </c>
      <c r="BH714" s="215">
        <v>665</v>
      </c>
      <c r="BI714" s="219">
        <f t="shared" si="79"/>
        <v>1.12E-2</v>
      </c>
      <c r="BJ714" s="218">
        <f t="shared" si="77"/>
        <v>3451584.5594694326</v>
      </c>
      <c r="BK714" s="217">
        <f t="shared" si="80"/>
        <v>1000</v>
      </c>
    </row>
    <row r="715" spans="8:63" s="215" customFormat="1">
      <c r="H715" s="211"/>
      <c r="I715" s="211"/>
      <c r="J715" s="211"/>
      <c r="K715" s="211"/>
      <c r="L715" s="211"/>
      <c r="M715" s="211"/>
      <c r="BF715" s="215">
        <v>666</v>
      </c>
      <c r="BG715" s="218">
        <f t="shared" si="78"/>
        <v>311629777.36924022</v>
      </c>
      <c r="BH715" s="215">
        <v>666</v>
      </c>
      <c r="BI715" s="219">
        <f t="shared" si="79"/>
        <v>1.12E-2</v>
      </c>
      <c r="BJ715" s="218">
        <f t="shared" si="77"/>
        <v>3490253.5065354905</v>
      </c>
      <c r="BK715" s="217">
        <f t="shared" si="80"/>
        <v>1000</v>
      </c>
    </row>
    <row r="716" spans="8:63" s="215" customFormat="1">
      <c r="H716" s="211"/>
      <c r="I716" s="211"/>
      <c r="J716" s="211"/>
      <c r="K716" s="211"/>
      <c r="L716" s="211"/>
      <c r="M716" s="211"/>
      <c r="BF716" s="215">
        <v>667</v>
      </c>
      <c r="BG716" s="218">
        <f t="shared" si="78"/>
        <v>315121030.87577569</v>
      </c>
      <c r="BH716" s="215">
        <v>667</v>
      </c>
      <c r="BI716" s="219">
        <f t="shared" si="79"/>
        <v>1.12E-2</v>
      </c>
      <c r="BJ716" s="218">
        <f t="shared" si="77"/>
        <v>3529355.5458086878</v>
      </c>
      <c r="BK716" s="217">
        <f t="shared" si="80"/>
        <v>1000</v>
      </c>
    </row>
    <row r="717" spans="8:63" s="215" customFormat="1">
      <c r="H717" s="211"/>
      <c r="I717" s="211"/>
      <c r="J717" s="211"/>
      <c r="K717" s="211"/>
      <c r="L717" s="211"/>
      <c r="M717" s="211"/>
      <c r="BF717" s="215">
        <v>668</v>
      </c>
      <c r="BG717" s="218">
        <f t="shared" si="78"/>
        <v>318651386.42158437</v>
      </c>
      <c r="BH717" s="215">
        <v>668</v>
      </c>
      <c r="BI717" s="219">
        <f t="shared" si="79"/>
        <v>1.12E-2</v>
      </c>
      <c r="BJ717" s="218">
        <f t="shared" si="77"/>
        <v>3568895.5279217451</v>
      </c>
      <c r="BK717" s="217">
        <f t="shared" si="80"/>
        <v>1000</v>
      </c>
    </row>
    <row r="718" spans="8:63" s="215" customFormat="1">
      <c r="H718" s="211"/>
      <c r="I718" s="211"/>
      <c r="J718" s="211"/>
      <c r="K718" s="211"/>
      <c r="L718" s="211"/>
      <c r="M718" s="211"/>
      <c r="BF718" s="215">
        <v>669</v>
      </c>
      <c r="BG718" s="218">
        <f t="shared" si="78"/>
        <v>322221281.9495061</v>
      </c>
      <c r="BH718" s="215">
        <v>669</v>
      </c>
      <c r="BI718" s="219">
        <f t="shared" si="79"/>
        <v>1.12E-2</v>
      </c>
      <c r="BJ718" s="218">
        <f t="shared" si="77"/>
        <v>3608878.3578344681</v>
      </c>
      <c r="BK718" s="217">
        <f t="shared" si="80"/>
        <v>1000</v>
      </c>
    </row>
    <row r="719" spans="8:63" s="215" customFormat="1">
      <c r="H719" s="211"/>
      <c r="I719" s="211"/>
      <c r="J719" s="211"/>
      <c r="K719" s="211"/>
      <c r="L719" s="211"/>
      <c r="M719" s="211"/>
      <c r="BF719" s="215">
        <v>670</v>
      </c>
      <c r="BG719" s="218">
        <f t="shared" si="78"/>
        <v>325831160.30734056</v>
      </c>
      <c r="BH719" s="215">
        <v>670</v>
      </c>
      <c r="BI719" s="219">
        <f t="shared" si="79"/>
        <v>1.12E-2</v>
      </c>
      <c r="BJ719" s="218">
        <f t="shared" si="77"/>
        <v>3649308.9954422144</v>
      </c>
      <c r="BK719" s="217">
        <f t="shared" si="80"/>
        <v>1000</v>
      </c>
    </row>
    <row r="720" spans="8:63" s="215" customFormat="1">
      <c r="H720" s="211"/>
      <c r="I720" s="211"/>
      <c r="J720" s="211"/>
      <c r="K720" s="211"/>
      <c r="L720" s="211"/>
      <c r="M720" s="211"/>
      <c r="BF720" s="215">
        <v>671</v>
      </c>
      <c r="BG720" s="218">
        <f t="shared" si="78"/>
        <v>329481469.30278277</v>
      </c>
      <c r="BH720" s="215">
        <v>671</v>
      </c>
      <c r="BI720" s="219">
        <f t="shared" si="79"/>
        <v>1.12E-2</v>
      </c>
      <c r="BJ720" s="218">
        <f t="shared" si="77"/>
        <v>3690192.4561911672</v>
      </c>
      <c r="BK720" s="217">
        <f t="shared" si="80"/>
        <v>1000</v>
      </c>
    </row>
    <row r="721" spans="8:63" s="215" customFormat="1">
      <c r="H721" s="211"/>
      <c r="I721" s="211"/>
      <c r="J721" s="211"/>
      <c r="K721" s="211"/>
      <c r="L721" s="211"/>
      <c r="M721" s="211"/>
      <c r="BF721" s="215">
        <v>672</v>
      </c>
      <c r="BG721" s="218">
        <f t="shared" si="78"/>
        <v>333172661.75897396</v>
      </c>
      <c r="BH721" s="215">
        <v>672</v>
      </c>
      <c r="BI721" s="219">
        <f t="shared" si="79"/>
        <v>1.12E-2</v>
      </c>
      <c r="BJ721" s="218">
        <f t="shared" si="77"/>
        <v>3731533.8117005085</v>
      </c>
      <c r="BK721" s="217">
        <f t="shared" si="80"/>
        <v>1000</v>
      </c>
    </row>
    <row r="722" spans="8:63" s="215" customFormat="1">
      <c r="H722" s="211"/>
      <c r="I722" s="211"/>
      <c r="J722" s="211"/>
      <c r="K722" s="211"/>
      <c r="L722" s="211"/>
      <c r="M722" s="211"/>
      <c r="BF722" s="215">
        <v>673</v>
      </c>
      <c r="BG722" s="218">
        <f t="shared" si="78"/>
        <v>336905195.57067448</v>
      </c>
      <c r="BH722" s="215">
        <v>673</v>
      </c>
      <c r="BI722" s="219">
        <f t="shared" si="79"/>
        <v>1.12E-2</v>
      </c>
      <c r="BJ722" s="218">
        <f t="shared" si="77"/>
        <v>3773338.190391554</v>
      </c>
      <c r="BK722" s="217">
        <f t="shared" si="80"/>
        <v>1000</v>
      </c>
    </row>
    <row r="723" spans="8:63" s="215" customFormat="1">
      <c r="H723" s="211"/>
      <c r="I723" s="211"/>
      <c r="J723" s="211"/>
      <c r="K723" s="211"/>
      <c r="L723" s="211"/>
      <c r="M723" s="211"/>
      <c r="BF723" s="215">
        <v>674</v>
      </c>
      <c r="BG723" s="218">
        <f t="shared" si="78"/>
        <v>340679533.76106602</v>
      </c>
      <c r="BH723" s="215">
        <v>674</v>
      </c>
      <c r="BI723" s="219">
        <f t="shared" si="79"/>
        <v>1.12E-2</v>
      </c>
      <c r="BJ723" s="218">
        <f t="shared" si="77"/>
        <v>3815610.7781239394</v>
      </c>
      <c r="BK723" s="217">
        <f t="shared" si="80"/>
        <v>1000</v>
      </c>
    </row>
    <row r="724" spans="8:63" s="215" customFormat="1">
      <c r="H724" s="211"/>
      <c r="I724" s="211"/>
      <c r="J724" s="211"/>
      <c r="K724" s="211"/>
      <c r="L724" s="211"/>
      <c r="M724" s="211"/>
      <c r="BF724" s="215">
        <v>675</v>
      </c>
      <c r="BG724" s="218">
        <f t="shared" si="78"/>
        <v>344496144.53918993</v>
      </c>
      <c r="BH724" s="215">
        <v>675</v>
      </c>
      <c r="BI724" s="219">
        <f t="shared" si="79"/>
        <v>1.12E-2</v>
      </c>
      <c r="BJ724" s="218">
        <f t="shared" si="77"/>
        <v>3858356.8188389274</v>
      </c>
      <c r="BK724" s="217">
        <f t="shared" si="80"/>
        <v>1000</v>
      </c>
    </row>
    <row r="725" spans="8:63" s="215" customFormat="1">
      <c r="H725" s="211"/>
      <c r="I725" s="211"/>
      <c r="J725" s="211"/>
      <c r="K725" s="211"/>
      <c r="L725" s="211"/>
      <c r="M725" s="211"/>
      <c r="BF725" s="215">
        <v>676</v>
      </c>
      <c r="BG725" s="218">
        <f t="shared" si="78"/>
        <v>348355501.35802889</v>
      </c>
      <c r="BH725" s="215">
        <v>676</v>
      </c>
      <c r="BI725" s="219">
        <f t="shared" si="79"/>
        <v>1.12E-2</v>
      </c>
      <c r="BJ725" s="218">
        <f t="shared" si="77"/>
        <v>3901581.6152099236</v>
      </c>
      <c r="BK725" s="217">
        <f t="shared" si="80"/>
        <v>1000</v>
      </c>
    </row>
    <row r="726" spans="8:63" s="215" customFormat="1">
      <c r="H726" s="211"/>
      <c r="I726" s="211"/>
      <c r="J726" s="211"/>
      <c r="K726" s="211"/>
      <c r="L726" s="211"/>
      <c r="M726" s="211"/>
      <c r="BF726" s="215">
        <v>677</v>
      </c>
      <c r="BG726" s="218">
        <f t="shared" si="78"/>
        <v>352258082.97323883</v>
      </c>
      <c r="BH726" s="215">
        <v>677</v>
      </c>
      <c r="BI726" s="219">
        <f t="shared" si="79"/>
        <v>1.12E-2</v>
      </c>
      <c r="BJ726" s="218">
        <f t="shared" si="77"/>
        <v>3945290.5293002748</v>
      </c>
      <c r="BK726" s="217">
        <f t="shared" si="80"/>
        <v>1000</v>
      </c>
    </row>
    <row r="727" spans="8:63" s="215" customFormat="1">
      <c r="H727" s="211"/>
      <c r="I727" s="211"/>
      <c r="J727" s="211"/>
      <c r="K727" s="211"/>
      <c r="L727" s="211"/>
      <c r="M727" s="211"/>
      <c r="BF727" s="215">
        <v>678</v>
      </c>
      <c r="BG727" s="218">
        <f t="shared" si="78"/>
        <v>356204373.5025391</v>
      </c>
      <c r="BH727" s="215">
        <v>678</v>
      </c>
      <c r="BI727" s="219">
        <f t="shared" si="79"/>
        <v>1.12E-2</v>
      </c>
      <c r="BJ727" s="218">
        <f t="shared" si="77"/>
        <v>3989488.9832284381</v>
      </c>
      <c r="BK727" s="217">
        <f t="shared" si="80"/>
        <v>1000</v>
      </c>
    </row>
    <row r="728" spans="8:63" s="215" customFormat="1">
      <c r="H728" s="211"/>
      <c r="I728" s="211"/>
      <c r="J728" s="211"/>
      <c r="K728" s="211"/>
      <c r="L728" s="211"/>
      <c r="M728" s="211"/>
      <c r="BF728" s="215">
        <v>679</v>
      </c>
      <c r="BG728" s="218">
        <f t="shared" si="78"/>
        <v>360194862.48576754</v>
      </c>
      <c r="BH728" s="215">
        <v>679</v>
      </c>
      <c r="BI728" s="219">
        <f t="shared" si="79"/>
        <v>1.12E-2</v>
      </c>
      <c r="BJ728" s="218">
        <f t="shared" si="77"/>
        <v>4034182.4598405967</v>
      </c>
      <c r="BK728" s="217">
        <f t="shared" si="80"/>
        <v>1000</v>
      </c>
    </row>
    <row r="729" spans="8:63" s="215" customFormat="1">
      <c r="H729" s="211"/>
      <c r="I729" s="211"/>
      <c r="J729" s="211"/>
      <c r="K729" s="211"/>
      <c r="L729" s="211"/>
      <c r="M729" s="211"/>
      <c r="BF729" s="215">
        <v>680</v>
      </c>
      <c r="BG729" s="218">
        <f t="shared" si="78"/>
        <v>364230044.94560814</v>
      </c>
      <c r="BH729" s="215">
        <v>680</v>
      </c>
      <c r="BI729" s="219">
        <f t="shared" si="79"/>
        <v>1.12E-2</v>
      </c>
      <c r="BJ729" s="218">
        <f t="shared" si="77"/>
        <v>4079376.5033908109</v>
      </c>
      <c r="BK729" s="217">
        <f t="shared" si="80"/>
        <v>1000</v>
      </c>
    </row>
    <row r="730" spans="8:63" s="215" customFormat="1">
      <c r="H730" s="211"/>
      <c r="I730" s="211"/>
      <c r="J730" s="211"/>
      <c r="K730" s="211"/>
      <c r="L730" s="211"/>
      <c r="M730" s="211"/>
      <c r="BF730" s="215">
        <v>681</v>
      </c>
      <c r="BG730" s="218">
        <f t="shared" si="78"/>
        <v>368310421.44899893</v>
      </c>
      <c r="BH730" s="215">
        <v>681</v>
      </c>
      <c r="BI730" s="219">
        <f t="shared" si="79"/>
        <v>1.12E-2</v>
      </c>
      <c r="BJ730" s="218">
        <f t="shared" si="77"/>
        <v>4125076.720228788</v>
      </c>
      <c r="BK730" s="217">
        <f t="shared" si="80"/>
        <v>1000</v>
      </c>
    </row>
    <row r="731" spans="8:63" s="215" customFormat="1">
      <c r="H731" s="211"/>
      <c r="I731" s="211"/>
      <c r="J731" s="211"/>
      <c r="K731" s="211"/>
      <c r="L731" s="211"/>
      <c r="M731" s="211"/>
      <c r="BF731" s="215">
        <v>682</v>
      </c>
      <c r="BG731" s="218">
        <f t="shared" si="78"/>
        <v>372436498.16922772</v>
      </c>
      <c r="BH731" s="215">
        <v>682</v>
      </c>
      <c r="BI731" s="219">
        <f t="shared" si="79"/>
        <v>1.12E-2</v>
      </c>
      <c r="BJ731" s="218">
        <f t="shared" si="77"/>
        <v>4171288.7794953506</v>
      </c>
      <c r="BK731" s="217">
        <f t="shared" si="80"/>
        <v>1000</v>
      </c>
    </row>
    <row r="732" spans="8:63" s="215" customFormat="1">
      <c r="H732" s="211"/>
      <c r="I732" s="211"/>
      <c r="J732" s="211"/>
      <c r="K732" s="211"/>
      <c r="L732" s="211"/>
      <c r="M732" s="211"/>
      <c r="BF732" s="215">
        <v>683</v>
      </c>
      <c r="BG732" s="218">
        <f t="shared" si="78"/>
        <v>376608786.94872308</v>
      </c>
      <c r="BH732" s="215">
        <v>683</v>
      </c>
      <c r="BI732" s="219">
        <f t="shared" si="79"/>
        <v>1.12E-2</v>
      </c>
      <c r="BJ732" s="218">
        <f t="shared" si="77"/>
        <v>4218018.4138256982</v>
      </c>
      <c r="BK732" s="217">
        <f t="shared" si="80"/>
        <v>1000</v>
      </c>
    </row>
    <row r="733" spans="8:63" s="215" customFormat="1">
      <c r="H733" s="211"/>
      <c r="I733" s="211"/>
      <c r="J733" s="211"/>
      <c r="K733" s="211"/>
      <c r="L733" s="211"/>
      <c r="M733" s="211"/>
      <c r="BF733" s="215">
        <v>684</v>
      </c>
      <c r="BG733" s="218">
        <f t="shared" si="78"/>
        <v>380827805.36254877</v>
      </c>
      <c r="BH733" s="215">
        <v>684</v>
      </c>
      <c r="BI733" s="219">
        <f t="shared" si="79"/>
        <v>1.12E-2</v>
      </c>
      <c r="BJ733" s="218">
        <f t="shared" si="77"/>
        <v>4265271.4200605461</v>
      </c>
      <c r="BK733" s="217">
        <f t="shared" si="80"/>
        <v>1000</v>
      </c>
    </row>
    <row r="734" spans="8:63" s="215" customFormat="1">
      <c r="H734" s="211"/>
      <c r="I734" s="211"/>
      <c r="J734" s="211"/>
      <c r="K734" s="211"/>
      <c r="L734" s="211"/>
      <c r="M734" s="211"/>
      <c r="BF734" s="215">
        <v>685</v>
      </c>
      <c r="BG734" s="218">
        <f t="shared" si="78"/>
        <v>385094076.78260934</v>
      </c>
      <c r="BH734" s="215">
        <v>685</v>
      </c>
      <c r="BI734" s="219">
        <f t="shared" si="79"/>
        <v>1.12E-2</v>
      </c>
      <c r="BJ734" s="218">
        <f t="shared" si="77"/>
        <v>4313053.6599652246</v>
      </c>
      <c r="BK734" s="217">
        <f t="shared" si="80"/>
        <v>1000</v>
      </c>
    </row>
    <row r="735" spans="8:63" s="215" customFormat="1">
      <c r="H735" s="211"/>
      <c r="I735" s="211"/>
      <c r="J735" s="211"/>
      <c r="K735" s="211"/>
      <c r="L735" s="211"/>
      <c r="M735" s="211"/>
      <c r="BF735" s="215">
        <v>686</v>
      </c>
      <c r="BG735" s="218">
        <f t="shared" si="78"/>
        <v>389408130.44257456</v>
      </c>
      <c r="BH735" s="215">
        <v>686</v>
      </c>
      <c r="BI735" s="219">
        <f t="shared" si="79"/>
        <v>1.12E-2</v>
      </c>
      <c r="BJ735" s="218">
        <f t="shared" si="77"/>
        <v>4361371.0609568348</v>
      </c>
      <c r="BK735" s="217">
        <f t="shared" si="80"/>
        <v>1000</v>
      </c>
    </row>
    <row r="736" spans="8:63" s="215" customFormat="1">
      <c r="H736" s="211"/>
      <c r="I736" s="211"/>
      <c r="J736" s="211"/>
      <c r="K736" s="211"/>
      <c r="L736" s="211"/>
      <c r="M736" s="211"/>
      <c r="BF736" s="215">
        <v>687</v>
      </c>
      <c r="BG736" s="218">
        <f t="shared" si="78"/>
        <v>393770501.5035314</v>
      </c>
      <c r="BH736" s="215">
        <v>687</v>
      </c>
      <c r="BI736" s="219">
        <f t="shared" si="79"/>
        <v>1.12E-2</v>
      </c>
      <c r="BJ736" s="218">
        <f t="shared" si="77"/>
        <v>4410229.6168395514</v>
      </c>
      <c r="BK736" s="217">
        <f t="shared" si="80"/>
        <v>1000</v>
      </c>
    </row>
    <row r="737" spans="8:63" s="215" customFormat="1">
      <c r="H737" s="211"/>
      <c r="I737" s="211"/>
      <c r="J737" s="211"/>
      <c r="K737" s="211"/>
      <c r="L737" s="211"/>
      <c r="M737" s="211"/>
      <c r="BF737" s="215">
        <v>688</v>
      </c>
      <c r="BG737" s="218">
        <f t="shared" si="78"/>
        <v>398181731.12037092</v>
      </c>
      <c r="BH737" s="215">
        <v>688</v>
      </c>
      <c r="BI737" s="219">
        <f t="shared" si="79"/>
        <v>1.12E-2</v>
      </c>
      <c r="BJ737" s="218">
        <f t="shared" si="77"/>
        <v>4459635.3885481544</v>
      </c>
      <c r="BK737" s="217">
        <f t="shared" si="80"/>
        <v>1000</v>
      </c>
    </row>
    <row r="738" spans="8:63" s="215" customFormat="1">
      <c r="H738" s="211"/>
      <c r="I738" s="211"/>
      <c r="J738" s="211"/>
      <c r="K738" s="211"/>
      <c r="L738" s="211"/>
      <c r="M738" s="211"/>
      <c r="BF738" s="215">
        <v>689</v>
      </c>
      <c r="BG738" s="218">
        <f t="shared" si="78"/>
        <v>402642366.50891906</v>
      </c>
      <c r="BH738" s="215">
        <v>689</v>
      </c>
      <c r="BI738" s="219">
        <f t="shared" si="79"/>
        <v>1.12E-2</v>
      </c>
      <c r="BJ738" s="218">
        <f t="shared" si="77"/>
        <v>4509594.5048998939</v>
      </c>
      <c r="BK738" s="217">
        <f t="shared" si="80"/>
        <v>1000</v>
      </c>
    </row>
    <row r="739" spans="8:63" s="215" customFormat="1">
      <c r="H739" s="211"/>
      <c r="I739" s="211"/>
      <c r="J739" s="211"/>
      <c r="K739" s="211"/>
      <c r="L739" s="211"/>
      <c r="M739" s="211"/>
      <c r="BF739" s="215">
        <v>690</v>
      </c>
      <c r="BG739" s="218">
        <f t="shared" si="78"/>
        <v>407152961.01381898</v>
      </c>
      <c r="BH739" s="215">
        <v>690</v>
      </c>
      <c r="BI739" s="219">
        <f t="shared" si="79"/>
        <v>1.12E-2</v>
      </c>
      <c r="BJ739" s="218">
        <f t="shared" si="77"/>
        <v>4560113.1633547721</v>
      </c>
      <c r="BK739" s="217">
        <f t="shared" si="80"/>
        <v>1000</v>
      </c>
    </row>
    <row r="740" spans="8:63" s="215" customFormat="1">
      <c r="H740" s="211"/>
      <c r="I740" s="211"/>
      <c r="J740" s="211"/>
      <c r="K740" s="211"/>
      <c r="L740" s="211"/>
      <c r="M740" s="211"/>
      <c r="BF740" s="215">
        <v>691</v>
      </c>
      <c r="BG740" s="218">
        <f t="shared" si="78"/>
        <v>411714074.17717373</v>
      </c>
      <c r="BH740" s="215">
        <v>691</v>
      </c>
      <c r="BI740" s="219">
        <f t="shared" si="79"/>
        <v>1.12E-2</v>
      </c>
      <c r="BJ740" s="218">
        <f t="shared" si="77"/>
        <v>4611197.6307843458</v>
      </c>
      <c r="BK740" s="217">
        <f t="shared" si="80"/>
        <v>1000</v>
      </c>
    </row>
    <row r="741" spans="8:63" s="215" customFormat="1">
      <c r="H741" s="211"/>
      <c r="I741" s="211"/>
      <c r="J741" s="211"/>
      <c r="K741" s="211"/>
      <c r="L741" s="211"/>
      <c r="M741" s="211"/>
      <c r="BF741" s="215">
        <v>692</v>
      </c>
      <c r="BG741" s="218">
        <f t="shared" si="78"/>
        <v>416326271.80795807</v>
      </c>
      <c r="BH741" s="215">
        <v>692</v>
      </c>
      <c r="BI741" s="219">
        <f t="shared" si="79"/>
        <v>1.12E-2</v>
      </c>
      <c r="BJ741" s="218">
        <f t="shared" si="77"/>
        <v>4662854.2442491306</v>
      </c>
      <c r="BK741" s="217">
        <f t="shared" si="80"/>
        <v>1000</v>
      </c>
    </row>
    <row r="742" spans="8:63" s="215" customFormat="1">
      <c r="H742" s="211"/>
      <c r="I742" s="211"/>
      <c r="J742" s="211"/>
      <c r="K742" s="211"/>
      <c r="L742" s="211"/>
      <c r="M742" s="211"/>
      <c r="BF742" s="215">
        <v>693</v>
      </c>
      <c r="BG742" s="218">
        <f t="shared" si="78"/>
        <v>420990126.05220717</v>
      </c>
      <c r="BH742" s="215">
        <v>693</v>
      </c>
      <c r="BI742" s="219">
        <f t="shared" si="79"/>
        <v>1.12E-2</v>
      </c>
      <c r="BJ742" s="218">
        <f t="shared" si="77"/>
        <v>4715089.4117847206</v>
      </c>
      <c r="BK742" s="217">
        <f t="shared" si="80"/>
        <v>1000</v>
      </c>
    </row>
    <row r="743" spans="8:63" s="215" customFormat="1">
      <c r="H743" s="211"/>
      <c r="I743" s="211"/>
      <c r="J743" s="211"/>
      <c r="K743" s="211"/>
      <c r="L743" s="211"/>
      <c r="M743" s="211"/>
      <c r="BF743" s="215">
        <v>694</v>
      </c>
      <c r="BG743" s="218">
        <f t="shared" si="78"/>
        <v>425706215.46399188</v>
      </c>
      <c r="BH743" s="215">
        <v>694</v>
      </c>
      <c r="BI743" s="219">
        <f t="shared" si="79"/>
        <v>1.12E-2</v>
      </c>
      <c r="BJ743" s="218">
        <f t="shared" si="77"/>
        <v>4767909.6131967092</v>
      </c>
      <c r="BK743" s="217">
        <f t="shared" si="80"/>
        <v>1000</v>
      </c>
    </row>
    <row r="744" spans="8:63" s="215" customFormat="1">
      <c r="H744" s="211"/>
      <c r="I744" s="211"/>
      <c r="J744" s="211"/>
      <c r="K744" s="211"/>
      <c r="L744" s="211"/>
      <c r="M744" s="211"/>
      <c r="BF744" s="215">
        <v>695</v>
      </c>
      <c r="BG744" s="218">
        <f t="shared" si="78"/>
        <v>430475125.07718861</v>
      </c>
      <c r="BH744" s="215">
        <v>695</v>
      </c>
      <c r="BI744" s="219">
        <f t="shared" si="79"/>
        <v>1.12E-2</v>
      </c>
      <c r="BJ744" s="218">
        <f t="shared" si="77"/>
        <v>4821321.4008645127</v>
      </c>
      <c r="BK744" s="217">
        <f t="shared" si="80"/>
        <v>1000</v>
      </c>
    </row>
    <row r="745" spans="8:63" s="215" customFormat="1">
      <c r="H745" s="211"/>
      <c r="I745" s="211"/>
      <c r="J745" s="211"/>
      <c r="K745" s="211"/>
      <c r="L745" s="211"/>
      <c r="M745" s="211"/>
      <c r="BF745" s="215">
        <v>696</v>
      </c>
      <c r="BG745" s="218">
        <f t="shared" si="78"/>
        <v>435297446.47805315</v>
      </c>
      <c r="BH745" s="215">
        <v>696</v>
      </c>
      <c r="BI745" s="219">
        <f t="shared" si="79"/>
        <v>1.12E-2</v>
      </c>
      <c r="BJ745" s="218">
        <f t="shared" si="77"/>
        <v>4875331.400554195</v>
      </c>
      <c r="BK745" s="217">
        <f t="shared" si="80"/>
        <v>1000</v>
      </c>
    </row>
    <row r="746" spans="8:63" s="215" customFormat="1">
      <c r="H746" s="211"/>
      <c r="I746" s="211"/>
      <c r="J746" s="211"/>
      <c r="K746" s="211"/>
      <c r="L746" s="211"/>
      <c r="M746" s="211"/>
      <c r="BF746" s="215">
        <v>697</v>
      </c>
      <c r="BG746" s="218">
        <f t="shared" si="78"/>
        <v>440173777.87860733</v>
      </c>
      <c r="BH746" s="215">
        <v>697</v>
      </c>
      <c r="BI746" s="219">
        <f t="shared" si="79"/>
        <v>1.12E-2</v>
      </c>
      <c r="BJ746" s="218">
        <f t="shared" si="77"/>
        <v>4929946.3122404022</v>
      </c>
      <c r="BK746" s="217">
        <f t="shared" si="80"/>
        <v>1000</v>
      </c>
    </row>
    <row r="747" spans="8:63" s="215" customFormat="1">
      <c r="H747" s="211"/>
      <c r="I747" s="211"/>
      <c r="J747" s="211"/>
      <c r="K747" s="211"/>
      <c r="L747" s="211"/>
      <c r="M747" s="211"/>
      <c r="BF747" s="215">
        <v>698</v>
      </c>
      <c r="BG747" s="218">
        <f t="shared" si="78"/>
        <v>445104724.19084775</v>
      </c>
      <c r="BH747" s="215">
        <v>698</v>
      </c>
      <c r="BI747" s="219">
        <f t="shared" si="79"/>
        <v>1.12E-2</v>
      </c>
      <c r="BJ747" s="218">
        <f t="shared" si="77"/>
        <v>4985172.9109374946</v>
      </c>
      <c r="BK747" s="217">
        <f t="shared" si="80"/>
        <v>1000</v>
      </c>
    </row>
    <row r="748" spans="8:63" s="215" customFormat="1">
      <c r="H748" s="211"/>
      <c r="I748" s="211"/>
      <c r="J748" s="211"/>
      <c r="K748" s="211"/>
      <c r="L748" s="211"/>
      <c r="M748" s="211"/>
      <c r="BF748" s="215">
        <v>699</v>
      </c>
      <c r="BG748" s="218">
        <f t="shared" si="78"/>
        <v>450090897.10178524</v>
      </c>
      <c r="BH748" s="215">
        <v>699</v>
      </c>
      <c r="BI748" s="219">
        <f t="shared" si="79"/>
        <v>1.12E-2</v>
      </c>
      <c r="BJ748" s="218">
        <f t="shared" si="77"/>
        <v>5041018.0475399951</v>
      </c>
      <c r="BK748" s="217">
        <f t="shared" si="80"/>
        <v>1000</v>
      </c>
    </row>
    <row r="749" spans="8:63" s="215" customFormat="1">
      <c r="H749" s="211"/>
      <c r="I749" s="211"/>
      <c r="J749" s="211"/>
      <c r="K749" s="211"/>
      <c r="L749" s="211"/>
      <c r="M749" s="211"/>
      <c r="BF749" s="215">
        <v>700</v>
      </c>
      <c r="BG749" s="218">
        <f t="shared" si="78"/>
        <v>455132915.14932525</v>
      </c>
      <c r="BH749" s="215">
        <v>700</v>
      </c>
      <c r="BI749" s="219">
        <f t="shared" si="79"/>
        <v>1.12E-2</v>
      </c>
      <c r="BJ749" s="218">
        <f t="shared" si="77"/>
        <v>5097488.649672443</v>
      </c>
      <c r="BK749" s="217">
        <f t="shared" si="80"/>
        <v>1000</v>
      </c>
    </row>
    <row r="750" spans="8:63" s="215" customFormat="1">
      <c r="H750" s="211"/>
      <c r="I750" s="211"/>
      <c r="J750" s="211"/>
      <c r="K750" s="211"/>
      <c r="L750" s="211"/>
      <c r="M750" s="211"/>
      <c r="BF750" s="215">
        <v>701</v>
      </c>
      <c r="BG750" s="218">
        <f t="shared" si="78"/>
        <v>460231403.7989977</v>
      </c>
      <c r="BH750" s="215">
        <v>701</v>
      </c>
      <c r="BI750" s="219">
        <f t="shared" si="79"/>
        <v>1.12E-2</v>
      </c>
      <c r="BJ750" s="218">
        <f t="shared" si="77"/>
        <v>5154591.7225487744</v>
      </c>
      <c r="BK750" s="217">
        <f t="shared" si="80"/>
        <v>1000</v>
      </c>
    </row>
    <row r="751" spans="8:63" s="215" customFormat="1">
      <c r="H751" s="211"/>
      <c r="I751" s="211"/>
      <c r="J751" s="211"/>
      <c r="K751" s="211"/>
      <c r="L751" s="211"/>
      <c r="M751" s="211"/>
      <c r="BF751" s="215">
        <v>702</v>
      </c>
      <c r="BG751" s="218">
        <f t="shared" si="78"/>
        <v>465386995.52154648</v>
      </c>
      <c r="BH751" s="215">
        <v>702</v>
      </c>
      <c r="BI751" s="219">
        <f t="shared" si="79"/>
        <v>1.12E-2</v>
      </c>
      <c r="BJ751" s="218">
        <f t="shared" si="77"/>
        <v>5212334.3498413209</v>
      </c>
      <c r="BK751" s="217">
        <f t="shared" si="80"/>
        <v>1000</v>
      </c>
    </row>
    <row r="752" spans="8:63" s="215" customFormat="1">
      <c r="H752" s="211"/>
      <c r="I752" s="211"/>
      <c r="J752" s="211"/>
      <c r="K752" s="211"/>
      <c r="L752" s="211"/>
      <c r="M752" s="211"/>
      <c r="BF752" s="215">
        <v>703</v>
      </c>
      <c r="BG752" s="218">
        <f t="shared" si="78"/>
        <v>470600329.87138778</v>
      </c>
      <c r="BH752" s="215">
        <v>703</v>
      </c>
      <c r="BI752" s="219">
        <f t="shared" si="79"/>
        <v>1.12E-2</v>
      </c>
      <c r="BJ752" s="218">
        <f t="shared" si="77"/>
        <v>5270723.6945595434</v>
      </c>
      <c r="BK752" s="217">
        <f t="shared" si="80"/>
        <v>1000</v>
      </c>
    </row>
    <row r="753" spans="8:63" s="215" customFormat="1">
      <c r="H753" s="211"/>
      <c r="I753" s="211"/>
      <c r="J753" s="211"/>
      <c r="K753" s="211"/>
      <c r="L753" s="211"/>
      <c r="M753" s="211"/>
      <c r="BF753" s="215">
        <v>704</v>
      </c>
      <c r="BG753" s="218">
        <f t="shared" si="78"/>
        <v>475872053.56594729</v>
      </c>
      <c r="BH753" s="215">
        <v>704</v>
      </c>
      <c r="BI753" s="219">
        <f t="shared" si="79"/>
        <v>1.12E-2</v>
      </c>
      <c r="BJ753" s="218">
        <f t="shared" si="77"/>
        <v>5329766.99993861</v>
      </c>
      <c r="BK753" s="217">
        <f t="shared" si="80"/>
        <v>1000</v>
      </c>
    </row>
    <row r="754" spans="8:63" s="215" customFormat="1">
      <c r="H754" s="211"/>
      <c r="I754" s="211"/>
      <c r="J754" s="211"/>
      <c r="K754" s="211"/>
      <c r="L754" s="211"/>
      <c r="M754" s="211"/>
      <c r="BF754" s="215">
        <v>705</v>
      </c>
      <c r="BG754" s="218">
        <f t="shared" si="78"/>
        <v>481202820.5658859</v>
      </c>
      <c r="BH754" s="215">
        <v>705</v>
      </c>
      <c r="BI754" s="219">
        <f t="shared" si="79"/>
        <v>1.12E-2</v>
      </c>
      <c r="BJ754" s="218">
        <f t="shared" ref="BJ754:BJ817" si="81">BG754*BI754</f>
        <v>5389471.5903379219</v>
      </c>
      <c r="BK754" s="217">
        <f t="shared" si="80"/>
        <v>1000</v>
      </c>
    </row>
    <row r="755" spans="8:63" s="215" customFormat="1">
      <c r="H755" s="211"/>
      <c r="I755" s="211"/>
      <c r="J755" s="211"/>
      <c r="K755" s="211"/>
      <c r="L755" s="211"/>
      <c r="M755" s="211"/>
      <c r="BF755" s="215">
        <v>706</v>
      </c>
      <c r="BG755" s="218">
        <f t="shared" ref="BG755:BG818" si="82">BG754+BJ754+BK755</f>
        <v>486593292.15622383</v>
      </c>
      <c r="BH755" s="215">
        <v>706</v>
      </c>
      <c r="BI755" s="219">
        <f t="shared" ref="BI755:BI818" si="83">BI754</f>
        <v>1.12E-2</v>
      </c>
      <c r="BJ755" s="218">
        <f t="shared" si="81"/>
        <v>5449844.8721497068</v>
      </c>
      <c r="BK755" s="217">
        <f t="shared" ref="BK755:BK818" si="84">BK754</f>
        <v>1000</v>
      </c>
    </row>
    <row r="756" spans="8:63" s="215" customFormat="1">
      <c r="H756" s="211"/>
      <c r="I756" s="211"/>
      <c r="J756" s="211"/>
      <c r="K756" s="211"/>
      <c r="L756" s="211"/>
      <c r="M756" s="211"/>
      <c r="BF756" s="215">
        <v>707</v>
      </c>
      <c r="BG756" s="218">
        <f t="shared" si="82"/>
        <v>492044137.02837354</v>
      </c>
      <c r="BH756" s="215">
        <v>707</v>
      </c>
      <c r="BI756" s="219">
        <f t="shared" si="83"/>
        <v>1.12E-2</v>
      </c>
      <c r="BJ756" s="218">
        <f t="shared" si="81"/>
        <v>5510894.3347177831</v>
      </c>
      <c r="BK756" s="217">
        <f t="shared" si="84"/>
        <v>1000</v>
      </c>
    </row>
    <row r="757" spans="8:63" s="215" customFormat="1">
      <c r="H757" s="211"/>
      <c r="I757" s="211"/>
      <c r="J757" s="211"/>
      <c r="K757" s="211"/>
      <c r="L757" s="211"/>
      <c r="M757" s="211"/>
      <c r="BF757" s="215">
        <v>708</v>
      </c>
      <c r="BG757" s="218">
        <f t="shared" si="82"/>
        <v>497556031.36309135</v>
      </c>
      <c r="BH757" s="215">
        <v>708</v>
      </c>
      <c r="BI757" s="219">
        <f t="shared" si="83"/>
        <v>1.12E-2</v>
      </c>
      <c r="BJ757" s="218">
        <f t="shared" si="81"/>
        <v>5572627.5512666227</v>
      </c>
      <c r="BK757" s="217">
        <f t="shared" si="84"/>
        <v>1000</v>
      </c>
    </row>
    <row r="758" spans="8:63" s="215" customFormat="1">
      <c r="H758" s="211"/>
      <c r="I758" s="211"/>
      <c r="J758" s="211"/>
      <c r="K758" s="211"/>
      <c r="L758" s="211"/>
      <c r="M758" s="211"/>
      <c r="BF758" s="215">
        <v>709</v>
      </c>
      <c r="BG758" s="218">
        <f t="shared" si="82"/>
        <v>503129658.91435796</v>
      </c>
      <c r="BH758" s="215">
        <v>709</v>
      </c>
      <c r="BI758" s="219">
        <f t="shared" si="83"/>
        <v>1.12E-2</v>
      </c>
      <c r="BJ758" s="218">
        <f t="shared" si="81"/>
        <v>5635052.1798408087</v>
      </c>
      <c r="BK758" s="217">
        <f t="shared" si="84"/>
        <v>1000</v>
      </c>
    </row>
    <row r="759" spans="8:63" s="215" customFormat="1">
      <c r="H759" s="211"/>
      <c r="I759" s="211"/>
      <c r="J759" s="211"/>
      <c r="K759" s="211"/>
      <c r="L759" s="211"/>
      <c r="M759" s="211"/>
      <c r="BF759" s="215">
        <v>710</v>
      </c>
      <c r="BG759" s="218">
        <f t="shared" si="82"/>
        <v>508765711.09419876</v>
      </c>
      <c r="BH759" s="215">
        <v>710</v>
      </c>
      <c r="BI759" s="219">
        <f t="shared" si="83"/>
        <v>1.12E-2</v>
      </c>
      <c r="BJ759" s="218">
        <f t="shared" si="81"/>
        <v>5698175.9642550265</v>
      </c>
      <c r="BK759" s="217">
        <f t="shared" si="84"/>
        <v>1000</v>
      </c>
    </row>
    <row r="760" spans="8:63" s="215" customFormat="1">
      <c r="H760" s="211"/>
      <c r="I760" s="211"/>
      <c r="J760" s="211"/>
      <c r="K760" s="211"/>
      <c r="L760" s="211"/>
      <c r="M760" s="211"/>
      <c r="BF760" s="215">
        <v>711</v>
      </c>
      <c r="BG760" s="218">
        <f t="shared" si="82"/>
        <v>514464887.0584538</v>
      </c>
      <c r="BH760" s="215">
        <v>711</v>
      </c>
      <c r="BI760" s="219">
        <f t="shared" si="83"/>
        <v>1.12E-2</v>
      </c>
      <c r="BJ760" s="218">
        <f t="shared" si="81"/>
        <v>5762006.7350546829</v>
      </c>
      <c r="BK760" s="217">
        <f t="shared" si="84"/>
        <v>1000</v>
      </c>
    </row>
    <row r="761" spans="8:63" s="215" customFormat="1">
      <c r="H761" s="211"/>
      <c r="I761" s="211"/>
      <c r="J761" s="211"/>
      <c r="K761" s="211"/>
      <c r="L761" s="211"/>
      <c r="M761" s="211"/>
      <c r="BF761" s="215">
        <v>712</v>
      </c>
      <c r="BG761" s="218">
        <f t="shared" si="82"/>
        <v>520227893.79350847</v>
      </c>
      <c r="BH761" s="215">
        <v>712</v>
      </c>
      <c r="BI761" s="219">
        <f t="shared" si="83"/>
        <v>1.12E-2</v>
      </c>
      <c r="BJ761" s="218">
        <f t="shared" si="81"/>
        <v>5826552.4104872951</v>
      </c>
      <c r="BK761" s="217">
        <f t="shared" si="84"/>
        <v>1000</v>
      </c>
    </row>
    <row r="762" spans="8:63" s="215" customFormat="1">
      <c r="H762" s="211"/>
      <c r="I762" s="211"/>
      <c r="J762" s="211"/>
      <c r="K762" s="211"/>
      <c r="L762" s="211"/>
      <c r="M762" s="211"/>
      <c r="BF762" s="215">
        <v>713</v>
      </c>
      <c r="BG762" s="218">
        <f t="shared" si="82"/>
        <v>526055446.20399576</v>
      </c>
      <c r="BH762" s="215">
        <v>713</v>
      </c>
      <c r="BI762" s="219">
        <f t="shared" si="83"/>
        <v>1.12E-2</v>
      </c>
      <c r="BJ762" s="218">
        <f t="shared" si="81"/>
        <v>5891820.9974847529</v>
      </c>
      <c r="BK762" s="217">
        <f t="shared" si="84"/>
        <v>1000</v>
      </c>
    </row>
    <row r="763" spans="8:63" s="215" customFormat="1">
      <c r="H763" s="211"/>
      <c r="I763" s="211"/>
      <c r="J763" s="211"/>
      <c r="K763" s="211"/>
      <c r="L763" s="211"/>
      <c r="M763" s="211"/>
      <c r="BF763" s="215">
        <v>714</v>
      </c>
      <c r="BG763" s="218">
        <f t="shared" si="82"/>
        <v>531948267.20148051</v>
      </c>
      <c r="BH763" s="215">
        <v>714</v>
      </c>
      <c r="BI763" s="219">
        <f t="shared" si="83"/>
        <v>1.12E-2</v>
      </c>
      <c r="BJ763" s="218">
        <f t="shared" si="81"/>
        <v>5957820.5926565817</v>
      </c>
      <c r="BK763" s="217">
        <f t="shared" si="84"/>
        <v>1000</v>
      </c>
    </row>
    <row r="764" spans="8:63" s="215" customFormat="1">
      <c r="H764" s="211"/>
      <c r="I764" s="211"/>
      <c r="J764" s="211"/>
      <c r="K764" s="211"/>
      <c r="L764" s="211"/>
      <c r="M764" s="211"/>
      <c r="BF764" s="215">
        <v>715</v>
      </c>
      <c r="BG764" s="218">
        <f t="shared" si="82"/>
        <v>537907087.79413712</v>
      </c>
      <c r="BH764" s="215">
        <v>715</v>
      </c>
      <c r="BI764" s="219">
        <f t="shared" si="83"/>
        <v>1.12E-2</v>
      </c>
      <c r="BJ764" s="218">
        <f t="shared" si="81"/>
        <v>6024559.3832943356</v>
      </c>
      <c r="BK764" s="217">
        <f t="shared" si="84"/>
        <v>1000</v>
      </c>
    </row>
    <row r="765" spans="8:63" s="215" customFormat="1">
      <c r="H765" s="211"/>
      <c r="I765" s="211"/>
      <c r="J765" s="211"/>
      <c r="K765" s="211"/>
      <c r="L765" s="211"/>
      <c r="M765" s="211"/>
      <c r="BF765" s="215">
        <v>716</v>
      </c>
      <c r="BG765" s="218">
        <f t="shared" si="82"/>
        <v>543932647.17743146</v>
      </c>
      <c r="BH765" s="215">
        <v>716</v>
      </c>
      <c r="BI765" s="219">
        <f t="shared" si="83"/>
        <v>1.12E-2</v>
      </c>
      <c r="BJ765" s="218">
        <f t="shared" si="81"/>
        <v>6092045.6483872328</v>
      </c>
      <c r="BK765" s="217">
        <f t="shared" si="84"/>
        <v>1000</v>
      </c>
    </row>
    <row r="766" spans="8:63" s="215" customFormat="1">
      <c r="H766" s="211"/>
      <c r="I766" s="211"/>
      <c r="J766" s="211"/>
      <c r="K766" s="211"/>
      <c r="L766" s="211"/>
      <c r="M766" s="211"/>
      <c r="BF766" s="215">
        <v>717</v>
      </c>
      <c r="BG766" s="218">
        <f t="shared" si="82"/>
        <v>550025692.82581866</v>
      </c>
      <c r="BH766" s="215">
        <v>717</v>
      </c>
      <c r="BI766" s="219">
        <f t="shared" si="83"/>
        <v>1.12E-2</v>
      </c>
      <c r="BJ766" s="218">
        <f t="shared" si="81"/>
        <v>6160287.7596491687</v>
      </c>
      <c r="BK766" s="217">
        <f t="shared" si="84"/>
        <v>1000</v>
      </c>
    </row>
    <row r="767" spans="8:63" s="215" customFormat="1">
      <c r="H767" s="211"/>
      <c r="I767" s="211"/>
      <c r="J767" s="211"/>
      <c r="K767" s="211"/>
      <c r="L767" s="211"/>
      <c r="M767" s="211"/>
      <c r="BF767" s="215">
        <v>718</v>
      </c>
      <c r="BG767" s="218">
        <f t="shared" si="82"/>
        <v>556186980.58546782</v>
      </c>
      <c r="BH767" s="215">
        <v>718</v>
      </c>
      <c r="BI767" s="219">
        <f t="shared" si="83"/>
        <v>1.12E-2</v>
      </c>
      <c r="BJ767" s="218">
        <f t="shared" si="81"/>
        <v>6229294.1825572392</v>
      </c>
      <c r="BK767" s="217">
        <f t="shared" si="84"/>
        <v>1000</v>
      </c>
    </row>
    <row r="768" spans="8:63" s="215" customFormat="1">
      <c r="H768" s="211"/>
      <c r="I768" s="211"/>
      <c r="J768" s="211"/>
      <c r="K768" s="211"/>
      <c r="L768" s="211"/>
      <c r="M768" s="211"/>
      <c r="BF768" s="215">
        <v>719</v>
      </c>
      <c r="BG768" s="218">
        <f t="shared" si="82"/>
        <v>562417274.76802504</v>
      </c>
      <c r="BH768" s="215">
        <v>719</v>
      </c>
      <c r="BI768" s="219">
        <f t="shared" si="83"/>
        <v>1.12E-2</v>
      </c>
      <c r="BJ768" s="218">
        <f t="shared" si="81"/>
        <v>6299073.4774018805</v>
      </c>
      <c r="BK768" s="217">
        <f t="shared" si="84"/>
        <v>1000</v>
      </c>
    </row>
    <row r="769" spans="8:63" s="215" customFormat="1">
      <c r="H769" s="211"/>
      <c r="I769" s="211"/>
      <c r="J769" s="211"/>
      <c r="K769" s="211"/>
      <c r="L769" s="211"/>
      <c r="M769" s="211"/>
      <c r="BF769" s="215">
        <v>720</v>
      </c>
      <c r="BG769" s="218">
        <f t="shared" si="82"/>
        <v>568717348.24542689</v>
      </c>
      <c r="BH769" s="215">
        <v>720</v>
      </c>
      <c r="BI769" s="219">
        <f t="shared" si="83"/>
        <v>1.12E-2</v>
      </c>
      <c r="BJ769" s="218">
        <f t="shared" si="81"/>
        <v>6369634.300348781</v>
      </c>
      <c r="BK769" s="217">
        <f t="shared" si="84"/>
        <v>1000</v>
      </c>
    </row>
    <row r="770" spans="8:63" s="215" customFormat="1">
      <c r="H770" s="211"/>
      <c r="I770" s="211"/>
      <c r="J770" s="211"/>
      <c r="K770" s="211"/>
      <c r="L770" s="211"/>
      <c r="M770" s="211"/>
      <c r="BF770" s="215">
        <v>721</v>
      </c>
      <c r="BG770" s="218">
        <f t="shared" si="82"/>
        <v>575087982.54577565</v>
      </c>
      <c r="BH770" s="215">
        <v>721</v>
      </c>
      <c r="BI770" s="219">
        <f t="shared" si="83"/>
        <v>1.12E-2</v>
      </c>
      <c r="BJ770" s="218">
        <f t="shared" si="81"/>
        <v>6440985.4045126876</v>
      </c>
      <c r="BK770" s="217">
        <f t="shared" si="84"/>
        <v>1000</v>
      </c>
    </row>
    <row r="771" spans="8:63" s="215" customFormat="1">
      <c r="H771" s="211"/>
      <c r="I771" s="211"/>
      <c r="J771" s="211"/>
      <c r="K771" s="211"/>
      <c r="L771" s="211"/>
      <c r="M771" s="211"/>
      <c r="BF771" s="215">
        <v>722</v>
      </c>
      <c r="BG771" s="218">
        <f t="shared" si="82"/>
        <v>581529967.9502883</v>
      </c>
      <c r="BH771" s="215">
        <v>722</v>
      </c>
      <c r="BI771" s="219">
        <f t="shared" si="83"/>
        <v>1.12E-2</v>
      </c>
      <c r="BJ771" s="218">
        <f t="shared" si="81"/>
        <v>6513135.641043229</v>
      </c>
      <c r="BK771" s="217">
        <f t="shared" si="84"/>
        <v>1000</v>
      </c>
    </row>
    <row r="772" spans="8:63" s="215" customFormat="1">
      <c r="H772" s="211"/>
      <c r="I772" s="211"/>
      <c r="J772" s="211"/>
      <c r="K772" s="211"/>
      <c r="L772" s="211"/>
      <c r="M772" s="211"/>
      <c r="BF772" s="215">
        <v>723</v>
      </c>
      <c r="BG772" s="218">
        <f t="shared" si="82"/>
        <v>588044103.59133148</v>
      </c>
      <c r="BH772" s="215">
        <v>723</v>
      </c>
      <c r="BI772" s="219">
        <f t="shared" si="83"/>
        <v>1.12E-2</v>
      </c>
      <c r="BJ772" s="218">
        <f t="shared" si="81"/>
        <v>6586093.960222913</v>
      </c>
      <c r="BK772" s="217">
        <f t="shared" si="84"/>
        <v>1000</v>
      </c>
    </row>
    <row r="773" spans="8:63" s="215" customFormat="1">
      <c r="H773" s="211"/>
      <c r="I773" s="211"/>
      <c r="J773" s="211"/>
      <c r="K773" s="211"/>
      <c r="L773" s="211"/>
      <c r="M773" s="211"/>
      <c r="BF773" s="215">
        <v>724</v>
      </c>
      <c r="BG773" s="218">
        <f t="shared" si="82"/>
        <v>594631197.55155444</v>
      </c>
      <c r="BH773" s="215">
        <v>724</v>
      </c>
      <c r="BI773" s="219">
        <f t="shared" si="83"/>
        <v>1.12E-2</v>
      </c>
      <c r="BJ773" s="218">
        <f t="shared" si="81"/>
        <v>6659869.4125774093</v>
      </c>
      <c r="BK773" s="217">
        <f t="shared" si="84"/>
        <v>1000</v>
      </c>
    </row>
    <row r="774" spans="8:63" s="215" customFormat="1">
      <c r="H774" s="211"/>
      <c r="I774" s="211"/>
      <c r="J774" s="211"/>
      <c r="K774" s="211"/>
      <c r="L774" s="211"/>
      <c r="M774" s="211"/>
      <c r="BF774" s="215">
        <v>725</v>
      </c>
      <c r="BG774" s="218">
        <f t="shared" si="82"/>
        <v>601292066.96413183</v>
      </c>
      <c r="BH774" s="215">
        <v>725</v>
      </c>
      <c r="BI774" s="219">
        <f t="shared" si="83"/>
        <v>1.12E-2</v>
      </c>
      <c r="BJ774" s="218">
        <f t="shared" si="81"/>
        <v>6734471.1499982765</v>
      </c>
      <c r="BK774" s="217">
        <f t="shared" si="84"/>
        <v>1000</v>
      </c>
    </row>
    <row r="775" spans="8:63" s="215" customFormat="1">
      <c r="H775" s="211"/>
      <c r="I775" s="211"/>
      <c r="J775" s="211"/>
      <c r="K775" s="211"/>
      <c r="L775" s="211"/>
      <c r="M775" s="211"/>
      <c r="BF775" s="215">
        <v>726</v>
      </c>
      <c r="BG775" s="218">
        <f t="shared" si="82"/>
        <v>608027538.11413014</v>
      </c>
      <c r="BH775" s="215">
        <v>726</v>
      </c>
      <c r="BI775" s="219">
        <f t="shared" si="83"/>
        <v>1.12E-2</v>
      </c>
      <c r="BJ775" s="218">
        <f t="shared" si="81"/>
        <v>6809908.4268782577</v>
      </c>
      <c r="BK775" s="217">
        <f t="shared" si="84"/>
        <v>1000</v>
      </c>
    </row>
    <row r="776" spans="8:63" s="215" customFormat="1">
      <c r="H776" s="211"/>
      <c r="I776" s="211"/>
      <c r="J776" s="211"/>
      <c r="K776" s="211"/>
      <c r="L776" s="211"/>
      <c r="M776" s="211"/>
      <c r="BF776" s="215">
        <v>727</v>
      </c>
      <c r="BG776" s="218">
        <f t="shared" si="82"/>
        <v>614838446.54100835</v>
      </c>
      <c r="BH776" s="215">
        <v>727</v>
      </c>
      <c r="BI776" s="219">
        <f t="shared" si="83"/>
        <v>1.12E-2</v>
      </c>
      <c r="BJ776" s="218">
        <f t="shared" si="81"/>
        <v>6886190.601259293</v>
      </c>
      <c r="BK776" s="217">
        <f t="shared" si="84"/>
        <v>1000</v>
      </c>
    </row>
    <row r="777" spans="8:63" s="215" customFormat="1">
      <c r="H777" s="211"/>
      <c r="I777" s="211"/>
      <c r="J777" s="211"/>
      <c r="K777" s="211"/>
      <c r="L777" s="211"/>
      <c r="M777" s="211"/>
      <c r="BF777" s="215">
        <v>728</v>
      </c>
      <c r="BG777" s="218">
        <f t="shared" si="82"/>
        <v>621725637.1422677</v>
      </c>
      <c r="BH777" s="215">
        <v>728</v>
      </c>
      <c r="BI777" s="219">
        <f t="shared" si="83"/>
        <v>1.12E-2</v>
      </c>
      <c r="BJ777" s="218">
        <f t="shared" si="81"/>
        <v>6963327.1359933978</v>
      </c>
      <c r="BK777" s="217">
        <f t="shared" si="84"/>
        <v>1000</v>
      </c>
    </row>
    <row r="778" spans="8:63" s="215" customFormat="1">
      <c r="H778" s="211"/>
      <c r="I778" s="211"/>
      <c r="J778" s="211"/>
      <c r="K778" s="211"/>
      <c r="L778" s="211"/>
      <c r="M778" s="211"/>
      <c r="BF778" s="215">
        <v>729</v>
      </c>
      <c r="BG778" s="218">
        <f t="shared" si="82"/>
        <v>628689964.27826107</v>
      </c>
      <c r="BH778" s="215">
        <v>729</v>
      </c>
      <c r="BI778" s="219">
        <f t="shared" si="83"/>
        <v>1.12E-2</v>
      </c>
      <c r="BJ778" s="218">
        <f t="shared" si="81"/>
        <v>7041327.5999165243</v>
      </c>
      <c r="BK778" s="217">
        <f t="shared" si="84"/>
        <v>1000</v>
      </c>
    </row>
    <row r="779" spans="8:63" s="215" customFormat="1">
      <c r="H779" s="211"/>
      <c r="I779" s="211"/>
      <c r="J779" s="211"/>
      <c r="K779" s="211"/>
      <c r="L779" s="211"/>
      <c r="M779" s="211"/>
      <c r="BF779" s="215">
        <v>730</v>
      </c>
      <c r="BG779" s="218">
        <f t="shared" si="82"/>
        <v>635732291.87817764</v>
      </c>
      <c r="BH779" s="215">
        <v>730</v>
      </c>
      <c r="BI779" s="219">
        <f t="shared" si="83"/>
        <v>1.12E-2</v>
      </c>
      <c r="BJ779" s="218">
        <f t="shared" si="81"/>
        <v>7120201.6690355893</v>
      </c>
      <c r="BK779" s="217">
        <f t="shared" si="84"/>
        <v>1000</v>
      </c>
    </row>
    <row r="780" spans="8:63" s="215" customFormat="1">
      <c r="H780" s="211"/>
      <c r="I780" s="211"/>
      <c r="J780" s="211"/>
      <c r="K780" s="211"/>
      <c r="L780" s="211"/>
      <c r="M780" s="211"/>
      <c r="BF780" s="215">
        <v>731</v>
      </c>
      <c r="BG780" s="218">
        <f t="shared" si="82"/>
        <v>642853493.5472132</v>
      </c>
      <c r="BH780" s="215">
        <v>731</v>
      </c>
      <c r="BI780" s="219">
        <f t="shared" si="83"/>
        <v>1.12E-2</v>
      </c>
      <c r="BJ780" s="218">
        <f t="shared" si="81"/>
        <v>7199959.1277287882</v>
      </c>
      <c r="BK780" s="217">
        <f t="shared" si="84"/>
        <v>1000</v>
      </c>
    </row>
    <row r="781" spans="8:63" s="215" customFormat="1">
      <c r="H781" s="211"/>
      <c r="I781" s="211"/>
      <c r="J781" s="211"/>
      <c r="K781" s="211"/>
      <c r="L781" s="211"/>
      <c r="M781" s="211"/>
      <c r="BF781" s="215">
        <v>732</v>
      </c>
      <c r="BG781" s="218">
        <f t="shared" si="82"/>
        <v>650054452.67494202</v>
      </c>
      <c r="BH781" s="215">
        <v>732</v>
      </c>
      <c r="BI781" s="219">
        <f t="shared" si="83"/>
        <v>1.12E-2</v>
      </c>
      <c r="BJ781" s="218">
        <f t="shared" si="81"/>
        <v>7280609.8699593507</v>
      </c>
      <c r="BK781" s="217">
        <f t="shared" si="84"/>
        <v>1000</v>
      </c>
    </row>
    <row r="782" spans="8:63" s="215" customFormat="1">
      <c r="H782" s="211"/>
      <c r="I782" s="211"/>
      <c r="J782" s="211"/>
      <c r="K782" s="211"/>
      <c r="L782" s="211"/>
      <c r="M782" s="211"/>
      <c r="BF782" s="215">
        <v>733</v>
      </c>
      <c r="BG782" s="218">
        <f t="shared" si="82"/>
        <v>657336062.54490137</v>
      </c>
      <c r="BH782" s="215">
        <v>733</v>
      </c>
      <c r="BI782" s="219">
        <f t="shared" si="83"/>
        <v>1.12E-2</v>
      </c>
      <c r="BJ782" s="218">
        <f t="shared" si="81"/>
        <v>7362163.900502895</v>
      </c>
      <c r="BK782" s="217">
        <f t="shared" si="84"/>
        <v>1000</v>
      </c>
    </row>
    <row r="783" spans="8:63" s="215" customFormat="1">
      <c r="H783" s="211"/>
      <c r="I783" s="211"/>
      <c r="J783" s="211"/>
      <c r="K783" s="211"/>
      <c r="L783" s="211"/>
      <c r="M783" s="211"/>
      <c r="BF783" s="215">
        <v>734</v>
      </c>
      <c r="BG783" s="218">
        <f t="shared" si="82"/>
        <v>664699226.44540429</v>
      </c>
      <c r="BH783" s="215">
        <v>734</v>
      </c>
      <c r="BI783" s="219">
        <f t="shared" si="83"/>
        <v>1.12E-2</v>
      </c>
      <c r="BJ783" s="218">
        <f t="shared" si="81"/>
        <v>7444631.3361885278</v>
      </c>
      <c r="BK783" s="217">
        <f t="shared" si="84"/>
        <v>1000</v>
      </c>
    </row>
    <row r="784" spans="8:63" s="215" customFormat="1">
      <c r="H784" s="211"/>
      <c r="I784" s="211"/>
      <c r="J784" s="211"/>
      <c r="K784" s="211"/>
      <c r="L784" s="211"/>
      <c r="M784" s="211"/>
      <c r="BF784" s="215">
        <v>735</v>
      </c>
      <c r="BG784" s="218">
        <f t="shared" si="82"/>
        <v>672144857.78159285</v>
      </c>
      <c r="BH784" s="215">
        <v>735</v>
      </c>
      <c r="BI784" s="219">
        <f t="shared" si="83"/>
        <v>1.12E-2</v>
      </c>
      <c r="BJ784" s="218">
        <f t="shared" si="81"/>
        <v>7528022.4071538402</v>
      </c>
      <c r="BK784" s="217">
        <f t="shared" si="84"/>
        <v>1000</v>
      </c>
    </row>
    <row r="785" spans="8:63" s="215" customFormat="1">
      <c r="H785" s="211"/>
      <c r="I785" s="211"/>
      <c r="J785" s="211"/>
      <c r="K785" s="211"/>
      <c r="L785" s="211"/>
      <c r="M785" s="211"/>
      <c r="BF785" s="215">
        <v>736</v>
      </c>
      <c r="BG785" s="218">
        <f t="shared" si="82"/>
        <v>679673880.18874669</v>
      </c>
      <c r="BH785" s="215">
        <v>736</v>
      </c>
      <c r="BI785" s="219">
        <f t="shared" si="83"/>
        <v>1.12E-2</v>
      </c>
      <c r="BJ785" s="218">
        <f t="shared" si="81"/>
        <v>7612347.4581139628</v>
      </c>
      <c r="BK785" s="217">
        <f t="shared" si="84"/>
        <v>1000</v>
      </c>
    </row>
    <row r="786" spans="8:63" s="215" customFormat="1">
      <c r="H786" s="211"/>
      <c r="I786" s="211"/>
      <c r="J786" s="211"/>
      <c r="K786" s="211"/>
      <c r="L786" s="211"/>
      <c r="M786" s="211"/>
      <c r="BF786" s="215">
        <v>737</v>
      </c>
      <c r="BG786" s="218">
        <f t="shared" si="82"/>
        <v>687287227.6468606</v>
      </c>
      <c r="BH786" s="215">
        <v>737</v>
      </c>
      <c r="BI786" s="219">
        <f t="shared" si="83"/>
        <v>1.12E-2</v>
      </c>
      <c r="BJ786" s="218">
        <f t="shared" si="81"/>
        <v>7697616.9496448385</v>
      </c>
      <c r="BK786" s="217">
        <f t="shared" si="84"/>
        <v>1000</v>
      </c>
    </row>
    <row r="787" spans="8:63" s="215" customFormat="1">
      <c r="H787" s="211"/>
      <c r="I787" s="211"/>
      <c r="J787" s="211"/>
      <c r="K787" s="211"/>
      <c r="L787" s="211"/>
      <c r="M787" s="211"/>
      <c r="BF787" s="215">
        <v>738</v>
      </c>
      <c r="BG787" s="218">
        <f t="shared" si="82"/>
        <v>694985844.5965054</v>
      </c>
      <c r="BH787" s="215">
        <v>738</v>
      </c>
      <c r="BI787" s="219">
        <f t="shared" si="83"/>
        <v>1.12E-2</v>
      </c>
      <c r="BJ787" s="218">
        <f t="shared" si="81"/>
        <v>7783841.4594808603</v>
      </c>
      <c r="BK787" s="217">
        <f t="shared" si="84"/>
        <v>1000</v>
      </c>
    </row>
    <row r="788" spans="8:63" s="215" customFormat="1">
      <c r="H788" s="211"/>
      <c r="I788" s="211"/>
      <c r="J788" s="211"/>
      <c r="K788" s="211"/>
      <c r="L788" s="211"/>
      <c r="M788" s="211"/>
      <c r="BF788" s="215">
        <v>739</v>
      </c>
      <c r="BG788" s="218">
        <f t="shared" si="82"/>
        <v>702770686.05598629</v>
      </c>
      <c r="BH788" s="215">
        <v>739</v>
      </c>
      <c r="BI788" s="219">
        <f t="shared" si="83"/>
        <v>1.12E-2</v>
      </c>
      <c r="BJ788" s="218">
        <f t="shared" si="81"/>
        <v>7871031.6838270463</v>
      </c>
      <c r="BK788" s="217">
        <f t="shared" si="84"/>
        <v>1000</v>
      </c>
    </row>
    <row r="789" spans="8:63" s="215" customFormat="1">
      <c r="H789" s="211"/>
      <c r="I789" s="211"/>
      <c r="J789" s="211"/>
      <c r="K789" s="211"/>
      <c r="L789" s="211"/>
      <c r="M789" s="211"/>
      <c r="BF789" s="215">
        <v>740</v>
      </c>
      <c r="BG789" s="218">
        <f t="shared" si="82"/>
        <v>710642717.73981333</v>
      </c>
      <c r="BH789" s="215">
        <v>740</v>
      </c>
      <c r="BI789" s="219">
        <f t="shared" si="83"/>
        <v>1.12E-2</v>
      </c>
      <c r="BJ789" s="218">
        <f t="shared" si="81"/>
        <v>7959198.4386859089</v>
      </c>
      <c r="BK789" s="217">
        <f t="shared" si="84"/>
        <v>1000</v>
      </c>
    </row>
    <row r="790" spans="8:63" s="215" customFormat="1">
      <c r="H790" s="211"/>
      <c r="I790" s="211"/>
      <c r="J790" s="211"/>
      <c r="K790" s="211"/>
      <c r="L790" s="211"/>
      <c r="M790" s="211"/>
      <c r="BF790" s="215">
        <v>741</v>
      </c>
      <c r="BG790" s="218">
        <f t="shared" si="82"/>
        <v>718602916.17849922</v>
      </c>
      <c r="BH790" s="215">
        <v>741</v>
      </c>
      <c r="BI790" s="219">
        <f t="shared" si="83"/>
        <v>1.12E-2</v>
      </c>
      <c r="BJ790" s="218">
        <f t="shared" si="81"/>
        <v>8048352.6611991916</v>
      </c>
      <c r="BK790" s="217">
        <f t="shared" si="84"/>
        <v>1000</v>
      </c>
    </row>
    <row r="791" spans="8:63" s="215" customFormat="1">
      <c r="H791" s="211"/>
      <c r="I791" s="211"/>
      <c r="J791" s="211"/>
      <c r="K791" s="211"/>
      <c r="L791" s="211"/>
      <c r="M791" s="211"/>
      <c r="BF791" s="215">
        <v>742</v>
      </c>
      <c r="BG791" s="218">
        <f t="shared" si="82"/>
        <v>726652268.83969843</v>
      </c>
      <c r="BH791" s="215">
        <v>742</v>
      </c>
      <c r="BI791" s="219">
        <f t="shared" si="83"/>
        <v>1.12E-2</v>
      </c>
      <c r="BJ791" s="218">
        <f t="shared" si="81"/>
        <v>8138505.4110046225</v>
      </c>
      <c r="BK791" s="217">
        <f t="shared" si="84"/>
        <v>1000</v>
      </c>
    </row>
    <row r="792" spans="8:63" s="215" customFormat="1">
      <c r="H792" s="211"/>
      <c r="I792" s="211"/>
      <c r="J792" s="211"/>
      <c r="K792" s="211"/>
      <c r="L792" s="211"/>
      <c r="M792" s="211"/>
      <c r="BF792" s="215">
        <v>743</v>
      </c>
      <c r="BG792" s="218">
        <f t="shared" si="82"/>
        <v>734791774.2507031</v>
      </c>
      <c r="BH792" s="215">
        <v>743</v>
      </c>
      <c r="BI792" s="219">
        <f t="shared" si="83"/>
        <v>1.12E-2</v>
      </c>
      <c r="BJ792" s="218">
        <f t="shared" si="81"/>
        <v>8229667.8716078745</v>
      </c>
      <c r="BK792" s="217">
        <f t="shared" si="84"/>
        <v>1000</v>
      </c>
    </row>
    <row r="793" spans="8:63" s="215" customFormat="1">
      <c r="H793" s="211"/>
      <c r="I793" s="211"/>
      <c r="J793" s="211"/>
      <c r="K793" s="211"/>
      <c r="L793" s="211"/>
      <c r="M793" s="211"/>
      <c r="BF793" s="215">
        <v>744</v>
      </c>
      <c r="BG793" s="218">
        <f t="shared" si="82"/>
        <v>743022442.122311</v>
      </c>
      <c r="BH793" s="215">
        <v>744</v>
      </c>
      <c r="BI793" s="219">
        <f t="shared" si="83"/>
        <v>1.12E-2</v>
      </c>
      <c r="BJ793" s="218">
        <f t="shared" si="81"/>
        <v>8321851.3517698832</v>
      </c>
      <c r="BK793" s="217">
        <f t="shared" si="84"/>
        <v>1000</v>
      </c>
    </row>
    <row r="794" spans="8:63" s="215" customFormat="1">
      <c r="H794" s="211"/>
      <c r="I794" s="211"/>
      <c r="J794" s="211"/>
      <c r="K794" s="211"/>
      <c r="L794" s="211"/>
      <c r="M794" s="211"/>
      <c r="BF794" s="215">
        <v>745</v>
      </c>
      <c r="BG794" s="218">
        <f t="shared" si="82"/>
        <v>751345293.47408092</v>
      </c>
      <c r="BH794" s="215">
        <v>745</v>
      </c>
      <c r="BI794" s="219">
        <f t="shared" si="83"/>
        <v>1.12E-2</v>
      </c>
      <c r="BJ794" s="218">
        <f t="shared" si="81"/>
        <v>8415067.2869097069</v>
      </c>
      <c r="BK794" s="217">
        <f t="shared" si="84"/>
        <v>1000</v>
      </c>
    </row>
    <row r="795" spans="8:63" s="215" customFormat="1">
      <c r="H795" s="211"/>
      <c r="I795" s="211"/>
      <c r="J795" s="211"/>
      <c r="K795" s="211"/>
      <c r="L795" s="211"/>
      <c r="M795" s="211"/>
      <c r="BF795" s="215">
        <v>746</v>
      </c>
      <c r="BG795" s="218">
        <f t="shared" si="82"/>
        <v>759761360.76099062</v>
      </c>
      <c r="BH795" s="215">
        <v>746</v>
      </c>
      <c r="BI795" s="219">
        <f t="shared" si="83"/>
        <v>1.12E-2</v>
      </c>
      <c r="BJ795" s="218">
        <f t="shared" si="81"/>
        <v>8509327.2405230943</v>
      </c>
      <c r="BK795" s="217">
        <f t="shared" si="84"/>
        <v>1000</v>
      </c>
    </row>
    <row r="796" spans="8:63" s="215" customFormat="1">
      <c r="H796" s="211"/>
      <c r="I796" s="211"/>
      <c r="J796" s="211"/>
      <c r="K796" s="211"/>
      <c r="L796" s="211"/>
      <c r="M796" s="211"/>
      <c r="BF796" s="215">
        <v>747</v>
      </c>
      <c r="BG796" s="218">
        <f t="shared" si="82"/>
        <v>768271688.00151372</v>
      </c>
      <c r="BH796" s="215">
        <v>747</v>
      </c>
      <c r="BI796" s="219">
        <f t="shared" si="83"/>
        <v>1.12E-2</v>
      </c>
      <c r="BJ796" s="218">
        <f t="shared" si="81"/>
        <v>8604642.905616954</v>
      </c>
      <c r="BK796" s="217">
        <f t="shared" si="84"/>
        <v>1000</v>
      </c>
    </row>
    <row r="797" spans="8:63" s="215" customFormat="1">
      <c r="H797" s="211"/>
      <c r="I797" s="211"/>
      <c r="J797" s="211"/>
      <c r="K797" s="211"/>
      <c r="L797" s="211"/>
      <c r="M797" s="211"/>
      <c r="BF797" s="215">
        <v>748</v>
      </c>
      <c r="BG797" s="218">
        <f t="shared" si="82"/>
        <v>776877330.90713072</v>
      </c>
      <c r="BH797" s="215">
        <v>748</v>
      </c>
      <c r="BI797" s="219">
        <f t="shared" si="83"/>
        <v>1.12E-2</v>
      </c>
      <c r="BJ797" s="218">
        <f t="shared" si="81"/>
        <v>8701026.106159864</v>
      </c>
      <c r="BK797" s="217">
        <f t="shared" si="84"/>
        <v>1000</v>
      </c>
    </row>
    <row r="798" spans="8:63" s="215" customFormat="1">
      <c r="H798" s="211"/>
      <c r="I798" s="211"/>
      <c r="J798" s="211"/>
      <c r="K798" s="211"/>
      <c r="L798" s="211"/>
      <c r="M798" s="211"/>
      <c r="BF798" s="215">
        <v>749</v>
      </c>
      <c r="BG798" s="218">
        <f t="shared" si="82"/>
        <v>785579357.01329052</v>
      </c>
      <c r="BH798" s="215">
        <v>749</v>
      </c>
      <c r="BI798" s="219">
        <f t="shared" si="83"/>
        <v>1.12E-2</v>
      </c>
      <c r="BJ798" s="218">
        <f t="shared" si="81"/>
        <v>8798488.798548853</v>
      </c>
      <c r="BK798" s="217">
        <f t="shared" si="84"/>
        <v>1000</v>
      </c>
    </row>
    <row r="799" spans="8:63" s="215" customFormat="1">
      <c r="H799" s="211"/>
      <c r="I799" s="211"/>
      <c r="J799" s="211"/>
      <c r="K799" s="211"/>
      <c r="L799" s="211"/>
      <c r="M799" s="211"/>
      <c r="BF799" s="215">
        <v>750</v>
      </c>
      <c r="BG799" s="218">
        <f t="shared" si="82"/>
        <v>794378845.81183934</v>
      </c>
      <c r="BH799" s="215">
        <v>750</v>
      </c>
      <c r="BI799" s="219">
        <f t="shared" si="83"/>
        <v>1.12E-2</v>
      </c>
      <c r="BJ799" s="218">
        <f t="shared" si="81"/>
        <v>8897043.0730926003</v>
      </c>
      <c r="BK799" s="217">
        <f t="shared" si="84"/>
        <v>1000</v>
      </c>
    </row>
    <row r="800" spans="8:63" s="215" customFormat="1">
      <c r="H800" s="211"/>
      <c r="I800" s="211"/>
      <c r="J800" s="211"/>
      <c r="K800" s="211"/>
      <c r="L800" s="211"/>
      <c r="M800" s="211"/>
      <c r="BF800" s="215">
        <v>751</v>
      </c>
      <c r="BG800" s="218">
        <f t="shared" si="82"/>
        <v>803276888.88493192</v>
      </c>
      <c r="BH800" s="215">
        <v>751</v>
      </c>
      <c r="BI800" s="219">
        <f t="shared" si="83"/>
        <v>1.12E-2</v>
      </c>
      <c r="BJ800" s="218">
        <f t="shared" si="81"/>
        <v>8996701.1555112377</v>
      </c>
      <c r="BK800" s="217">
        <f t="shared" si="84"/>
        <v>1000</v>
      </c>
    </row>
    <row r="801" spans="8:63" s="215" customFormat="1">
      <c r="H801" s="211"/>
      <c r="I801" s="211"/>
      <c r="J801" s="211"/>
      <c r="K801" s="211"/>
      <c r="L801" s="211"/>
      <c r="M801" s="211"/>
      <c r="BF801" s="215">
        <v>752</v>
      </c>
      <c r="BG801" s="218">
        <f t="shared" si="82"/>
        <v>812274590.04044318</v>
      </c>
      <c r="BH801" s="215">
        <v>752</v>
      </c>
      <c r="BI801" s="219">
        <f t="shared" si="83"/>
        <v>1.12E-2</v>
      </c>
      <c r="BJ801" s="218">
        <f t="shared" si="81"/>
        <v>9097475.4084529635</v>
      </c>
      <c r="BK801" s="217">
        <f t="shared" si="84"/>
        <v>1000</v>
      </c>
    </row>
    <row r="802" spans="8:63" s="215" customFormat="1">
      <c r="H802" s="211"/>
      <c r="I802" s="211"/>
      <c r="J802" s="211"/>
      <c r="K802" s="211"/>
      <c r="L802" s="211"/>
      <c r="M802" s="211"/>
      <c r="BF802" s="215">
        <v>753</v>
      </c>
      <c r="BG802" s="218">
        <f t="shared" si="82"/>
        <v>821373065.44889617</v>
      </c>
      <c r="BH802" s="215">
        <v>753</v>
      </c>
      <c r="BI802" s="219">
        <f t="shared" si="83"/>
        <v>1.12E-2</v>
      </c>
      <c r="BJ802" s="218">
        <f t="shared" si="81"/>
        <v>9199378.3330276366</v>
      </c>
      <c r="BK802" s="217">
        <f t="shared" si="84"/>
        <v>1000</v>
      </c>
    </row>
    <row r="803" spans="8:63" s="215" customFormat="1">
      <c r="H803" s="211"/>
      <c r="I803" s="211"/>
      <c r="J803" s="211"/>
      <c r="K803" s="211"/>
      <c r="L803" s="211"/>
      <c r="M803" s="211"/>
      <c r="BF803" s="215">
        <v>754</v>
      </c>
      <c r="BG803" s="218">
        <f t="shared" si="82"/>
        <v>830573443.78192377</v>
      </c>
      <c r="BH803" s="215">
        <v>754</v>
      </c>
      <c r="BI803" s="219">
        <f t="shared" si="83"/>
        <v>1.12E-2</v>
      </c>
      <c r="BJ803" s="218">
        <f t="shared" si="81"/>
        <v>9302422.5703575462</v>
      </c>
      <c r="BK803" s="217">
        <f t="shared" si="84"/>
        <v>1000</v>
      </c>
    </row>
    <row r="804" spans="8:63" s="215" customFormat="1">
      <c r="H804" s="211"/>
      <c r="I804" s="211"/>
      <c r="J804" s="211"/>
      <c r="K804" s="211"/>
      <c r="L804" s="211"/>
      <c r="M804" s="211"/>
      <c r="BF804" s="215">
        <v>755</v>
      </c>
      <c r="BG804" s="218">
        <f t="shared" si="82"/>
        <v>839876866.35228133</v>
      </c>
      <c r="BH804" s="215">
        <v>755</v>
      </c>
      <c r="BI804" s="219">
        <f t="shared" si="83"/>
        <v>1.12E-2</v>
      </c>
      <c r="BJ804" s="218">
        <f t="shared" si="81"/>
        <v>9406620.9031455517</v>
      </c>
      <c r="BK804" s="217">
        <f t="shared" si="84"/>
        <v>1000</v>
      </c>
    </row>
    <row r="805" spans="8:63" s="215" customFormat="1">
      <c r="H805" s="211"/>
      <c r="I805" s="211"/>
      <c r="J805" s="211"/>
      <c r="K805" s="211"/>
      <c r="L805" s="211"/>
      <c r="M805" s="211"/>
      <c r="BF805" s="215">
        <v>756</v>
      </c>
      <c r="BG805" s="218">
        <f t="shared" si="82"/>
        <v>849284487.25542688</v>
      </c>
      <c r="BH805" s="215">
        <v>756</v>
      </c>
      <c r="BI805" s="219">
        <f t="shared" si="83"/>
        <v>1.12E-2</v>
      </c>
      <c r="BJ805" s="218">
        <f t="shared" si="81"/>
        <v>9511986.2572607808</v>
      </c>
      <c r="BK805" s="217">
        <f t="shared" si="84"/>
        <v>1000</v>
      </c>
    </row>
    <row r="806" spans="8:63" s="215" customFormat="1">
      <c r="H806" s="211"/>
      <c r="I806" s="211"/>
      <c r="J806" s="211"/>
      <c r="K806" s="211"/>
      <c r="L806" s="211"/>
      <c r="M806" s="211"/>
      <c r="BF806" s="215">
        <v>757</v>
      </c>
      <c r="BG806" s="218">
        <f t="shared" si="82"/>
        <v>858797473.51268768</v>
      </c>
      <c r="BH806" s="215">
        <v>757</v>
      </c>
      <c r="BI806" s="219">
        <f t="shared" si="83"/>
        <v>1.12E-2</v>
      </c>
      <c r="BJ806" s="218">
        <f t="shared" si="81"/>
        <v>9618531.7033421025</v>
      </c>
      <c r="BK806" s="217">
        <f t="shared" si="84"/>
        <v>1000</v>
      </c>
    </row>
    <row r="807" spans="8:63" s="215" customFormat="1">
      <c r="H807" s="211"/>
      <c r="I807" s="211"/>
      <c r="J807" s="211"/>
      <c r="K807" s="211"/>
      <c r="L807" s="211"/>
      <c r="M807" s="211"/>
      <c r="BF807" s="215">
        <v>758</v>
      </c>
      <c r="BG807" s="218">
        <f t="shared" si="82"/>
        <v>868417005.21602976</v>
      </c>
      <c r="BH807" s="215">
        <v>758</v>
      </c>
      <c r="BI807" s="219">
        <f t="shared" si="83"/>
        <v>1.12E-2</v>
      </c>
      <c r="BJ807" s="218">
        <f t="shared" si="81"/>
        <v>9726270.4584195334</v>
      </c>
      <c r="BK807" s="217">
        <f t="shared" si="84"/>
        <v>1000</v>
      </c>
    </row>
    <row r="808" spans="8:63" s="215" customFormat="1">
      <c r="H808" s="211"/>
      <c r="I808" s="211"/>
      <c r="J808" s="211"/>
      <c r="K808" s="211"/>
      <c r="L808" s="211"/>
      <c r="M808" s="211"/>
      <c r="BF808" s="215">
        <v>759</v>
      </c>
      <c r="BG808" s="218">
        <f t="shared" si="82"/>
        <v>878144275.67444932</v>
      </c>
      <c r="BH808" s="215">
        <v>759</v>
      </c>
      <c r="BI808" s="219">
        <f t="shared" si="83"/>
        <v>1.12E-2</v>
      </c>
      <c r="BJ808" s="218">
        <f t="shared" si="81"/>
        <v>9835215.8875538316</v>
      </c>
      <c r="BK808" s="217">
        <f t="shared" si="84"/>
        <v>1000</v>
      </c>
    </row>
    <row r="809" spans="8:63" s="215" customFormat="1">
      <c r="H809" s="211"/>
      <c r="I809" s="211"/>
      <c r="J809" s="211"/>
      <c r="K809" s="211"/>
      <c r="L809" s="211"/>
      <c r="M809" s="211"/>
      <c r="BF809" s="215">
        <v>760</v>
      </c>
      <c r="BG809" s="218">
        <f t="shared" si="82"/>
        <v>887980491.56200314</v>
      </c>
      <c r="BH809" s="215">
        <v>760</v>
      </c>
      <c r="BI809" s="219">
        <f t="shared" si="83"/>
        <v>1.12E-2</v>
      </c>
      <c r="BJ809" s="218">
        <f t="shared" si="81"/>
        <v>9945381.5054944344</v>
      </c>
      <c r="BK809" s="217">
        <f t="shared" si="84"/>
        <v>1000</v>
      </c>
    </row>
    <row r="810" spans="8:63" s="215" customFormat="1">
      <c r="H810" s="211"/>
      <c r="I810" s="211"/>
      <c r="J810" s="211"/>
      <c r="K810" s="211"/>
      <c r="L810" s="211"/>
      <c r="M810" s="211"/>
      <c r="BF810" s="215">
        <v>761</v>
      </c>
      <c r="BG810" s="218">
        <f t="shared" si="82"/>
        <v>897926873.06749761</v>
      </c>
      <c r="BH810" s="215">
        <v>761</v>
      </c>
      <c r="BI810" s="219">
        <f t="shared" si="83"/>
        <v>1.12E-2</v>
      </c>
      <c r="BJ810" s="218">
        <f t="shared" si="81"/>
        <v>10056780.978355974</v>
      </c>
      <c r="BK810" s="217">
        <f t="shared" si="84"/>
        <v>1000</v>
      </c>
    </row>
    <row r="811" spans="8:63" s="215" customFormat="1">
      <c r="H811" s="211"/>
      <c r="I811" s="211"/>
      <c r="J811" s="211"/>
      <c r="K811" s="211"/>
      <c r="L811" s="211"/>
      <c r="M811" s="211"/>
      <c r="BF811" s="215">
        <v>762</v>
      </c>
      <c r="BG811" s="218">
        <f t="shared" si="82"/>
        <v>907984654.04585361</v>
      </c>
      <c r="BH811" s="215">
        <v>762</v>
      </c>
      <c r="BI811" s="219">
        <f t="shared" si="83"/>
        <v>1.12E-2</v>
      </c>
      <c r="BJ811" s="218">
        <f t="shared" si="81"/>
        <v>10169428.12531356</v>
      </c>
      <c r="BK811" s="217">
        <f t="shared" si="84"/>
        <v>1000</v>
      </c>
    </row>
    <row r="812" spans="8:63" s="215" customFormat="1">
      <c r="H812" s="211"/>
      <c r="I812" s="211"/>
      <c r="J812" s="211"/>
      <c r="K812" s="211"/>
      <c r="L812" s="211"/>
      <c r="M812" s="211"/>
      <c r="BF812" s="215">
        <v>763</v>
      </c>
      <c r="BG812" s="218">
        <f t="shared" si="82"/>
        <v>918155082.17116714</v>
      </c>
      <c r="BH812" s="215">
        <v>763</v>
      </c>
      <c r="BI812" s="219">
        <f t="shared" si="83"/>
        <v>1.12E-2</v>
      </c>
      <c r="BJ812" s="218">
        <f t="shared" si="81"/>
        <v>10283336.920317072</v>
      </c>
      <c r="BK812" s="217">
        <f t="shared" si="84"/>
        <v>1000</v>
      </c>
    </row>
    <row r="813" spans="8:63" s="215" customFormat="1">
      <c r="H813" s="211"/>
      <c r="I813" s="211"/>
      <c r="J813" s="211"/>
      <c r="K813" s="211"/>
      <c r="L813" s="211"/>
      <c r="M813" s="211"/>
      <c r="BF813" s="215">
        <v>764</v>
      </c>
      <c r="BG813" s="218">
        <f t="shared" si="82"/>
        <v>928439419.09148419</v>
      </c>
      <c r="BH813" s="215">
        <v>764</v>
      </c>
      <c r="BI813" s="219">
        <f t="shared" si="83"/>
        <v>1.12E-2</v>
      </c>
      <c r="BJ813" s="218">
        <f t="shared" si="81"/>
        <v>10398521.493824624</v>
      </c>
      <c r="BK813" s="217">
        <f t="shared" si="84"/>
        <v>1000</v>
      </c>
    </row>
    <row r="814" spans="8:63" s="215" customFormat="1">
      <c r="H814" s="211"/>
      <c r="I814" s="211"/>
      <c r="J814" s="211"/>
      <c r="K814" s="211"/>
      <c r="L814" s="211"/>
      <c r="M814" s="211"/>
      <c r="BF814" s="215">
        <v>765</v>
      </c>
      <c r="BG814" s="218">
        <f t="shared" si="82"/>
        <v>938838940.58530879</v>
      </c>
      <c r="BH814" s="215">
        <v>765</v>
      </c>
      <c r="BI814" s="219">
        <f t="shared" si="83"/>
        <v>1.12E-2</v>
      </c>
      <c r="BJ814" s="218">
        <f t="shared" si="81"/>
        <v>10514996.134555459</v>
      </c>
      <c r="BK814" s="217">
        <f t="shared" si="84"/>
        <v>1000</v>
      </c>
    </row>
    <row r="815" spans="8:63" s="215" customFormat="1">
      <c r="H815" s="211"/>
      <c r="I815" s="211"/>
      <c r="J815" s="211"/>
      <c r="K815" s="211"/>
      <c r="L815" s="211"/>
      <c r="M815" s="211"/>
      <c r="BF815" s="215">
        <v>766</v>
      </c>
      <c r="BG815" s="218">
        <f t="shared" si="82"/>
        <v>949354936.71986425</v>
      </c>
      <c r="BH815" s="215">
        <v>766</v>
      </c>
      <c r="BI815" s="219">
        <f t="shared" si="83"/>
        <v>1.12E-2</v>
      </c>
      <c r="BJ815" s="218">
        <f t="shared" si="81"/>
        <v>10632775.291262479</v>
      </c>
      <c r="BK815" s="217">
        <f t="shared" si="84"/>
        <v>1000</v>
      </c>
    </row>
    <row r="816" spans="8:63" s="215" customFormat="1">
      <c r="H816" s="211"/>
      <c r="I816" s="211"/>
      <c r="J816" s="211"/>
      <c r="K816" s="211"/>
      <c r="L816" s="211"/>
      <c r="M816" s="211"/>
      <c r="BF816" s="215">
        <v>767</v>
      </c>
      <c r="BG816" s="218">
        <f t="shared" si="82"/>
        <v>959988712.01112676</v>
      </c>
      <c r="BH816" s="215">
        <v>767</v>
      </c>
      <c r="BI816" s="219">
        <f t="shared" si="83"/>
        <v>1.12E-2</v>
      </c>
      <c r="BJ816" s="218">
        <f t="shared" si="81"/>
        <v>10751873.574524619</v>
      </c>
      <c r="BK816" s="217">
        <f t="shared" si="84"/>
        <v>1000</v>
      </c>
    </row>
    <row r="817" spans="8:63" s="215" customFormat="1">
      <c r="H817" s="211"/>
      <c r="I817" s="211"/>
      <c r="J817" s="211"/>
      <c r="K817" s="211"/>
      <c r="L817" s="211"/>
      <c r="M817" s="211"/>
      <c r="BF817" s="215">
        <v>768</v>
      </c>
      <c r="BG817" s="218">
        <f t="shared" si="82"/>
        <v>970741585.5856514</v>
      </c>
      <c r="BH817" s="215">
        <v>768</v>
      </c>
      <c r="BI817" s="219">
        <f t="shared" si="83"/>
        <v>1.12E-2</v>
      </c>
      <c r="BJ817" s="218">
        <f t="shared" si="81"/>
        <v>10872305.758559296</v>
      </c>
      <c r="BK817" s="217">
        <f t="shared" si="84"/>
        <v>1000</v>
      </c>
    </row>
    <row r="818" spans="8:63" s="215" customFormat="1">
      <c r="H818" s="211"/>
      <c r="I818" s="211"/>
      <c r="J818" s="211"/>
      <c r="K818" s="211"/>
      <c r="L818" s="211"/>
      <c r="M818" s="211"/>
      <c r="BF818" s="215">
        <v>769</v>
      </c>
      <c r="BG818" s="218">
        <f t="shared" si="82"/>
        <v>981614891.34421074</v>
      </c>
      <c r="BH818" s="215">
        <v>769</v>
      </c>
      <c r="BI818" s="219">
        <f t="shared" si="83"/>
        <v>1.12E-2</v>
      </c>
      <c r="BJ818" s="218">
        <f t="shared" ref="BJ818:BJ881" si="85">BG818*BI818</f>
        <v>10994086.78305516</v>
      </c>
      <c r="BK818" s="217">
        <f t="shared" si="84"/>
        <v>1000</v>
      </c>
    </row>
    <row r="819" spans="8:63" s="215" customFormat="1">
      <c r="H819" s="211"/>
      <c r="I819" s="211"/>
      <c r="J819" s="211"/>
      <c r="K819" s="211"/>
      <c r="L819" s="211"/>
      <c r="M819" s="211"/>
      <c r="BF819" s="215">
        <v>770</v>
      </c>
      <c r="BG819" s="218">
        <f t="shared" ref="BG819:BG882" si="86">BG818+BJ818+BK819</f>
        <v>992609978.12726593</v>
      </c>
      <c r="BH819" s="215">
        <v>770</v>
      </c>
      <c r="BI819" s="219">
        <f t="shared" ref="BI819:BI882" si="87">BI818</f>
        <v>1.12E-2</v>
      </c>
      <c r="BJ819" s="218">
        <f t="shared" si="85"/>
        <v>11117231.755025377</v>
      </c>
      <c r="BK819" s="217">
        <f t="shared" ref="BK819:BK882" si="88">BK818</f>
        <v>1000</v>
      </c>
    </row>
    <row r="820" spans="8:63" s="215" customFormat="1">
      <c r="H820" s="211"/>
      <c r="I820" s="211"/>
      <c r="J820" s="211"/>
      <c r="K820" s="211"/>
      <c r="L820" s="211"/>
      <c r="M820" s="211"/>
      <c r="BF820" s="215">
        <v>771</v>
      </c>
      <c r="BG820" s="218">
        <f t="shared" si="86"/>
        <v>1003728209.8822913</v>
      </c>
      <c r="BH820" s="215">
        <v>771</v>
      </c>
      <c r="BI820" s="219">
        <f t="shared" si="87"/>
        <v>1.12E-2</v>
      </c>
      <c r="BJ820" s="218">
        <f t="shared" si="85"/>
        <v>11241755.950681662</v>
      </c>
      <c r="BK820" s="217">
        <f t="shared" si="88"/>
        <v>1000</v>
      </c>
    </row>
    <row r="821" spans="8:63" s="215" customFormat="1">
      <c r="H821" s="211"/>
      <c r="I821" s="211"/>
      <c r="J821" s="211"/>
      <c r="K821" s="211"/>
      <c r="L821" s="211"/>
      <c r="M821" s="211"/>
      <c r="BF821" s="215">
        <v>772</v>
      </c>
      <c r="BG821" s="218">
        <f t="shared" si="86"/>
        <v>1014970965.832973</v>
      </c>
      <c r="BH821" s="215">
        <v>772</v>
      </c>
      <c r="BI821" s="219">
        <f t="shared" si="87"/>
        <v>1.12E-2</v>
      </c>
      <c r="BJ821" s="218">
        <f t="shared" si="85"/>
        <v>11367674.817329297</v>
      </c>
      <c r="BK821" s="217">
        <f t="shared" si="88"/>
        <v>1000</v>
      </c>
    </row>
    <row r="822" spans="8:63" s="215" customFormat="1">
      <c r="H822" s="211"/>
      <c r="I822" s="211"/>
      <c r="J822" s="211"/>
      <c r="K822" s="211"/>
      <c r="L822" s="211"/>
      <c r="M822" s="211"/>
      <c r="BF822" s="215">
        <v>773</v>
      </c>
      <c r="BG822" s="218">
        <f t="shared" si="86"/>
        <v>1026339640.6503023</v>
      </c>
      <c r="BH822" s="215">
        <v>773</v>
      </c>
      <c r="BI822" s="219">
        <f t="shared" si="87"/>
        <v>1.12E-2</v>
      </c>
      <c r="BJ822" s="218">
        <f t="shared" si="85"/>
        <v>11495003.975283386</v>
      </c>
      <c r="BK822" s="217">
        <f t="shared" si="88"/>
        <v>1000</v>
      </c>
    </row>
    <row r="823" spans="8:63" s="215" customFormat="1">
      <c r="H823" s="211"/>
      <c r="I823" s="211"/>
      <c r="J823" s="211"/>
      <c r="K823" s="211"/>
      <c r="L823" s="211"/>
      <c r="M823" s="211"/>
      <c r="BF823" s="215">
        <v>774</v>
      </c>
      <c r="BG823" s="218">
        <f t="shared" si="86"/>
        <v>1037835644.6255857</v>
      </c>
      <c r="BH823" s="215">
        <v>774</v>
      </c>
      <c r="BI823" s="219">
        <f t="shared" si="87"/>
        <v>1.12E-2</v>
      </c>
      <c r="BJ823" s="218">
        <f t="shared" si="85"/>
        <v>11623759.219806559</v>
      </c>
      <c r="BK823" s="217">
        <f t="shared" si="88"/>
        <v>1000</v>
      </c>
    </row>
    <row r="824" spans="8:63" s="215" customFormat="1">
      <c r="H824" s="211"/>
      <c r="I824" s="211"/>
      <c r="J824" s="211"/>
      <c r="K824" s="211"/>
      <c r="L824" s="211"/>
      <c r="M824" s="211"/>
      <c r="BF824" s="215">
        <v>775</v>
      </c>
      <c r="BG824" s="218">
        <f t="shared" si="86"/>
        <v>1049460403.8453922</v>
      </c>
      <c r="BH824" s="215">
        <v>775</v>
      </c>
      <c r="BI824" s="219">
        <f t="shared" si="87"/>
        <v>1.12E-2</v>
      </c>
      <c r="BJ824" s="218">
        <f t="shared" si="85"/>
        <v>11753956.523068393</v>
      </c>
      <c r="BK824" s="217">
        <f t="shared" si="88"/>
        <v>1000</v>
      </c>
    </row>
    <row r="825" spans="8:63" s="215" customFormat="1">
      <c r="H825" s="211"/>
      <c r="I825" s="211"/>
      <c r="J825" s="211"/>
      <c r="K825" s="211"/>
      <c r="L825" s="211"/>
      <c r="M825" s="211"/>
      <c r="BF825" s="215">
        <v>776</v>
      </c>
      <c r="BG825" s="218">
        <f t="shared" si="86"/>
        <v>1061215360.3684607</v>
      </c>
      <c r="BH825" s="215">
        <v>776</v>
      </c>
      <c r="BI825" s="219">
        <f t="shared" si="87"/>
        <v>1.12E-2</v>
      </c>
      <c r="BJ825" s="218">
        <f t="shared" si="85"/>
        <v>11885612.036126759</v>
      </c>
      <c r="BK825" s="217">
        <f t="shared" si="88"/>
        <v>1000</v>
      </c>
    </row>
    <row r="826" spans="8:63" s="215" customFormat="1">
      <c r="H826" s="211"/>
      <c r="I826" s="211"/>
      <c r="J826" s="211"/>
      <c r="K826" s="211"/>
      <c r="L826" s="211"/>
      <c r="M826" s="211"/>
      <c r="BF826" s="215">
        <v>777</v>
      </c>
      <c r="BG826" s="218">
        <f t="shared" si="86"/>
        <v>1073101972.4045874</v>
      </c>
      <c r="BH826" s="215">
        <v>777</v>
      </c>
      <c r="BI826" s="219">
        <f t="shared" si="87"/>
        <v>1.12E-2</v>
      </c>
      <c r="BJ826" s="218">
        <f t="shared" si="85"/>
        <v>12018742.090931378</v>
      </c>
      <c r="BK826" s="217">
        <f t="shared" si="88"/>
        <v>1000</v>
      </c>
    </row>
    <row r="827" spans="8:63" s="215" customFormat="1">
      <c r="H827" s="211"/>
      <c r="I827" s="211"/>
      <c r="J827" s="211"/>
      <c r="K827" s="211"/>
      <c r="L827" s="211"/>
      <c r="M827" s="211"/>
      <c r="BF827" s="215">
        <v>778</v>
      </c>
      <c r="BG827" s="218">
        <f t="shared" si="86"/>
        <v>1085121714.4955187</v>
      </c>
      <c r="BH827" s="215">
        <v>778</v>
      </c>
      <c r="BI827" s="219">
        <f t="shared" si="87"/>
        <v>1.12E-2</v>
      </c>
      <c r="BJ827" s="218">
        <f t="shared" si="85"/>
        <v>12153363.20234981</v>
      </c>
      <c r="BK827" s="217">
        <f t="shared" si="88"/>
        <v>1000</v>
      </c>
    </row>
    <row r="828" spans="8:63" s="215" customFormat="1">
      <c r="H828" s="211"/>
      <c r="I828" s="211"/>
      <c r="J828" s="211"/>
      <c r="K828" s="211"/>
      <c r="L828" s="211"/>
      <c r="M828" s="211"/>
      <c r="BF828" s="215">
        <v>779</v>
      </c>
      <c r="BG828" s="218">
        <f t="shared" si="86"/>
        <v>1097276077.6978686</v>
      </c>
      <c r="BH828" s="215">
        <v>779</v>
      </c>
      <c r="BI828" s="219">
        <f t="shared" si="87"/>
        <v>1.12E-2</v>
      </c>
      <c r="BJ828" s="218">
        <f t="shared" si="85"/>
        <v>12289492.070216129</v>
      </c>
      <c r="BK828" s="217">
        <f t="shared" si="88"/>
        <v>1000</v>
      </c>
    </row>
    <row r="829" spans="8:63" s="215" customFormat="1">
      <c r="H829" s="211"/>
      <c r="I829" s="211"/>
      <c r="J829" s="211"/>
      <c r="K829" s="211"/>
      <c r="L829" s="211"/>
      <c r="M829" s="211"/>
      <c r="BF829" s="215">
        <v>780</v>
      </c>
      <c r="BG829" s="218">
        <f t="shared" si="86"/>
        <v>1109566569.7680848</v>
      </c>
      <c r="BH829" s="215">
        <v>780</v>
      </c>
      <c r="BI829" s="219">
        <f t="shared" si="87"/>
        <v>1.12E-2</v>
      </c>
      <c r="BJ829" s="218">
        <f t="shared" si="85"/>
        <v>12427145.58140255</v>
      </c>
      <c r="BK829" s="217">
        <f t="shared" si="88"/>
        <v>1000</v>
      </c>
    </row>
    <row r="830" spans="8:63" s="215" customFormat="1">
      <c r="H830" s="211"/>
      <c r="I830" s="211"/>
      <c r="J830" s="211"/>
      <c r="K830" s="211"/>
      <c r="L830" s="211"/>
      <c r="M830" s="211"/>
      <c r="BF830" s="215">
        <v>781</v>
      </c>
      <c r="BG830" s="218">
        <f t="shared" si="86"/>
        <v>1121994715.3494873</v>
      </c>
      <c r="BH830" s="215">
        <v>781</v>
      </c>
      <c r="BI830" s="219">
        <f t="shared" si="87"/>
        <v>1.12E-2</v>
      </c>
      <c r="BJ830" s="218">
        <f t="shared" si="85"/>
        <v>12566340.811914258</v>
      </c>
      <c r="BK830" s="217">
        <f t="shared" si="88"/>
        <v>1000</v>
      </c>
    </row>
    <row r="831" spans="8:63" s="215" customFormat="1">
      <c r="H831" s="211"/>
      <c r="I831" s="211"/>
      <c r="J831" s="211"/>
      <c r="K831" s="211"/>
      <c r="L831" s="211"/>
      <c r="M831" s="211"/>
      <c r="BF831" s="215">
        <v>782</v>
      </c>
      <c r="BG831" s="218">
        <f t="shared" si="86"/>
        <v>1134562056.1614015</v>
      </c>
      <c r="BH831" s="215">
        <v>782</v>
      </c>
      <c r="BI831" s="219">
        <f t="shared" si="87"/>
        <v>1.12E-2</v>
      </c>
      <c r="BJ831" s="218">
        <f t="shared" si="85"/>
        <v>12707095.029007697</v>
      </c>
      <c r="BK831" s="217">
        <f t="shared" si="88"/>
        <v>1000</v>
      </c>
    </row>
    <row r="832" spans="8:63" s="215" customFormat="1">
      <c r="H832" s="211"/>
      <c r="I832" s="211"/>
      <c r="J832" s="211"/>
      <c r="K832" s="211"/>
      <c r="L832" s="211"/>
      <c r="M832" s="211"/>
      <c r="BF832" s="215">
        <v>783</v>
      </c>
      <c r="BG832" s="218">
        <f t="shared" si="86"/>
        <v>1147270151.1904092</v>
      </c>
      <c r="BH832" s="215">
        <v>783</v>
      </c>
      <c r="BI832" s="219">
        <f t="shared" si="87"/>
        <v>1.12E-2</v>
      </c>
      <c r="BJ832" s="218">
        <f t="shared" si="85"/>
        <v>12849425.693332583</v>
      </c>
      <c r="BK832" s="217">
        <f t="shared" si="88"/>
        <v>1000</v>
      </c>
    </row>
    <row r="833" spans="8:63" s="215" customFormat="1">
      <c r="H833" s="211"/>
      <c r="I833" s="211"/>
      <c r="J833" s="211"/>
      <c r="K833" s="211"/>
      <c r="L833" s="211"/>
      <c r="M833" s="211"/>
      <c r="BF833" s="215">
        <v>784</v>
      </c>
      <c r="BG833" s="218">
        <f t="shared" si="86"/>
        <v>1160120576.8837419</v>
      </c>
      <c r="BH833" s="215">
        <v>784</v>
      </c>
      <c r="BI833" s="219">
        <f t="shared" si="87"/>
        <v>1.12E-2</v>
      </c>
      <c r="BJ833" s="218">
        <f t="shared" si="85"/>
        <v>12993350.461097909</v>
      </c>
      <c r="BK833" s="217">
        <f t="shared" si="88"/>
        <v>1000</v>
      </c>
    </row>
    <row r="834" spans="8:63" s="215" customFormat="1">
      <c r="H834" s="211"/>
      <c r="I834" s="211"/>
      <c r="J834" s="211"/>
      <c r="K834" s="211"/>
      <c r="L834" s="211"/>
      <c r="M834" s="211"/>
      <c r="BF834" s="215">
        <v>785</v>
      </c>
      <c r="BG834" s="218">
        <f t="shared" si="86"/>
        <v>1173114927.3448398</v>
      </c>
      <c r="BH834" s="215">
        <v>785</v>
      </c>
      <c r="BI834" s="219">
        <f t="shared" si="87"/>
        <v>1.12E-2</v>
      </c>
      <c r="BJ834" s="218">
        <f t="shared" si="85"/>
        <v>13138887.186262205</v>
      </c>
      <c r="BK834" s="217">
        <f t="shared" si="88"/>
        <v>1000</v>
      </c>
    </row>
    <row r="835" spans="8:63" s="215" customFormat="1">
      <c r="H835" s="211"/>
      <c r="I835" s="211"/>
      <c r="J835" s="211"/>
      <c r="K835" s="211"/>
      <c r="L835" s="211"/>
      <c r="M835" s="211"/>
      <c r="BF835" s="215">
        <v>786</v>
      </c>
      <c r="BG835" s="218">
        <f t="shared" si="86"/>
        <v>1186254814.5311019</v>
      </c>
      <c r="BH835" s="215">
        <v>786</v>
      </c>
      <c r="BI835" s="219">
        <f t="shared" si="87"/>
        <v>1.12E-2</v>
      </c>
      <c r="BJ835" s="218">
        <f t="shared" si="85"/>
        <v>13286053.922748342</v>
      </c>
      <c r="BK835" s="217">
        <f t="shared" si="88"/>
        <v>1000</v>
      </c>
    </row>
    <row r="836" spans="8:63" s="215" customFormat="1">
      <c r="H836" s="211"/>
      <c r="I836" s="211"/>
      <c r="J836" s="211"/>
      <c r="K836" s="211"/>
      <c r="L836" s="211"/>
      <c r="M836" s="211"/>
      <c r="BF836" s="215">
        <v>787</v>
      </c>
      <c r="BG836" s="218">
        <f t="shared" si="86"/>
        <v>1199541868.4538503</v>
      </c>
      <c r="BH836" s="215">
        <v>787</v>
      </c>
      <c r="BI836" s="219">
        <f t="shared" si="87"/>
        <v>1.12E-2</v>
      </c>
      <c r="BJ836" s="218">
        <f t="shared" si="85"/>
        <v>13434868.926683122</v>
      </c>
      <c r="BK836" s="217">
        <f t="shared" si="88"/>
        <v>1000</v>
      </c>
    </row>
    <row r="837" spans="8:63" s="215" customFormat="1">
      <c r="H837" s="211"/>
      <c r="I837" s="211"/>
      <c r="J837" s="211"/>
      <c r="K837" s="211"/>
      <c r="L837" s="211"/>
      <c r="M837" s="211"/>
      <c r="BF837" s="215">
        <v>788</v>
      </c>
      <c r="BG837" s="218">
        <f t="shared" si="86"/>
        <v>1212977737.3805335</v>
      </c>
      <c r="BH837" s="215">
        <v>788</v>
      </c>
      <c r="BI837" s="219">
        <f t="shared" si="87"/>
        <v>1.12E-2</v>
      </c>
      <c r="BJ837" s="218">
        <f t="shared" si="85"/>
        <v>13585350.658661975</v>
      </c>
      <c r="BK837" s="217">
        <f t="shared" si="88"/>
        <v>1000</v>
      </c>
    </row>
    <row r="838" spans="8:63" s="215" customFormat="1">
      <c r="H838" s="211"/>
      <c r="I838" s="211"/>
      <c r="J838" s="211"/>
      <c r="K838" s="211"/>
      <c r="L838" s="211"/>
      <c r="M838" s="211"/>
      <c r="BF838" s="215">
        <v>789</v>
      </c>
      <c r="BG838" s="218">
        <f t="shared" si="86"/>
        <v>1226564088.0391955</v>
      </c>
      <c r="BH838" s="215">
        <v>789</v>
      </c>
      <c r="BI838" s="219">
        <f t="shared" si="87"/>
        <v>1.12E-2</v>
      </c>
      <c r="BJ838" s="218">
        <f t="shared" si="85"/>
        <v>13737517.786038989</v>
      </c>
      <c r="BK838" s="217">
        <f t="shared" si="88"/>
        <v>1000</v>
      </c>
    </row>
    <row r="839" spans="8:63" s="215" customFormat="1">
      <c r="H839" s="211"/>
      <c r="I839" s="211"/>
      <c r="J839" s="211"/>
      <c r="K839" s="211"/>
      <c r="L839" s="211"/>
      <c r="M839" s="211"/>
      <c r="BF839" s="215">
        <v>790</v>
      </c>
      <c r="BG839" s="218">
        <f t="shared" si="86"/>
        <v>1240302605.8252344</v>
      </c>
      <c r="BH839" s="215">
        <v>790</v>
      </c>
      <c r="BI839" s="219">
        <f t="shared" si="87"/>
        <v>1.12E-2</v>
      </c>
      <c r="BJ839" s="218">
        <f t="shared" si="85"/>
        <v>13891389.185242625</v>
      </c>
      <c r="BK839" s="217">
        <f t="shared" si="88"/>
        <v>1000</v>
      </c>
    </row>
    <row r="840" spans="8:63" s="215" customFormat="1">
      <c r="H840" s="211"/>
      <c r="I840" s="211"/>
      <c r="J840" s="211"/>
      <c r="K840" s="211"/>
      <c r="L840" s="211"/>
      <c r="M840" s="211"/>
      <c r="BF840" s="215">
        <v>791</v>
      </c>
      <c r="BG840" s="218">
        <f t="shared" si="86"/>
        <v>1254194995.0104771</v>
      </c>
      <c r="BH840" s="215">
        <v>791</v>
      </c>
      <c r="BI840" s="219">
        <f t="shared" si="87"/>
        <v>1.12E-2</v>
      </c>
      <c r="BJ840" s="218">
        <f t="shared" si="85"/>
        <v>14046983.944117343</v>
      </c>
      <c r="BK840" s="217">
        <f t="shared" si="88"/>
        <v>1000</v>
      </c>
    </row>
    <row r="841" spans="8:63" s="215" customFormat="1">
      <c r="H841" s="211"/>
      <c r="I841" s="211"/>
      <c r="J841" s="211"/>
      <c r="K841" s="211"/>
      <c r="L841" s="211"/>
      <c r="M841" s="211"/>
      <c r="BF841" s="215">
        <v>792</v>
      </c>
      <c r="BG841" s="218">
        <f t="shared" si="86"/>
        <v>1268242978.9545944</v>
      </c>
      <c r="BH841" s="215">
        <v>792</v>
      </c>
      <c r="BI841" s="219">
        <f t="shared" si="87"/>
        <v>1.12E-2</v>
      </c>
      <c r="BJ841" s="218">
        <f t="shared" si="85"/>
        <v>14204321.364291457</v>
      </c>
      <c r="BK841" s="217">
        <f t="shared" si="88"/>
        <v>1000</v>
      </c>
    </row>
    <row r="842" spans="8:63" s="215" customFormat="1">
      <c r="H842" s="211"/>
      <c r="I842" s="211"/>
      <c r="J842" s="211"/>
      <c r="K842" s="211"/>
      <c r="L842" s="211"/>
      <c r="M842" s="211"/>
      <c r="BF842" s="215">
        <v>793</v>
      </c>
      <c r="BG842" s="218">
        <f t="shared" si="86"/>
        <v>1282448300.3188858</v>
      </c>
      <c r="BH842" s="215">
        <v>793</v>
      </c>
      <c r="BI842" s="219">
        <f t="shared" si="87"/>
        <v>1.12E-2</v>
      </c>
      <c r="BJ842" s="218">
        <f t="shared" si="85"/>
        <v>14363420.963571521</v>
      </c>
      <c r="BK842" s="217">
        <f t="shared" si="88"/>
        <v>1000</v>
      </c>
    </row>
    <row r="843" spans="8:63" s="215" customFormat="1">
      <c r="H843" s="211"/>
      <c r="I843" s="211"/>
      <c r="J843" s="211"/>
      <c r="K843" s="211"/>
      <c r="L843" s="211"/>
      <c r="M843" s="211"/>
      <c r="BF843" s="215">
        <v>794</v>
      </c>
      <c r="BG843" s="218">
        <f t="shared" si="86"/>
        <v>1296812721.2824574</v>
      </c>
      <c r="BH843" s="215">
        <v>794</v>
      </c>
      <c r="BI843" s="219">
        <f t="shared" si="87"/>
        <v>1.12E-2</v>
      </c>
      <c r="BJ843" s="218">
        <f t="shared" si="85"/>
        <v>14524302.478363521</v>
      </c>
      <c r="BK843" s="217">
        <f t="shared" si="88"/>
        <v>1000</v>
      </c>
    </row>
    <row r="844" spans="8:63" s="215" customFormat="1">
      <c r="H844" s="211"/>
      <c r="I844" s="211"/>
      <c r="J844" s="211"/>
      <c r="K844" s="211"/>
      <c r="L844" s="211"/>
      <c r="M844" s="211"/>
      <c r="BF844" s="215">
        <v>795</v>
      </c>
      <c r="BG844" s="218">
        <f t="shared" si="86"/>
        <v>1311338023.7608209</v>
      </c>
      <c r="BH844" s="215">
        <v>795</v>
      </c>
      <c r="BI844" s="219">
        <f t="shared" si="87"/>
        <v>1.12E-2</v>
      </c>
      <c r="BJ844" s="218">
        <f t="shared" si="85"/>
        <v>14686985.866121193</v>
      </c>
      <c r="BK844" s="217">
        <f t="shared" si="88"/>
        <v>1000</v>
      </c>
    </row>
    <row r="845" spans="8:63" s="215" customFormat="1">
      <c r="H845" s="211"/>
      <c r="I845" s="211"/>
      <c r="J845" s="211"/>
      <c r="K845" s="211"/>
      <c r="L845" s="211"/>
      <c r="M845" s="211"/>
      <c r="BF845" s="215">
        <v>796</v>
      </c>
      <c r="BG845" s="218">
        <f t="shared" si="86"/>
        <v>1326026009.6269422</v>
      </c>
      <c r="BH845" s="215">
        <v>796</v>
      </c>
      <c r="BI845" s="219">
        <f t="shared" si="87"/>
        <v>1.12E-2</v>
      </c>
      <c r="BJ845" s="218">
        <f t="shared" si="85"/>
        <v>14851491.307821753</v>
      </c>
      <c r="BK845" s="217">
        <f t="shared" si="88"/>
        <v>1000</v>
      </c>
    </row>
    <row r="846" spans="8:63" s="215" customFormat="1">
      <c r="H846" s="211"/>
      <c r="I846" s="211"/>
      <c r="J846" s="211"/>
      <c r="K846" s="211"/>
      <c r="L846" s="211"/>
      <c r="M846" s="211"/>
      <c r="BF846" s="215">
        <v>797</v>
      </c>
      <c r="BG846" s="218">
        <f t="shared" si="86"/>
        <v>1340878500.9347639</v>
      </c>
      <c r="BH846" s="215">
        <v>797</v>
      </c>
      <c r="BI846" s="219">
        <f t="shared" si="87"/>
        <v>1.12E-2</v>
      </c>
      <c r="BJ846" s="218">
        <f t="shared" si="85"/>
        <v>15017839.210469356</v>
      </c>
      <c r="BK846" s="217">
        <f t="shared" si="88"/>
        <v>1000</v>
      </c>
    </row>
    <row r="847" spans="8:63" s="215" customFormat="1">
      <c r="H847" s="211"/>
      <c r="I847" s="211"/>
      <c r="J847" s="211"/>
      <c r="K847" s="211"/>
      <c r="L847" s="211"/>
      <c r="M847" s="211"/>
      <c r="BF847" s="215">
        <v>798</v>
      </c>
      <c r="BG847" s="218">
        <f t="shared" si="86"/>
        <v>1355897340.1452332</v>
      </c>
      <c r="BH847" s="215">
        <v>798</v>
      </c>
      <c r="BI847" s="219">
        <f t="shared" si="87"/>
        <v>1.12E-2</v>
      </c>
      <c r="BJ847" s="218">
        <f t="shared" si="85"/>
        <v>15186050.209626611</v>
      </c>
      <c r="BK847" s="217">
        <f t="shared" si="88"/>
        <v>1000</v>
      </c>
    </row>
    <row r="848" spans="8:63" s="215" customFormat="1">
      <c r="H848" s="211"/>
      <c r="I848" s="211"/>
      <c r="J848" s="211"/>
      <c r="K848" s="211"/>
      <c r="L848" s="211"/>
      <c r="M848" s="211"/>
      <c r="BF848" s="215">
        <v>799</v>
      </c>
      <c r="BG848" s="218">
        <f t="shared" si="86"/>
        <v>1371084390.3548598</v>
      </c>
      <c r="BH848" s="215">
        <v>799</v>
      </c>
      <c r="BI848" s="219">
        <f t="shared" si="87"/>
        <v>1.12E-2</v>
      </c>
      <c r="BJ848" s="218">
        <f t="shared" si="85"/>
        <v>15356145.17197443</v>
      </c>
      <c r="BK848" s="217">
        <f t="shared" si="88"/>
        <v>1000</v>
      </c>
    </row>
    <row r="849" spans="8:63" s="215" customFormat="1">
      <c r="H849" s="211"/>
      <c r="I849" s="211"/>
      <c r="J849" s="211"/>
      <c r="K849" s="211"/>
      <c r="L849" s="211"/>
      <c r="M849" s="211"/>
      <c r="BF849" s="215">
        <v>800</v>
      </c>
      <c r="BG849" s="218">
        <f t="shared" si="86"/>
        <v>1386441535.5268342</v>
      </c>
      <c r="BH849" s="215">
        <v>800</v>
      </c>
      <c r="BI849" s="219">
        <f t="shared" si="87"/>
        <v>1.12E-2</v>
      </c>
      <c r="BJ849" s="218">
        <f t="shared" si="85"/>
        <v>15528145.197900543</v>
      </c>
      <c r="BK849" s="217">
        <f t="shared" si="88"/>
        <v>1000</v>
      </c>
    </row>
    <row r="850" spans="8:63" s="215" customFormat="1">
      <c r="H850" s="211"/>
      <c r="I850" s="211"/>
      <c r="J850" s="211"/>
      <c r="K850" s="211"/>
      <c r="L850" s="211"/>
      <c r="M850" s="211"/>
      <c r="BF850" s="215">
        <v>801</v>
      </c>
      <c r="BG850" s="218">
        <f t="shared" si="86"/>
        <v>1401970680.7247348</v>
      </c>
      <c r="BH850" s="215">
        <v>801</v>
      </c>
      <c r="BI850" s="219">
        <f t="shared" si="87"/>
        <v>1.12E-2</v>
      </c>
      <c r="BJ850" s="218">
        <f t="shared" si="85"/>
        <v>15702071.62411703</v>
      </c>
      <c r="BK850" s="217">
        <f t="shared" si="88"/>
        <v>1000</v>
      </c>
    </row>
    <row r="851" spans="8:63" s="215" customFormat="1">
      <c r="H851" s="211"/>
      <c r="I851" s="211"/>
      <c r="J851" s="211"/>
      <c r="K851" s="211"/>
      <c r="L851" s="211"/>
      <c r="M851" s="211"/>
      <c r="BF851" s="215">
        <v>802</v>
      </c>
      <c r="BG851" s="218">
        <f t="shared" si="86"/>
        <v>1417673752.3488519</v>
      </c>
      <c r="BH851" s="215">
        <v>802</v>
      </c>
      <c r="BI851" s="219">
        <f t="shared" si="87"/>
        <v>1.12E-2</v>
      </c>
      <c r="BJ851" s="218">
        <f t="shared" si="85"/>
        <v>15877946.026307141</v>
      </c>
      <c r="BK851" s="217">
        <f t="shared" si="88"/>
        <v>1000</v>
      </c>
    </row>
    <row r="852" spans="8:63" s="215" customFormat="1">
      <c r="H852" s="211"/>
      <c r="I852" s="211"/>
      <c r="J852" s="211"/>
      <c r="K852" s="211"/>
      <c r="L852" s="211"/>
      <c r="M852" s="211"/>
      <c r="BF852" s="215">
        <v>803</v>
      </c>
      <c r="BG852" s="218">
        <f t="shared" si="86"/>
        <v>1433552698.375159</v>
      </c>
      <c r="BH852" s="215">
        <v>803</v>
      </c>
      <c r="BI852" s="219">
        <f t="shared" si="87"/>
        <v>1.12E-2</v>
      </c>
      <c r="BJ852" s="218">
        <f t="shared" si="85"/>
        <v>16055790.22180178</v>
      </c>
      <c r="BK852" s="217">
        <f t="shared" si="88"/>
        <v>1000</v>
      </c>
    </row>
    <row r="853" spans="8:63" s="215" customFormat="1">
      <c r="H853" s="211"/>
      <c r="I853" s="211"/>
      <c r="J853" s="211"/>
      <c r="K853" s="211"/>
      <c r="L853" s="211"/>
      <c r="M853" s="211"/>
      <c r="BF853" s="215">
        <v>804</v>
      </c>
      <c r="BG853" s="218">
        <f t="shared" si="86"/>
        <v>1449609488.5969608</v>
      </c>
      <c r="BH853" s="215">
        <v>804</v>
      </c>
      <c r="BI853" s="219">
        <f t="shared" si="87"/>
        <v>1.12E-2</v>
      </c>
      <c r="BJ853" s="218">
        <f t="shared" si="85"/>
        <v>16235626.272285961</v>
      </c>
      <c r="BK853" s="217">
        <f t="shared" si="88"/>
        <v>1000</v>
      </c>
    </row>
    <row r="854" spans="8:63" s="215" customFormat="1">
      <c r="H854" s="211"/>
      <c r="I854" s="211"/>
      <c r="J854" s="211"/>
      <c r="K854" s="211"/>
      <c r="L854" s="211"/>
      <c r="M854" s="211"/>
      <c r="BF854" s="215">
        <v>805</v>
      </c>
      <c r="BG854" s="218">
        <f t="shared" si="86"/>
        <v>1465846114.8692467</v>
      </c>
      <c r="BH854" s="215">
        <v>805</v>
      </c>
      <c r="BI854" s="219">
        <f t="shared" si="87"/>
        <v>1.12E-2</v>
      </c>
      <c r="BJ854" s="218">
        <f t="shared" si="85"/>
        <v>16417476.486535562</v>
      </c>
      <c r="BK854" s="217">
        <f t="shared" si="88"/>
        <v>1000</v>
      </c>
    </row>
    <row r="855" spans="8:63" s="215" customFormat="1">
      <c r="H855" s="211"/>
      <c r="I855" s="211"/>
      <c r="J855" s="211"/>
      <c r="K855" s="211"/>
      <c r="L855" s="211"/>
      <c r="M855" s="211"/>
      <c r="BF855" s="215">
        <v>806</v>
      </c>
      <c r="BG855" s="218">
        <f t="shared" si="86"/>
        <v>1482264591.3557823</v>
      </c>
      <c r="BH855" s="215">
        <v>806</v>
      </c>
      <c r="BI855" s="219">
        <f t="shared" si="87"/>
        <v>1.12E-2</v>
      </c>
      <c r="BJ855" s="218">
        <f t="shared" si="85"/>
        <v>16601363.423184762</v>
      </c>
      <c r="BK855" s="217">
        <f t="shared" si="88"/>
        <v>1000</v>
      </c>
    </row>
    <row r="856" spans="8:63" s="215" customFormat="1">
      <c r="H856" s="211"/>
      <c r="I856" s="211"/>
      <c r="J856" s="211"/>
      <c r="K856" s="211"/>
      <c r="L856" s="211"/>
      <c r="M856" s="211"/>
      <c r="BF856" s="215">
        <v>807</v>
      </c>
      <c r="BG856" s="218">
        <f t="shared" si="86"/>
        <v>1498866954.7789671</v>
      </c>
      <c r="BH856" s="215">
        <v>807</v>
      </c>
      <c r="BI856" s="219">
        <f t="shared" si="87"/>
        <v>1.12E-2</v>
      </c>
      <c r="BJ856" s="218">
        <f t="shared" si="85"/>
        <v>16787309.893524431</v>
      </c>
      <c r="BK856" s="217">
        <f t="shared" si="88"/>
        <v>1000</v>
      </c>
    </row>
    <row r="857" spans="8:63" s="215" customFormat="1">
      <c r="H857" s="211"/>
      <c r="I857" s="211"/>
      <c r="J857" s="211"/>
      <c r="K857" s="211"/>
      <c r="L857" s="211"/>
      <c r="M857" s="211"/>
      <c r="BF857" s="215">
        <v>808</v>
      </c>
      <c r="BG857" s="218">
        <f t="shared" si="86"/>
        <v>1515655264.6724916</v>
      </c>
      <c r="BH857" s="215">
        <v>808</v>
      </c>
      <c r="BI857" s="219">
        <f t="shared" si="87"/>
        <v>1.12E-2</v>
      </c>
      <c r="BJ857" s="218">
        <f t="shared" si="85"/>
        <v>16975338.964331906</v>
      </c>
      <c r="BK857" s="217">
        <f t="shared" si="88"/>
        <v>1000</v>
      </c>
    </row>
    <row r="858" spans="8:63" s="215" customFormat="1">
      <c r="H858" s="211"/>
      <c r="I858" s="211"/>
      <c r="J858" s="211"/>
      <c r="K858" s="211"/>
      <c r="L858" s="211"/>
      <c r="M858" s="211"/>
      <c r="BF858" s="215">
        <v>809</v>
      </c>
      <c r="BG858" s="218">
        <f t="shared" si="86"/>
        <v>1532631603.6368234</v>
      </c>
      <c r="BH858" s="215">
        <v>809</v>
      </c>
      <c r="BI858" s="219">
        <f t="shared" si="87"/>
        <v>1.12E-2</v>
      </c>
      <c r="BJ858" s="218">
        <f t="shared" si="85"/>
        <v>17165473.960732423</v>
      </c>
      <c r="BK858" s="217">
        <f t="shared" si="88"/>
        <v>1000</v>
      </c>
    </row>
    <row r="859" spans="8:63" s="215" customFormat="1">
      <c r="H859" s="211"/>
      <c r="I859" s="211"/>
      <c r="J859" s="211"/>
      <c r="K859" s="211"/>
      <c r="L859" s="211"/>
      <c r="M859" s="211"/>
      <c r="BF859" s="215">
        <v>810</v>
      </c>
      <c r="BG859" s="218">
        <f t="shared" si="86"/>
        <v>1549798077.5975559</v>
      </c>
      <c r="BH859" s="215">
        <v>810</v>
      </c>
      <c r="BI859" s="219">
        <f t="shared" si="87"/>
        <v>1.12E-2</v>
      </c>
      <c r="BJ859" s="218">
        <f t="shared" si="85"/>
        <v>17357738.469092626</v>
      </c>
      <c r="BK859" s="217">
        <f t="shared" si="88"/>
        <v>1000</v>
      </c>
    </row>
    <row r="860" spans="8:63" s="215" customFormat="1">
      <c r="H860" s="211"/>
      <c r="I860" s="211"/>
      <c r="J860" s="211"/>
      <c r="K860" s="211"/>
      <c r="L860" s="211"/>
      <c r="M860" s="211"/>
      <c r="BF860" s="215">
        <v>811</v>
      </c>
      <c r="BG860" s="218">
        <f t="shared" si="86"/>
        <v>1567156816.0666485</v>
      </c>
      <c r="BH860" s="215">
        <v>811</v>
      </c>
      <c r="BI860" s="219">
        <f t="shared" si="87"/>
        <v>1.12E-2</v>
      </c>
      <c r="BJ860" s="218">
        <f t="shared" si="85"/>
        <v>17552156.339946464</v>
      </c>
      <c r="BK860" s="217">
        <f t="shared" si="88"/>
        <v>1000</v>
      </c>
    </row>
    <row r="861" spans="8:63" s="215" customFormat="1">
      <c r="H861" s="211"/>
      <c r="I861" s="211"/>
      <c r="J861" s="211"/>
      <c r="K861" s="211"/>
      <c r="L861" s="211"/>
      <c r="M861" s="211"/>
      <c r="BF861" s="215">
        <v>812</v>
      </c>
      <c r="BG861" s="218">
        <f t="shared" si="86"/>
        <v>1584709972.406595</v>
      </c>
      <c r="BH861" s="215">
        <v>812</v>
      </c>
      <c r="BI861" s="219">
        <f t="shared" si="87"/>
        <v>1.12E-2</v>
      </c>
      <c r="BJ861" s="218">
        <f t="shared" si="85"/>
        <v>17748751.690953862</v>
      </c>
      <c r="BK861" s="217">
        <f t="shared" si="88"/>
        <v>1000</v>
      </c>
    </row>
    <row r="862" spans="8:63" s="215" customFormat="1">
      <c r="H862" s="211"/>
      <c r="I862" s="211"/>
      <c r="J862" s="211"/>
      <c r="K862" s="211"/>
      <c r="L862" s="211"/>
      <c r="M862" s="211"/>
      <c r="BF862" s="215">
        <v>813</v>
      </c>
      <c r="BG862" s="218">
        <f t="shared" si="86"/>
        <v>1602459724.097549</v>
      </c>
      <c r="BH862" s="215">
        <v>813</v>
      </c>
      <c r="BI862" s="219">
        <f t="shared" si="87"/>
        <v>1.12E-2</v>
      </c>
      <c r="BJ862" s="218">
        <f t="shared" si="85"/>
        <v>17947548.909892548</v>
      </c>
      <c r="BK862" s="217">
        <f t="shared" si="88"/>
        <v>1000</v>
      </c>
    </row>
    <row r="863" spans="8:63" s="215" customFormat="1">
      <c r="H863" s="211"/>
      <c r="I863" s="211"/>
      <c r="J863" s="211"/>
      <c r="K863" s="211"/>
      <c r="L863" s="211"/>
      <c r="M863" s="211"/>
      <c r="BF863" s="215">
        <v>814</v>
      </c>
      <c r="BG863" s="218">
        <f t="shared" si="86"/>
        <v>1620408273.0074415</v>
      </c>
      <c r="BH863" s="215">
        <v>814</v>
      </c>
      <c r="BI863" s="219">
        <f t="shared" si="87"/>
        <v>1.12E-2</v>
      </c>
      <c r="BJ863" s="218">
        <f t="shared" si="85"/>
        <v>18148572.657683346</v>
      </c>
      <c r="BK863" s="217">
        <f t="shared" si="88"/>
        <v>1000</v>
      </c>
    </row>
    <row r="864" spans="8:63" s="215" customFormat="1">
      <c r="H864" s="211"/>
      <c r="I864" s="211"/>
      <c r="J864" s="211"/>
      <c r="K864" s="211"/>
      <c r="L864" s="211"/>
      <c r="M864" s="211"/>
      <c r="BF864" s="215">
        <v>815</v>
      </c>
      <c r="BG864" s="218">
        <f t="shared" si="86"/>
        <v>1638557845.6651249</v>
      </c>
      <c r="BH864" s="215">
        <v>815</v>
      </c>
      <c r="BI864" s="219">
        <f t="shared" si="87"/>
        <v>1.12E-2</v>
      </c>
      <c r="BJ864" s="218">
        <f t="shared" si="85"/>
        <v>18351847.8714494</v>
      </c>
      <c r="BK864" s="217">
        <f t="shared" si="88"/>
        <v>1000</v>
      </c>
    </row>
    <row r="865" spans="8:63" s="215" customFormat="1">
      <c r="H865" s="211"/>
      <c r="I865" s="211"/>
      <c r="J865" s="211"/>
      <c r="K865" s="211"/>
      <c r="L865" s="211"/>
      <c r="M865" s="211"/>
      <c r="BF865" s="215">
        <v>816</v>
      </c>
      <c r="BG865" s="218">
        <f t="shared" si="86"/>
        <v>1656910693.5365744</v>
      </c>
      <c r="BH865" s="215">
        <v>816</v>
      </c>
      <c r="BI865" s="219">
        <f t="shared" si="87"/>
        <v>1.12E-2</v>
      </c>
      <c r="BJ865" s="218">
        <f t="shared" si="85"/>
        <v>18557399.767609634</v>
      </c>
      <c r="BK865" s="217">
        <f t="shared" si="88"/>
        <v>1000</v>
      </c>
    </row>
    <row r="866" spans="8:63" s="215" customFormat="1">
      <c r="H866" s="211"/>
      <c r="I866" s="211"/>
      <c r="J866" s="211"/>
      <c r="K866" s="211"/>
      <c r="L866" s="211"/>
      <c r="M866" s="211"/>
      <c r="BF866" s="215">
        <v>817</v>
      </c>
      <c r="BG866" s="218">
        <f t="shared" si="86"/>
        <v>1675469093.304184</v>
      </c>
      <c r="BH866" s="215">
        <v>817</v>
      </c>
      <c r="BI866" s="219">
        <f t="shared" si="87"/>
        <v>1.12E-2</v>
      </c>
      <c r="BJ866" s="218">
        <f t="shared" si="85"/>
        <v>18765253.845006861</v>
      </c>
      <c r="BK866" s="217">
        <f t="shared" si="88"/>
        <v>1000</v>
      </c>
    </row>
    <row r="867" spans="8:63" s="215" customFormat="1">
      <c r="H867" s="211"/>
      <c r="I867" s="211"/>
      <c r="J867" s="211"/>
      <c r="K867" s="211"/>
      <c r="L867" s="211"/>
      <c r="M867" s="211"/>
      <c r="BF867" s="215">
        <v>818</v>
      </c>
      <c r="BG867" s="218">
        <f t="shared" si="86"/>
        <v>1694235347.1491909</v>
      </c>
      <c r="BH867" s="215">
        <v>818</v>
      </c>
      <c r="BI867" s="219">
        <f t="shared" si="87"/>
        <v>1.12E-2</v>
      </c>
      <c r="BJ867" s="218">
        <f t="shared" si="85"/>
        <v>18975435.888070937</v>
      </c>
      <c r="BK867" s="217">
        <f t="shared" si="88"/>
        <v>1000</v>
      </c>
    </row>
    <row r="868" spans="8:63" s="215" customFormat="1">
      <c r="H868" s="211"/>
      <c r="I868" s="211"/>
      <c r="J868" s="211"/>
      <c r="K868" s="211"/>
      <c r="L868" s="211"/>
      <c r="M868" s="211"/>
      <c r="BF868" s="215">
        <v>819</v>
      </c>
      <c r="BG868" s="218">
        <f t="shared" si="86"/>
        <v>1713211783.0372617</v>
      </c>
      <c r="BH868" s="215">
        <v>819</v>
      </c>
      <c r="BI868" s="219">
        <f t="shared" si="87"/>
        <v>1.12E-2</v>
      </c>
      <c r="BJ868" s="218">
        <f t="shared" si="85"/>
        <v>19187971.970017333</v>
      </c>
      <c r="BK868" s="217">
        <f t="shared" si="88"/>
        <v>1000</v>
      </c>
    </row>
    <row r="869" spans="8:63" s="215" customFormat="1">
      <c r="H869" s="211"/>
      <c r="I869" s="211"/>
      <c r="J869" s="211"/>
      <c r="K869" s="211"/>
      <c r="L869" s="211"/>
      <c r="M869" s="211"/>
      <c r="BF869" s="215">
        <v>820</v>
      </c>
      <c r="BG869" s="218">
        <f t="shared" si="86"/>
        <v>1732400755.0072792</v>
      </c>
      <c r="BH869" s="215">
        <v>820</v>
      </c>
      <c r="BI869" s="219">
        <f t="shared" si="87"/>
        <v>1.12E-2</v>
      </c>
      <c r="BJ869" s="218">
        <f t="shared" si="85"/>
        <v>19402888.456081528</v>
      </c>
      <c r="BK869" s="217">
        <f t="shared" si="88"/>
        <v>1000</v>
      </c>
    </row>
    <row r="870" spans="8:63" s="215" customFormat="1">
      <c r="H870" s="211"/>
      <c r="I870" s="211"/>
      <c r="J870" s="211"/>
      <c r="K870" s="211"/>
      <c r="L870" s="211"/>
      <c r="M870" s="211"/>
      <c r="BF870" s="215">
        <v>821</v>
      </c>
      <c r="BG870" s="218">
        <f t="shared" si="86"/>
        <v>1751804643.4633608</v>
      </c>
      <c r="BH870" s="215">
        <v>821</v>
      </c>
      <c r="BI870" s="219">
        <f t="shared" si="87"/>
        <v>1.12E-2</v>
      </c>
      <c r="BJ870" s="218">
        <f t="shared" si="85"/>
        <v>19620212.00678964</v>
      </c>
      <c r="BK870" s="217">
        <f t="shared" si="88"/>
        <v>1000</v>
      </c>
    </row>
    <row r="871" spans="8:63" s="215" customFormat="1">
      <c r="H871" s="211"/>
      <c r="I871" s="211"/>
      <c r="J871" s="211"/>
      <c r="K871" s="211"/>
      <c r="L871" s="211"/>
      <c r="M871" s="211"/>
      <c r="BF871" s="215">
        <v>822</v>
      </c>
      <c r="BG871" s="218">
        <f t="shared" si="86"/>
        <v>1771425855.4701505</v>
      </c>
      <c r="BH871" s="215">
        <v>822</v>
      </c>
      <c r="BI871" s="219">
        <f t="shared" si="87"/>
        <v>1.12E-2</v>
      </c>
      <c r="BJ871" s="218">
        <f t="shared" si="85"/>
        <v>19839969.581265684</v>
      </c>
      <c r="BK871" s="217">
        <f t="shared" si="88"/>
        <v>1000</v>
      </c>
    </row>
    <row r="872" spans="8:63" s="215" customFormat="1">
      <c r="H872" s="211"/>
      <c r="I872" s="211"/>
      <c r="J872" s="211"/>
      <c r="K872" s="211"/>
      <c r="L872" s="211"/>
      <c r="M872" s="211"/>
      <c r="BF872" s="215">
        <v>823</v>
      </c>
      <c r="BG872" s="218">
        <f t="shared" si="86"/>
        <v>1791266825.0514162</v>
      </c>
      <c r="BH872" s="215">
        <v>823</v>
      </c>
      <c r="BI872" s="219">
        <f t="shared" si="87"/>
        <v>1.12E-2</v>
      </c>
      <c r="BJ872" s="218">
        <f t="shared" si="85"/>
        <v>20062188.44057586</v>
      </c>
      <c r="BK872" s="217">
        <f t="shared" si="88"/>
        <v>1000</v>
      </c>
    </row>
    <row r="873" spans="8:63" s="215" customFormat="1">
      <c r="H873" s="211"/>
      <c r="I873" s="211"/>
      <c r="J873" s="211"/>
      <c r="K873" s="211"/>
      <c r="L873" s="211"/>
      <c r="M873" s="211"/>
      <c r="BF873" s="215">
        <v>824</v>
      </c>
      <c r="BG873" s="218">
        <f t="shared" si="86"/>
        <v>1811330013.491992</v>
      </c>
      <c r="BH873" s="215">
        <v>824</v>
      </c>
      <c r="BI873" s="219">
        <f t="shared" si="87"/>
        <v>1.12E-2</v>
      </c>
      <c r="BJ873" s="218">
        <f t="shared" si="85"/>
        <v>20286896.15111031</v>
      </c>
      <c r="BK873" s="217">
        <f t="shared" si="88"/>
        <v>1000</v>
      </c>
    </row>
    <row r="874" spans="8:63" s="215" customFormat="1">
      <c r="H874" s="211"/>
      <c r="I874" s="211"/>
      <c r="J874" s="211"/>
      <c r="K874" s="211"/>
      <c r="L874" s="211"/>
      <c r="M874" s="211"/>
      <c r="BF874" s="215">
        <v>825</v>
      </c>
      <c r="BG874" s="218">
        <f t="shared" si="86"/>
        <v>1831617909.6431024</v>
      </c>
      <c r="BH874" s="215">
        <v>825</v>
      </c>
      <c r="BI874" s="219">
        <f t="shared" si="87"/>
        <v>1.12E-2</v>
      </c>
      <c r="BJ874" s="218">
        <f t="shared" si="85"/>
        <v>20514120.588002745</v>
      </c>
      <c r="BK874" s="217">
        <f t="shared" si="88"/>
        <v>1000</v>
      </c>
    </row>
    <row r="875" spans="8:63" s="215" customFormat="1">
      <c r="H875" s="211"/>
      <c r="I875" s="211"/>
      <c r="J875" s="211"/>
      <c r="K875" s="211"/>
      <c r="L875" s="211"/>
      <c r="M875" s="211"/>
      <c r="BF875" s="215">
        <v>826</v>
      </c>
      <c r="BG875" s="218">
        <f t="shared" si="86"/>
        <v>1852133030.2311051</v>
      </c>
      <c r="BH875" s="215">
        <v>826</v>
      </c>
      <c r="BI875" s="219">
        <f t="shared" si="87"/>
        <v>1.12E-2</v>
      </c>
      <c r="BJ875" s="218">
        <f t="shared" si="85"/>
        <v>20743889.938588377</v>
      </c>
      <c r="BK875" s="217">
        <f t="shared" si="88"/>
        <v>1000</v>
      </c>
    </row>
    <row r="876" spans="8:63" s="215" customFormat="1">
      <c r="H876" s="211"/>
      <c r="I876" s="211"/>
      <c r="J876" s="211"/>
      <c r="K876" s="211"/>
      <c r="L876" s="211"/>
      <c r="M876" s="211"/>
      <c r="BF876" s="215">
        <v>827</v>
      </c>
      <c r="BG876" s="218">
        <f t="shared" si="86"/>
        <v>1872877920.1696935</v>
      </c>
      <c r="BH876" s="215">
        <v>827</v>
      </c>
      <c r="BI876" s="219">
        <f t="shared" si="87"/>
        <v>1.12E-2</v>
      </c>
      <c r="BJ876" s="218">
        <f t="shared" si="85"/>
        <v>20976232.705900565</v>
      </c>
      <c r="BK876" s="217">
        <f t="shared" si="88"/>
        <v>1000</v>
      </c>
    </row>
    <row r="877" spans="8:63" s="215" customFormat="1">
      <c r="H877" s="211"/>
      <c r="I877" s="211"/>
      <c r="J877" s="211"/>
      <c r="K877" s="211"/>
      <c r="L877" s="211"/>
      <c r="M877" s="211"/>
      <c r="BF877" s="215">
        <v>828</v>
      </c>
      <c r="BG877" s="218">
        <f t="shared" si="86"/>
        <v>1893855152.8755941</v>
      </c>
      <c r="BH877" s="215">
        <v>828</v>
      </c>
      <c r="BI877" s="219">
        <f t="shared" si="87"/>
        <v>1.12E-2</v>
      </c>
      <c r="BJ877" s="218">
        <f t="shared" si="85"/>
        <v>21211177.712206654</v>
      </c>
      <c r="BK877" s="217">
        <f t="shared" si="88"/>
        <v>1000</v>
      </c>
    </row>
    <row r="878" spans="8:63" s="215" customFormat="1">
      <c r="H878" s="211"/>
      <c r="I878" s="211"/>
      <c r="J878" s="211"/>
      <c r="K878" s="211"/>
      <c r="L878" s="211"/>
      <c r="M878" s="211"/>
      <c r="BF878" s="215">
        <v>829</v>
      </c>
      <c r="BG878" s="218">
        <f t="shared" si="86"/>
        <v>1915067330.5878007</v>
      </c>
      <c r="BH878" s="215">
        <v>829</v>
      </c>
      <c r="BI878" s="219">
        <f t="shared" si="87"/>
        <v>1.12E-2</v>
      </c>
      <c r="BJ878" s="218">
        <f t="shared" si="85"/>
        <v>21448754.102583367</v>
      </c>
      <c r="BK878" s="217">
        <f t="shared" si="88"/>
        <v>1000</v>
      </c>
    </row>
    <row r="879" spans="8:63" s="215" customFormat="1">
      <c r="H879" s="211"/>
      <c r="I879" s="211"/>
      <c r="J879" s="211"/>
      <c r="K879" s="211"/>
      <c r="L879" s="211"/>
      <c r="M879" s="211"/>
      <c r="BF879" s="215">
        <v>830</v>
      </c>
      <c r="BG879" s="218">
        <f t="shared" si="86"/>
        <v>1936517084.6903841</v>
      </c>
      <c r="BH879" s="215">
        <v>830</v>
      </c>
      <c r="BI879" s="219">
        <f t="shared" si="87"/>
        <v>1.12E-2</v>
      </c>
      <c r="BJ879" s="218">
        <f t="shared" si="85"/>
        <v>21688991.3485323</v>
      </c>
      <c r="BK879" s="217">
        <f t="shared" si="88"/>
        <v>1000</v>
      </c>
    </row>
    <row r="880" spans="8:63" s="215" customFormat="1">
      <c r="H880" s="211"/>
      <c r="I880" s="211"/>
      <c r="J880" s="211"/>
      <c r="K880" s="211"/>
      <c r="L880" s="211"/>
      <c r="M880" s="211"/>
      <c r="BF880" s="215">
        <v>831</v>
      </c>
      <c r="BG880" s="218">
        <f t="shared" si="86"/>
        <v>1958207076.0389163</v>
      </c>
      <c r="BH880" s="215">
        <v>831</v>
      </c>
      <c r="BI880" s="219">
        <f t="shared" si="87"/>
        <v>1.12E-2</v>
      </c>
      <c r="BJ880" s="218">
        <f t="shared" si="85"/>
        <v>21931919.251635864</v>
      </c>
      <c r="BK880" s="217">
        <f t="shared" si="88"/>
        <v>1000</v>
      </c>
    </row>
    <row r="881" spans="8:63" s="215" customFormat="1">
      <c r="H881" s="211"/>
      <c r="I881" s="211"/>
      <c r="J881" s="211"/>
      <c r="K881" s="211"/>
      <c r="L881" s="211"/>
      <c r="M881" s="211"/>
      <c r="BF881" s="215">
        <v>832</v>
      </c>
      <c r="BG881" s="218">
        <f t="shared" si="86"/>
        <v>1980139995.2905521</v>
      </c>
      <c r="BH881" s="215">
        <v>832</v>
      </c>
      <c r="BI881" s="219">
        <f t="shared" si="87"/>
        <v>1.12E-2</v>
      </c>
      <c r="BJ881" s="218">
        <f t="shared" si="85"/>
        <v>22177567.947254185</v>
      </c>
      <c r="BK881" s="217">
        <f t="shared" si="88"/>
        <v>1000</v>
      </c>
    </row>
    <row r="882" spans="8:63" s="215" customFormat="1">
      <c r="H882" s="211"/>
      <c r="I882" s="211"/>
      <c r="J882" s="211"/>
      <c r="K882" s="211"/>
      <c r="L882" s="211"/>
      <c r="M882" s="211"/>
      <c r="BF882" s="215">
        <v>833</v>
      </c>
      <c r="BG882" s="218">
        <f t="shared" si="86"/>
        <v>2002318563.2378063</v>
      </c>
      <c r="BH882" s="215">
        <v>833</v>
      </c>
      <c r="BI882" s="219">
        <f t="shared" si="87"/>
        <v>1.12E-2</v>
      </c>
      <c r="BJ882" s="218">
        <f t="shared" ref="BJ882:BJ945" si="89">BG882*BI882</f>
        <v>22425967.90826343</v>
      </c>
      <c r="BK882" s="217">
        <f t="shared" si="88"/>
        <v>1000</v>
      </c>
    </row>
    <row r="883" spans="8:63" s="215" customFormat="1">
      <c r="H883" s="211"/>
      <c r="I883" s="211"/>
      <c r="J883" s="211"/>
      <c r="K883" s="211"/>
      <c r="L883" s="211"/>
      <c r="M883" s="211"/>
      <c r="BF883" s="215">
        <v>834</v>
      </c>
      <c r="BG883" s="218">
        <f t="shared" ref="BG883:BG946" si="90">BG882+BJ882+BK883</f>
        <v>2024745531.1460698</v>
      </c>
      <c r="BH883" s="215">
        <v>834</v>
      </c>
      <c r="BI883" s="219">
        <f t="shared" ref="BI883:BI946" si="91">BI882</f>
        <v>1.12E-2</v>
      </c>
      <c r="BJ883" s="218">
        <f t="shared" si="89"/>
        <v>22677149.94883598</v>
      </c>
      <c r="BK883" s="217">
        <f t="shared" ref="BK883:BK946" si="92">BK882</f>
        <v>1000</v>
      </c>
    </row>
    <row r="884" spans="8:63" s="215" customFormat="1">
      <c r="H884" s="211"/>
      <c r="I884" s="211"/>
      <c r="J884" s="211"/>
      <c r="K884" s="211"/>
      <c r="L884" s="211"/>
      <c r="M884" s="211"/>
      <c r="BF884" s="215">
        <v>835</v>
      </c>
      <c r="BG884" s="218">
        <f t="shared" si="90"/>
        <v>2047423681.0949059</v>
      </c>
      <c r="BH884" s="215">
        <v>835</v>
      </c>
      <c r="BI884" s="219">
        <f t="shared" si="91"/>
        <v>1.12E-2</v>
      </c>
      <c r="BJ884" s="218">
        <f t="shared" si="89"/>
        <v>22931145.228262946</v>
      </c>
      <c r="BK884" s="217">
        <f t="shared" si="92"/>
        <v>1000</v>
      </c>
    </row>
    <row r="885" spans="8:63" s="215" customFormat="1">
      <c r="H885" s="211"/>
      <c r="I885" s="211"/>
      <c r="J885" s="211"/>
      <c r="K885" s="211"/>
      <c r="L885" s="211"/>
      <c r="M885" s="211"/>
      <c r="BF885" s="215">
        <v>836</v>
      </c>
      <c r="BG885" s="218">
        <f t="shared" si="90"/>
        <v>2070355826.3231688</v>
      </c>
      <c r="BH885" s="215">
        <v>836</v>
      </c>
      <c r="BI885" s="219">
        <f t="shared" si="91"/>
        <v>1.12E-2</v>
      </c>
      <c r="BJ885" s="218">
        <f t="shared" si="89"/>
        <v>23187985.25481949</v>
      </c>
      <c r="BK885" s="217">
        <f t="shared" si="92"/>
        <v>1000</v>
      </c>
    </row>
    <row r="886" spans="8:63" s="215" customFormat="1">
      <c r="H886" s="211"/>
      <c r="I886" s="211"/>
      <c r="J886" s="211"/>
      <c r="K886" s="211"/>
      <c r="L886" s="211"/>
      <c r="M886" s="211"/>
      <c r="BF886" s="215">
        <v>837</v>
      </c>
      <c r="BG886" s="218">
        <f t="shared" si="90"/>
        <v>2093544811.5779881</v>
      </c>
      <c r="BH886" s="215">
        <v>837</v>
      </c>
      <c r="BI886" s="219">
        <f t="shared" si="91"/>
        <v>1.12E-2</v>
      </c>
      <c r="BJ886" s="218">
        <f t="shared" si="89"/>
        <v>23447701.889673468</v>
      </c>
      <c r="BK886" s="217">
        <f t="shared" si="92"/>
        <v>1000</v>
      </c>
    </row>
    <row r="887" spans="8:63" s="215" customFormat="1">
      <c r="H887" s="211"/>
      <c r="I887" s="211"/>
      <c r="J887" s="211"/>
      <c r="K887" s="211"/>
      <c r="L887" s="211"/>
      <c r="M887" s="211"/>
      <c r="BF887" s="215">
        <v>838</v>
      </c>
      <c r="BG887" s="218">
        <f t="shared" si="90"/>
        <v>2116993513.4676616</v>
      </c>
      <c r="BH887" s="215">
        <v>838</v>
      </c>
      <c r="BI887" s="219">
        <f t="shared" si="91"/>
        <v>1.12E-2</v>
      </c>
      <c r="BJ887" s="218">
        <f t="shared" si="89"/>
        <v>23710327.350837808</v>
      </c>
      <c r="BK887" s="217">
        <f t="shared" si="92"/>
        <v>1000</v>
      </c>
    </row>
    <row r="888" spans="8:63" s="215" customFormat="1">
      <c r="H888" s="211"/>
      <c r="I888" s="211"/>
      <c r="J888" s="211"/>
      <c r="K888" s="211"/>
      <c r="L888" s="211"/>
      <c r="M888" s="211"/>
      <c r="BF888" s="215">
        <v>839</v>
      </c>
      <c r="BG888" s="218">
        <f t="shared" si="90"/>
        <v>2140704840.8184993</v>
      </c>
      <c r="BH888" s="215">
        <v>839</v>
      </c>
      <c r="BI888" s="219">
        <f t="shared" si="91"/>
        <v>1.12E-2</v>
      </c>
      <c r="BJ888" s="218">
        <f t="shared" si="89"/>
        <v>23975894.217167191</v>
      </c>
      <c r="BK888" s="217">
        <f t="shared" si="92"/>
        <v>1000</v>
      </c>
    </row>
    <row r="889" spans="8:63" s="215" customFormat="1">
      <c r="H889" s="211"/>
      <c r="I889" s="211"/>
      <c r="J889" s="211"/>
      <c r="K889" s="211"/>
      <c r="L889" s="211"/>
      <c r="M889" s="211"/>
      <c r="BF889" s="215">
        <v>840</v>
      </c>
      <c r="BG889" s="218">
        <f t="shared" si="90"/>
        <v>2164681735.0356665</v>
      </c>
      <c r="BH889" s="215">
        <v>840</v>
      </c>
      <c r="BI889" s="219">
        <f t="shared" si="91"/>
        <v>1.12E-2</v>
      </c>
      <c r="BJ889" s="218">
        <f t="shared" si="89"/>
        <v>24244435.432399463</v>
      </c>
      <c r="BK889" s="217">
        <f t="shared" si="92"/>
        <v>1000</v>
      </c>
    </row>
    <row r="890" spans="8:63" s="215" customFormat="1">
      <c r="H890" s="211"/>
      <c r="I890" s="211"/>
      <c r="J890" s="211"/>
      <c r="K890" s="211"/>
      <c r="L890" s="211"/>
      <c r="M890" s="211"/>
      <c r="BF890" s="215">
        <v>841</v>
      </c>
      <c r="BG890" s="218">
        <f t="shared" si="90"/>
        <v>2188927170.4680657</v>
      </c>
      <c r="BH890" s="215">
        <v>841</v>
      </c>
      <c r="BI890" s="219">
        <f t="shared" si="91"/>
        <v>1.12E-2</v>
      </c>
      <c r="BJ890" s="218">
        <f t="shared" si="89"/>
        <v>24515984.309242334</v>
      </c>
      <c r="BK890" s="217">
        <f t="shared" si="92"/>
        <v>1000</v>
      </c>
    </row>
    <row r="891" spans="8:63" s="215" customFormat="1">
      <c r="H891" s="211"/>
      <c r="I891" s="211"/>
      <c r="J891" s="211"/>
      <c r="K891" s="211"/>
      <c r="L891" s="211"/>
      <c r="M891" s="211"/>
      <c r="BF891" s="215">
        <v>842</v>
      </c>
      <c r="BG891" s="218">
        <f t="shared" si="90"/>
        <v>2213444154.777308</v>
      </c>
      <c r="BH891" s="215">
        <v>842</v>
      </c>
      <c r="BI891" s="219">
        <f t="shared" si="91"/>
        <v>1.12E-2</v>
      </c>
      <c r="BJ891" s="218">
        <f t="shared" si="89"/>
        <v>24790574.53350585</v>
      </c>
      <c r="BK891" s="217">
        <f t="shared" si="92"/>
        <v>1000</v>
      </c>
    </row>
    <row r="892" spans="8:63" s="215" customFormat="1">
      <c r="H892" s="211"/>
      <c r="I892" s="211"/>
      <c r="J892" s="211"/>
      <c r="K892" s="211"/>
      <c r="L892" s="211"/>
      <c r="M892" s="211"/>
      <c r="BF892" s="215">
        <v>843</v>
      </c>
      <c r="BG892" s="218">
        <f t="shared" si="90"/>
        <v>2238235729.3108139</v>
      </c>
      <c r="BH892" s="215">
        <v>843</v>
      </c>
      <c r="BI892" s="219">
        <f t="shared" si="91"/>
        <v>1.12E-2</v>
      </c>
      <c r="BJ892" s="218">
        <f t="shared" si="89"/>
        <v>25068240.168281116</v>
      </c>
      <c r="BK892" s="217">
        <f t="shared" si="92"/>
        <v>1000</v>
      </c>
    </row>
    <row r="893" spans="8:63" s="215" customFormat="1">
      <c r="H893" s="211"/>
      <c r="I893" s="211"/>
      <c r="J893" s="211"/>
      <c r="K893" s="211"/>
      <c r="L893" s="211"/>
      <c r="M893" s="211"/>
      <c r="BF893" s="215">
        <v>844</v>
      </c>
      <c r="BG893" s="218">
        <f t="shared" si="90"/>
        <v>2263304969.479095</v>
      </c>
      <c r="BH893" s="215">
        <v>844</v>
      </c>
      <c r="BI893" s="219">
        <f t="shared" si="91"/>
        <v>1.12E-2</v>
      </c>
      <c r="BJ893" s="218">
        <f t="shared" si="89"/>
        <v>25349015.658165865</v>
      </c>
      <c r="BK893" s="217">
        <f t="shared" si="92"/>
        <v>1000</v>
      </c>
    </row>
    <row r="894" spans="8:63" s="215" customFormat="1">
      <c r="H894" s="211"/>
      <c r="I894" s="211"/>
      <c r="J894" s="211"/>
      <c r="K894" s="211"/>
      <c r="L894" s="211"/>
      <c r="M894" s="211"/>
      <c r="BF894" s="215">
        <v>845</v>
      </c>
      <c r="BG894" s="218">
        <f t="shared" si="90"/>
        <v>2288654985.1372609</v>
      </c>
      <c r="BH894" s="215">
        <v>845</v>
      </c>
      <c r="BI894" s="219">
        <f t="shared" si="91"/>
        <v>1.12E-2</v>
      </c>
      <c r="BJ894" s="218">
        <f t="shared" si="89"/>
        <v>25632935.833537322</v>
      </c>
      <c r="BK894" s="217">
        <f t="shared" si="92"/>
        <v>1000</v>
      </c>
    </row>
    <row r="895" spans="8:63" s="215" customFormat="1">
      <c r="H895" s="211"/>
      <c r="I895" s="211"/>
      <c r="J895" s="211"/>
      <c r="K895" s="211"/>
      <c r="L895" s="211"/>
      <c r="M895" s="211"/>
      <c r="BF895" s="215">
        <v>846</v>
      </c>
      <c r="BG895" s="218">
        <f t="shared" si="90"/>
        <v>2314288920.970798</v>
      </c>
      <c r="BH895" s="215">
        <v>846</v>
      </c>
      <c r="BI895" s="219">
        <f t="shared" si="91"/>
        <v>1.12E-2</v>
      </c>
      <c r="BJ895" s="218">
        <f t="shared" si="89"/>
        <v>25920035.914872937</v>
      </c>
      <c r="BK895" s="217">
        <f t="shared" si="92"/>
        <v>1000</v>
      </c>
    </row>
    <row r="896" spans="8:63" s="215" customFormat="1">
      <c r="H896" s="211"/>
      <c r="I896" s="211"/>
      <c r="J896" s="211"/>
      <c r="K896" s="211"/>
      <c r="L896" s="211"/>
      <c r="M896" s="211"/>
      <c r="BF896" s="215">
        <v>847</v>
      </c>
      <c r="BG896" s="218">
        <f t="shared" si="90"/>
        <v>2340209956.8856711</v>
      </c>
      <c r="BH896" s="215">
        <v>847</v>
      </c>
      <c r="BI896" s="219">
        <f t="shared" si="91"/>
        <v>1.12E-2</v>
      </c>
      <c r="BJ896" s="218">
        <f t="shared" si="89"/>
        <v>26210351.517119516</v>
      </c>
      <c r="BK896" s="217">
        <f t="shared" si="92"/>
        <v>1000</v>
      </c>
    </row>
    <row r="897" spans="8:63" s="215" customFormat="1">
      <c r="H897" s="211"/>
      <c r="I897" s="211"/>
      <c r="J897" s="211"/>
      <c r="K897" s="211"/>
      <c r="L897" s="211"/>
      <c r="M897" s="211"/>
      <c r="BF897" s="215">
        <v>848</v>
      </c>
      <c r="BG897" s="218">
        <f t="shared" si="90"/>
        <v>2366421308.4027905</v>
      </c>
      <c r="BH897" s="215">
        <v>848</v>
      </c>
      <c r="BI897" s="219">
        <f t="shared" si="91"/>
        <v>1.12E-2</v>
      </c>
      <c r="BJ897" s="218">
        <f t="shared" si="89"/>
        <v>26503918.654111255</v>
      </c>
      <c r="BK897" s="217">
        <f t="shared" si="92"/>
        <v>1000</v>
      </c>
    </row>
    <row r="898" spans="8:63" s="215" customFormat="1">
      <c r="H898" s="211"/>
      <c r="I898" s="211"/>
      <c r="J898" s="211"/>
      <c r="K898" s="211"/>
      <c r="L898" s="211"/>
      <c r="M898" s="211"/>
      <c r="BF898" s="215">
        <v>849</v>
      </c>
      <c r="BG898" s="218">
        <f t="shared" si="90"/>
        <v>2392926227.0569019</v>
      </c>
      <c r="BH898" s="215">
        <v>849</v>
      </c>
      <c r="BI898" s="219">
        <f t="shared" si="91"/>
        <v>1.12E-2</v>
      </c>
      <c r="BJ898" s="218">
        <f t="shared" si="89"/>
        <v>26800773.743037302</v>
      </c>
      <c r="BK898" s="217">
        <f t="shared" si="92"/>
        <v>1000</v>
      </c>
    </row>
    <row r="899" spans="8:63" s="215" customFormat="1">
      <c r="H899" s="211"/>
      <c r="I899" s="211"/>
      <c r="J899" s="211"/>
      <c r="K899" s="211"/>
      <c r="L899" s="211"/>
      <c r="M899" s="211"/>
      <c r="BF899" s="215">
        <v>850</v>
      </c>
      <c r="BG899" s="218">
        <f t="shared" si="90"/>
        <v>2419728000.7999392</v>
      </c>
      <c r="BH899" s="215">
        <v>850</v>
      </c>
      <c r="BI899" s="219">
        <f t="shared" si="91"/>
        <v>1.12E-2</v>
      </c>
      <c r="BJ899" s="218">
        <f t="shared" si="89"/>
        <v>27100953.608959317</v>
      </c>
      <c r="BK899" s="217">
        <f t="shared" si="92"/>
        <v>1000</v>
      </c>
    </row>
    <row r="900" spans="8:63" s="215" customFormat="1">
      <c r="H900" s="211"/>
      <c r="I900" s="211"/>
      <c r="J900" s="211"/>
      <c r="K900" s="211"/>
      <c r="L900" s="211"/>
      <c r="M900" s="211"/>
      <c r="BF900" s="215">
        <v>851</v>
      </c>
      <c r="BG900" s="218">
        <f t="shared" si="90"/>
        <v>2446829954.4088984</v>
      </c>
      <c r="BH900" s="215">
        <v>851</v>
      </c>
      <c r="BI900" s="219">
        <f t="shared" si="91"/>
        <v>1.12E-2</v>
      </c>
      <c r="BJ900" s="218">
        <f t="shared" si="89"/>
        <v>27404495.489379663</v>
      </c>
      <c r="BK900" s="217">
        <f t="shared" si="92"/>
        <v>1000</v>
      </c>
    </row>
    <row r="901" spans="8:63" s="215" customFormat="1">
      <c r="H901" s="211"/>
      <c r="I901" s="211"/>
      <c r="J901" s="211"/>
      <c r="K901" s="211"/>
      <c r="L901" s="211"/>
      <c r="M901" s="211"/>
      <c r="BF901" s="215">
        <v>852</v>
      </c>
      <c r="BG901" s="218">
        <f t="shared" si="90"/>
        <v>2474235449.8982782</v>
      </c>
      <c r="BH901" s="215">
        <v>852</v>
      </c>
      <c r="BI901" s="219">
        <f t="shared" si="91"/>
        <v>1.12E-2</v>
      </c>
      <c r="BJ901" s="218">
        <f t="shared" si="89"/>
        <v>27711437.038860716</v>
      </c>
      <c r="BK901" s="217">
        <f t="shared" si="92"/>
        <v>1000</v>
      </c>
    </row>
    <row r="902" spans="8:63" s="215" customFormat="1">
      <c r="H902" s="211"/>
      <c r="I902" s="211"/>
      <c r="J902" s="211"/>
      <c r="K902" s="211"/>
      <c r="L902" s="211"/>
      <c r="M902" s="211"/>
      <c r="BF902" s="215">
        <v>853</v>
      </c>
      <c r="BG902" s="218">
        <f t="shared" si="90"/>
        <v>2501947886.937139</v>
      </c>
      <c r="BH902" s="215">
        <v>853</v>
      </c>
      <c r="BI902" s="219">
        <f t="shared" si="91"/>
        <v>1.12E-2</v>
      </c>
      <c r="BJ902" s="218">
        <f t="shared" si="89"/>
        <v>28021816.333695956</v>
      </c>
      <c r="BK902" s="217">
        <f t="shared" si="92"/>
        <v>1000</v>
      </c>
    </row>
    <row r="903" spans="8:63" s="215" customFormat="1">
      <c r="H903" s="211"/>
      <c r="I903" s="211"/>
      <c r="J903" s="211"/>
      <c r="K903" s="211"/>
      <c r="L903" s="211"/>
      <c r="M903" s="211"/>
      <c r="BF903" s="215">
        <v>854</v>
      </c>
      <c r="BG903" s="218">
        <f t="shared" si="90"/>
        <v>2529970703.2708349</v>
      </c>
      <c r="BH903" s="215">
        <v>854</v>
      </c>
      <c r="BI903" s="219">
        <f t="shared" si="91"/>
        <v>1.12E-2</v>
      </c>
      <c r="BJ903" s="218">
        <f t="shared" si="89"/>
        <v>28335671.87663335</v>
      </c>
      <c r="BK903" s="217">
        <f t="shared" si="92"/>
        <v>1000</v>
      </c>
    </row>
    <row r="904" spans="8:63" s="215" customFormat="1">
      <c r="H904" s="211"/>
      <c r="I904" s="211"/>
      <c r="J904" s="211"/>
      <c r="K904" s="211"/>
      <c r="L904" s="211"/>
      <c r="M904" s="211"/>
      <c r="BF904" s="215">
        <v>855</v>
      </c>
      <c r="BG904" s="218">
        <f t="shared" si="90"/>
        <v>2558307375.1474681</v>
      </c>
      <c r="BH904" s="215">
        <v>855</v>
      </c>
      <c r="BI904" s="219">
        <f t="shared" si="91"/>
        <v>1.12E-2</v>
      </c>
      <c r="BJ904" s="218">
        <f t="shared" si="89"/>
        <v>28653042.601651642</v>
      </c>
      <c r="BK904" s="217">
        <f t="shared" si="92"/>
        <v>1000</v>
      </c>
    </row>
    <row r="905" spans="8:63" s="215" customFormat="1">
      <c r="H905" s="211"/>
      <c r="I905" s="211"/>
      <c r="J905" s="211"/>
      <c r="K905" s="211"/>
      <c r="L905" s="211"/>
      <c r="M905" s="211"/>
      <c r="BF905" s="215">
        <v>856</v>
      </c>
      <c r="BG905" s="218">
        <f t="shared" si="90"/>
        <v>2586961417.7491198</v>
      </c>
      <c r="BH905" s="215">
        <v>856</v>
      </c>
      <c r="BI905" s="219">
        <f t="shared" si="91"/>
        <v>1.12E-2</v>
      </c>
      <c r="BJ905" s="218">
        <f t="shared" si="89"/>
        <v>28973967.87879014</v>
      </c>
      <c r="BK905" s="217">
        <f t="shared" si="92"/>
        <v>1000</v>
      </c>
    </row>
    <row r="906" spans="8:63" s="215" customFormat="1">
      <c r="H906" s="211"/>
      <c r="I906" s="211"/>
      <c r="J906" s="211"/>
      <c r="K906" s="211"/>
      <c r="L906" s="211"/>
      <c r="M906" s="211"/>
      <c r="BF906" s="215">
        <v>857</v>
      </c>
      <c r="BG906" s="218">
        <f t="shared" si="90"/>
        <v>2615936385.6279097</v>
      </c>
      <c r="BH906" s="215">
        <v>857</v>
      </c>
      <c r="BI906" s="219">
        <f t="shared" si="91"/>
        <v>1.12E-2</v>
      </c>
      <c r="BJ906" s="218">
        <f t="shared" si="89"/>
        <v>29298487.519032586</v>
      </c>
      <c r="BK906" s="217">
        <f t="shared" si="92"/>
        <v>1000</v>
      </c>
    </row>
    <row r="907" spans="8:63" s="215" customFormat="1">
      <c r="H907" s="211"/>
      <c r="I907" s="211"/>
      <c r="J907" s="211"/>
      <c r="K907" s="211"/>
      <c r="L907" s="211"/>
      <c r="M907" s="211"/>
      <c r="BF907" s="215">
        <v>858</v>
      </c>
      <c r="BG907" s="218">
        <f t="shared" si="90"/>
        <v>2645235873.1469421</v>
      </c>
      <c r="BH907" s="215">
        <v>858</v>
      </c>
      <c r="BI907" s="219">
        <f t="shared" si="91"/>
        <v>1.12E-2</v>
      </c>
      <c r="BJ907" s="218">
        <f t="shared" si="89"/>
        <v>29626641.779245753</v>
      </c>
      <c r="BK907" s="217">
        <f t="shared" si="92"/>
        <v>1000</v>
      </c>
    </row>
    <row r="908" spans="8:63" s="215" customFormat="1">
      <c r="H908" s="211"/>
      <c r="I908" s="211"/>
      <c r="J908" s="211"/>
      <c r="K908" s="211"/>
      <c r="L908" s="211"/>
      <c r="M908" s="211"/>
      <c r="BF908" s="215">
        <v>859</v>
      </c>
      <c r="BG908" s="218">
        <f t="shared" si="90"/>
        <v>2674863514.926188</v>
      </c>
      <c r="BH908" s="215">
        <v>859</v>
      </c>
      <c r="BI908" s="219">
        <f t="shared" si="91"/>
        <v>1.12E-2</v>
      </c>
      <c r="BJ908" s="218">
        <f t="shared" si="89"/>
        <v>29958471.367173307</v>
      </c>
      <c r="BK908" s="217">
        <f t="shared" si="92"/>
        <v>1000</v>
      </c>
    </row>
    <row r="909" spans="8:63" s="215" customFormat="1">
      <c r="H909" s="211"/>
      <c r="I909" s="211"/>
      <c r="J909" s="211"/>
      <c r="K909" s="211"/>
      <c r="L909" s="211"/>
      <c r="M909" s="211"/>
      <c r="BF909" s="215">
        <v>860</v>
      </c>
      <c r="BG909" s="218">
        <f t="shared" si="90"/>
        <v>2704822986.2933612</v>
      </c>
      <c r="BH909" s="215">
        <v>860</v>
      </c>
      <c r="BI909" s="219">
        <f t="shared" si="91"/>
        <v>1.12E-2</v>
      </c>
      <c r="BJ909" s="218">
        <f t="shared" si="89"/>
        <v>30294017.446485646</v>
      </c>
      <c r="BK909" s="217">
        <f t="shared" si="92"/>
        <v>1000</v>
      </c>
    </row>
    <row r="910" spans="8:63" s="215" customFormat="1">
      <c r="H910" s="211"/>
      <c r="I910" s="211"/>
      <c r="J910" s="211"/>
      <c r="K910" s="211"/>
      <c r="L910" s="211"/>
      <c r="M910" s="211"/>
      <c r="BF910" s="215">
        <v>861</v>
      </c>
      <c r="BG910" s="218">
        <f t="shared" si="90"/>
        <v>2735118003.7398467</v>
      </c>
      <c r="BH910" s="215">
        <v>861</v>
      </c>
      <c r="BI910" s="219">
        <f t="shared" si="91"/>
        <v>1.12E-2</v>
      </c>
      <c r="BJ910" s="218">
        <f t="shared" si="89"/>
        <v>30633321.641886283</v>
      </c>
      <c r="BK910" s="217">
        <f t="shared" si="92"/>
        <v>1000</v>
      </c>
    </row>
    <row r="911" spans="8:63" s="215" customFormat="1">
      <c r="H911" s="211"/>
      <c r="I911" s="211"/>
      <c r="J911" s="211"/>
      <c r="K911" s="211"/>
      <c r="L911" s="211"/>
      <c r="M911" s="211"/>
      <c r="BF911" s="215">
        <v>862</v>
      </c>
      <c r="BG911" s="218">
        <f t="shared" si="90"/>
        <v>2765752325.3817329</v>
      </c>
      <c r="BH911" s="215">
        <v>862</v>
      </c>
      <c r="BI911" s="219">
        <f t="shared" si="91"/>
        <v>1.12E-2</v>
      </c>
      <c r="BJ911" s="218">
        <f t="shared" si="89"/>
        <v>30976426.04427541</v>
      </c>
      <c r="BK911" s="217">
        <f t="shared" si="92"/>
        <v>1000</v>
      </c>
    </row>
    <row r="912" spans="8:63" s="215" customFormat="1">
      <c r="H912" s="211"/>
      <c r="I912" s="211"/>
      <c r="J912" s="211"/>
      <c r="K912" s="211"/>
      <c r="L912" s="211"/>
      <c r="M912" s="211"/>
      <c r="BF912" s="215">
        <v>863</v>
      </c>
      <c r="BG912" s="218">
        <f t="shared" si="90"/>
        <v>2796729751.4260082</v>
      </c>
      <c r="BH912" s="215">
        <v>863</v>
      </c>
      <c r="BI912" s="219">
        <f t="shared" si="91"/>
        <v>1.12E-2</v>
      </c>
      <c r="BJ912" s="218">
        <f t="shared" si="89"/>
        <v>31323373.215971291</v>
      </c>
      <c r="BK912" s="217">
        <f t="shared" si="92"/>
        <v>1000</v>
      </c>
    </row>
    <row r="913" spans="8:63" s="215" customFormat="1">
      <c r="H913" s="211"/>
      <c r="I913" s="211"/>
      <c r="J913" s="211"/>
      <c r="K913" s="211"/>
      <c r="L913" s="211"/>
      <c r="M913" s="211"/>
      <c r="BF913" s="215">
        <v>864</v>
      </c>
      <c r="BG913" s="218">
        <f t="shared" si="90"/>
        <v>2828054124.6419797</v>
      </c>
      <c r="BH913" s="215">
        <v>864</v>
      </c>
      <c r="BI913" s="219">
        <f t="shared" si="91"/>
        <v>1.12E-2</v>
      </c>
      <c r="BJ913" s="218">
        <f t="shared" si="89"/>
        <v>31674206.195990171</v>
      </c>
      <c r="BK913" s="217">
        <f t="shared" si="92"/>
        <v>1000</v>
      </c>
    </row>
    <row r="914" spans="8:63" s="215" customFormat="1">
      <c r="H914" s="211"/>
      <c r="I914" s="211"/>
      <c r="J914" s="211"/>
      <c r="K914" s="211"/>
      <c r="L914" s="211"/>
      <c r="M914" s="211"/>
      <c r="BF914" s="215">
        <v>865</v>
      </c>
      <c r="BG914" s="218">
        <f t="shared" si="90"/>
        <v>2859729330.8379698</v>
      </c>
      <c r="BH914" s="215">
        <v>865</v>
      </c>
      <c r="BI914" s="219">
        <f t="shared" si="91"/>
        <v>1.12E-2</v>
      </c>
      <c r="BJ914" s="218">
        <f t="shared" si="89"/>
        <v>32028968.505385261</v>
      </c>
      <c r="BK914" s="217">
        <f t="shared" si="92"/>
        <v>1000</v>
      </c>
    </row>
    <row r="915" spans="8:63" s="215" customFormat="1">
      <c r="H915" s="211"/>
      <c r="I915" s="211"/>
      <c r="J915" s="211"/>
      <c r="K915" s="211"/>
      <c r="L915" s="211"/>
      <c r="M915" s="211"/>
      <c r="BF915" s="215">
        <v>866</v>
      </c>
      <c r="BG915" s="218">
        <f t="shared" si="90"/>
        <v>2891759299.3433552</v>
      </c>
      <c r="BH915" s="215">
        <v>866</v>
      </c>
      <c r="BI915" s="219">
        <f t="shared" si="91"/>
        <v>1.12E-2</v>
      </c>
      <c r="BJ915" s="218">
        <f t="shared" si="89"/>
        <v>32387704.152645577</v>
      </c>
      <c r="BK915" s="217">
        <f t="shared" si="92"/>
        <v>1000</v>
      </c>
    </row>
    <row r="916" spans="8:63" s="215" customFormat="1">
      <c r="H916" s="211"/>
      <c r="I916" s="211"/>
      <c r="J916" s="211"/>
      <c r="K916" s="211"/>
      <c r="L916" s="211"/>
      <c r="M916" s="211"/>
      <c r="BF916" s="215">
        <v>867</v>
      </c>
      <c r="BG916" s="218">
        <f t="shared" si="90"/>
        <v>2924148003.4960008</v>
      </c>
      <c r="BH916" s="215">
        <v>867</v>
      </c>
      <c r="BI916" s="219">
        <f t="shared" si="91"/>
        <v>1.12E-2</v>
      </c>
      <c r="BJ916" s="218">
        <f t="shared" si="89"/>
        <v>32750457.639155209</v>
      </c>
      <c r="BK916" s="217">
        <f t="shared" si="92"/>
        <v>1000</v>
      </c>
    </row>
    <row r="917" spans="8:63" s="215" customFormat="1">
      <c r="H917" s="211"/>
      <c r="I917" s="211"/>
      <c r="J917" s="211"/>
      <c r="K917" s="211"/>
      <c r="L917" s="211"/>
      <c r="M917" s="211"/>
      <c r="BF917" s="215">
        <v>868</v>
      </c>
      <c r="BG917" s="218">
        <f t="shared" si="90"/>
        <v>2956899461.1351562</v>
      </c>
      <c r="BH917" s="215">
        <v>868</v>
      </c>
      <c r="BI917" s="219">
        <f t="shared" si="91"/>
        <v>1.12E-2</v>
      </c>
      <c r="BJ917" s="218">
        <f t="shared" si="89"/>
        <v>33117273.964713749</v>
      </c>
      <c r="BK917" s="217">
        <f t="shared" si="92"/>
        <v>1000</v>
      </c>
    </row>
    <row r="918" spans="8:63" s="215" customFormat="1">
      <c r="H918" s="211"/>
      <c r="I918" s="211"/>
      <c r="J918" s="211"/>
      <c r="K918" s="211"/>
      <c r="L918" s="211"/>
      <c r="M918" s="211"/>
      <c r="BF918" s="215">
        <v>869</v>
      </c>
      <c r="BG918" s="218">
        <f t="shared" si="90"/>
        <v>2990017735.0998697</v>
      </c>
      <c r="BH918" s="215">
        <v>869</v>
      </c>
      <c r="BI918" s="219">
        <f t="shared" si="91"/>
        <v>1.12E-2</v>
      </c>
      <c r="BJ918" s="218">
        <f t="shared" si="89"/>
        <v>33488198.63311854</v>
      </c>
      <c r="BK918" s="217">
        <f t="shared" si="92"/>
        <v>1000</v>
      </c>
    </row>
    <row r="919" spans="8:63" s="215" customFormat="1">
      <c r="H919" s="211"/>
      <c r="I919" s="211"/>
      <c r="J919" s="211"/>
      <c r="K919" s="211"/>
      <c r="L919" s="211"/>
      <c r="M919" s="211"/>
      <c r="BF919" s="215">
        <v>870</v>
      </c>
      <c r="BG919" s="218">
        <f t="shared" si="90"/>
        <v>3023506933.7329884</v>
      </c>
      <c r="BH919" s="215">
        <v>870</v>
      </c>
      <c r="BI919" s="219">
        <f t="shared" si="91"/>
        <v>1.12E-2</v>
      </c>
      <c r="BJ919" s="218">
        <f t="shared" si="89"/>
        <v>33863277.657809466</v>
      </c>
      <c r="BK919" s="217">
        <f t="shared" si="92"/>
        <v>1000</v>
      </c>
    </row>
    <row r="920" spans="8:63" s="215" customFormat="1">
      <c r="H920" s="211"/>
      <c r="I920" s="211"/>
      <c r="J920" s="211"/>
      <c r="K920" s="211"/>
      <c r="L920" s="211"/>
      <c r="M920" s="211"/>
      <c r="BF920" s="215">
        <v>871</v>
      </c>
      <c r="BG920" s="218">
        <f t="shared" si="90"/>
        <v>3057371211.3907976</v>
      </c>
      <c r="BH920" s="215">
        <v>871</v>
      </c>
      <c r="BI920" s="219">
        <f t="shared" si="91"/>
        <v>1.12E-2</v>
      </c>
      <c r="BJ920" s="218">
        <f t="shared" si="89"/>
        <v>34242557.56757693</v>
      </c>
      <c r="BK920" s="217">
        <f t="shared" si="92"/>
        <v>1000</v>
      </c>
    </row>
    <row r="921" spans="8:63" s="215" customFormat="1">
      <c r="H921" s="211"/>
      <c r="I921" s="211"/>
      <c r="J921" s="211"/>
      <c r="K921" s="211"/>
      <c r="L921" s="211"/>
      <c r="M921" s="211"/>
      <c r="BF921" s="215">
        <v>872</v>
      </c>
      <c r="BG921" s="218">
        <f t="shared" si="90"/>
        <v>3091614768.9583745</v>
      </c>
      <c r="BH921" s="215">
        <v>872</v>
      </c>
      <c r="BI921" s="219">
        <f t="shared" si="91"/>
        <v>1.12E-2</v>
      </c>
      <c r="BJ921" s="218">
        <f t="shared" si="89"/>
        <v>34626085.412333794</v>
      </c>
      <c r="BK921" s="217">
        <f t="shared" si="92"/>
        <v>1000</v>
      </c>
    </row>
    <row r="922" spans="8:63" s="215" customFormat="1">
      <c r="H922" s="211"/>
      <c r="I922" s="211"/>
      <c r="J922" s="211"/>
      <c r="K922" s="211"/>
      <c r="L922" s="211"/>
      <c r="M922" s="211"/>
      <c r="BF922" s="215">
        <v>873</v>
      </c>
      <c r="BG922" s="218">
        <f t="shared" si="90"/>
        <v>3126241854.3707085</v>
      </c>
      <c r="BH922" s="215">
        <v>873</v>
      </c>
      <c r="BI922" s="219">
        <f t="shared" si="91"/>
        <v>1.12E-2</v>
      </c>
      <c r="BJ922" s="218">
        <f t="shared" si="89"/>
        <v>35013908.768951938</v>
      </c>
      <c r="BK922" s="217">
        <f t="shared" si="92"/>
        <v>1000</v>
      </c>
    </row>
    <row r="923" spans="8:63" s="215" customFormat="1">
      <c r="H923" s="211"/>
      <c r="I923" s="211"/>
      <c r="J923" s="211"/>
      <c r="K923" s="211"/>
      <c r="L923" s="211"/>
      <c r="M923" s="211"/>
      <c r="BF923" s="215">
        <v>874</v>
      </c>
      <c r="BG923" s="218">
        <f t="shared" si="90"/>
        <v>3161256763.1396604</v>
      </c>
      <c r="BH923" s="215">
        <v>874</v>
      </c>
      <c r="BI923" s="219">
        <f t="shared" si="91"/>
        <v>1.12E-2</v>
      </c>
      <c r="BJ923" s="218">
        <f t="shared" si="89"/>
        <v>35406075.747164197</v>
      </c>
      <c r="BK923" s="217">
        <f t="shared" si="92"/>
        <v>1000</v>
      </c>
    </row>
    <row r="924" spans="8:63" s="215" customFormat="1">
      <c r="H924" s="211"/>
      <c r="I924" s="211"/>
      <c r="J924" s="211"/>
      <c r="K924" s="211"/>
      <c r="L924" s="211"/>
      <c r="M924" s="211"/>
      <c r="BF924" s="215">
        <v>875</v>
      </c>
      <c r="BG924" s="218">
        <f t="shared" si="90"/>
        <v>3196663838.8868246</v>
      </c>
      <c r="BH924" s="215">
        <v>875</v>
      </c>
      <c r="BI924" s="219">
        <f t="shared" si="91"/>
        <v>1.12E-2</v>
      </c>
      <c r="BJ924" s="218">
        <f t="shared" si="89"/>
        <v>35802634.995532438</v>
      </c>
      <c r="BK924" s="217">
        <f t="shared" si="92"/>
        <v>1000</v>
      </c>
    </row>
    <row r="925" spans="8:63" s="215" customFormat="1">
      <c r="H925" s="211"/>
      <c r="I925" s="211"/>
      <c r="J925" s="211"/>
      <c r="K925" s="211"/>
      <c r="L925" s="211"/>
      <c r="M925" s="211"/>
      <c r="BF925" s="215">
        <v>876</v>
      </c>
      <c r="BG925" s="218">
        <f t="shared" si="90"/>
        <v>3232467473.8823571</v>
      </c>
      <c r="BH925" s="215">
        <v>876</v>
      </c>
      <c r="BI925" s="219">
        <f t="shared" si="91"/>
        <v>1.12E-2</v>
      </c>
      <c r="BJ925" s="218">
        <f t="shared" si="89"/>
        <v>36203635.707482398</v>
      </c>
      <c r="BK925" s="217">
        <f t="shared" si="92"/>
        <v>1000</v>
      </c>
    </row>
    <row r="926" spans="8:63" s="215" customFormat="1">
      <c r="H926" s="211"/>
      <c r="I926" s="211"/>
      <c r="J926" s="211"/>
      <c r="K926" s="211"/>
      <c r="L926" s="211"/>
      <c r="M926" s="211"/>
      <c r="BF926" s="215">
        <v>877</v>
      </c>
      <c r="BG926" s="218">
        <f t="shared" si="90"/>
        <v>3268672109.5898395</v>
      </c>
      <c r="BH926" s="215">
        <v>877</v>
      </c>
      <c r="BI926" s="219">
        <f t="shared" si="91"/>
        <v>1.12E-2</v>
      </c>
      <c r="BJ926" s="218">
        <f t="shared" si="89"/>
        <v>36609127.627406202</v>
      </c>
      <c r="BK926" s="217">
        <f t="shared" si="92"/>
        <v>1000</v>
      </c>
    </row>
    <row r="927" spans="8:63" s="215" customFormat="1">
      <c r="H927" s="211"/>
      <c r="I927" s="211"/>
      <c r="J927" s="211"/>
      <c r="K927" s="211"/>
      <c r="L927" s="211"/>
      <c r="M927" s="211"/>
      <c r="BF927" s="215">
        <v>878</v>
      </c>
      <c r="BG927" s="218">
        <f t="shared" si="90"/>
        <v>3305282237.2172456</v>
      </c>
      <c r="BH927" s="215">
        <v>878</v>
      </c>
      <c r="BI927" s="219">
        <f t="shared" si="91"/>
        <v>1.12E-2</v>
      </c>
      <c r="BJ927" s="218">
        <f t="shared" si="89"/>
        <v>37019161.056833148</v>
      </c>
      <c r="BK927" s="217">
        <f t="shared" si="92"/>
        <v>1000</v>
      </c>
    </row>
    <row r="928" spans="8:63" s="215" customFormat="1">
      <c r="H928" s="211"/>
      <c r="I928" s="211"/>
      <c r="J928" s="211"/>
      <c r="K928" s="211"/>
      <c r="L928" s="211"/>
      <c r="M928" s="211"/>
      <c r="BF928" s="215">
        <v>879</v>
      </c>
      <c r="BG928" s="218">
        <f t="shared" si="90"/>
        <v>3342302398.2740788</v>
      </c>
      <c r="BH928" s="215">
        <v>879</v>
      </c>
      <c r="BI928" s="219">
        <f t="shared" si="91"/>
        <v>1.12E-2</v>
      </c>
      <c r="BJ928" s="218">
        <f t="shared" si="89"/>
        <v>37433786.86066968</v>
      </c>
      <c r="BK928" s="217">
        <f t="shared" si="92"/>
        <v>1000</v>
      </c>
    </row>
    <row r="929" spans="8:63" s="215" customFormat="1">
      <c r="H929" s="211"/>
      <c r="I929" s="211"/>
      <c r="J929" s="211"/>
      <c r="K929" s="211"/>
      <c r="L929" s="211"/>
      <c r="M929" s="211"/>
      <c r="BF929" s="215">
        <v>880</v>
      </c>
      <c r="BG929" s="218">
        <f t="shared" si="90"/>
        <v>3379737185.1347485</v>
      </c>
      <c r="BH929" s="215">
        <v>880</v>
      </c>
      <c r="BI929" s="219">
        <f t="shared" si="91"/>
        <v>1.12E-2</v>
      </c>
      <c r="BJ929" s="218">
        <f t="shared" si="89"/>
        <v>37853056.473509185</v>
      </c>
      <c r="BK929" s="217">
        <f t="shared" si="92"/>
        <v>1000</v>
      </c>
    </row>
    <row r="930" spans="8:63" s="215" customFormat="1">
      <c r="H930" s="211"/>
      <c r="I930" s="211"/>
      <c r="J930" s="211"/>
      <c r="K930" s="211"/>
      <c r="L930" s="211"/>
      <c r="M930" s="211"/>
      <c r="BF930" s="215">
        <v>881</v>
      </c>
      <c r="BG930" s="218">
        <f t="shared" si="90"/>
        <v>3417591241.6082578</v>
      </c>
      <c r="BH930" s="215">
        <v>881</v>
      </c>
      <c r="BI930" s="219">
        <f t="shared" si="91"/>
        <v>1.12E-2</v>
      </c>
      <c r="BJ930" s="218">
        <f t="shared" si="89"/>
        <v>38277021.906012483</v>
      </c>
      <c r="BK930" s="217">
        <f t="shared" si="92"/>
        <v>1000</v>
      </c>
    </row>
    <row r="931" spans="8:63" s="215" customFormat="1">
      <c r="H931" s="211"/>
      <c r="I931" s="211"/>
      <c r="J931" s="211"/>
      <c r="K931" s="211"/>
      <c r="L931" s="211"/>
      <c r="M931" s="211"/>
      <c r="BF931" s="215">
        <v>882</v>
      </c>
      <c r="BG931" s="218">
        <f t="shared" si="90"/>
        <v>3455869263.5142703</v>
      </c>
      <c r="BH931" s="215">
        <v>882</v>
      </c>
      <c r="BI931" s="219">
        <f t="shared" si="91"/>
        <v>1.12E-2</v>
      </c>
      <c r="BJ931" s="218">
        <f t="shared" si="89"/>
        <v>38705735.751359828</v>
      </c>
      <c r="BK931" s="217">
        <f t="shared" si="92"/>
        <v>1000</v>
      </c>
    </row>
    <row r="932" spans="8:63" s="215" customFormat="1">
      <c r="H932" s="211"/>
      <c r="I932" s="211"/>
      <c r="J932" s="211"/>
      <c r="K932" s="211"/>
      <c r="L932" s="211"/>
      <c r="M932" s="211"/>
      <c r="BF932" s="215">
        <v>883</v>
      </c>
      <c r="BG932" s="218">
        <f t="shared" si="90"/>
        <v>3494575999.2656302</v>
      </c>
      <c r="BH932" s="215">
        <v>883</v>
      </c>
      <c r="BI932" s="219">
        <f t="shared" si="91"/>
        <v>1.12E-2</v>
      </c>
      <c r="BJ932" s="218">
        <f t="shared" si="89"/>
        <v>39139251.191775061</v>
      </c>
      <c r="BK932" s="217">
        <f t="shared" si="92"/>
        <v>1000</v>
      </c>
    </row>
    <row r="933" spans="8:63" s="215" customFormat="1">
      <c r="H933" s="211"/>
      <c r="I933" s="211"/>
      <c r="J933" s="211"/>
      <c r="K933" s="211"/>
      <c r="L933" s="211"/>
      <c r="M933" s="211"/>
      <c r="BF933" s="215">
        <v>884</v>
      </c>
      <c r="BG933" s="218">
        <f t="shared" si="90"/>
        <v>3533716250.4574051</v>
      </c>
      <c r="BH933" s="215">
        <v>884</v>
      </c>
      <c r="BI933" s="219">
        <f t="shared" si="91"/>
        <v>1.12E-2</v>
      </c>
      <c r="BJ933" s="218">
        <f t="shared" si="89"/>
        <v>39577622.005122937</v>
      </c>
      <c r="BK933" s="217">
        <f t="shared" si="92"/>
        <v>1000</v>
      </c>
    </row>
    <row r="934" spans="8:63" s="215" customFormat="1">
      <c r="H934" s="211"/>
      <c r="I934" s="211"/>
      <c r="J934" s="211"/>
      <c r="K934" s="211"/>
      <c r="L934" s="211"/>
      <c r="M934" s="211"/>
      <c r="BF934" s="215">
        <v>885</v>
      </c>
      <c r="BG934" s="218">
        <f t="shared" si="90"/>
        <v>3573294872.4625282</v>
      </c>
      <c r="BH934" s="215">
        <v>885</v>
      </c>
      <c r="BI934" s="219">
        <f t="shared" si="91"/>
        <v>1.12E-2</v>
      </c>
      <c r="BJ934" s="218">
        <f t="shared" si="89"/>
        <v>40020902.571580313</v>
      </c>
      <c r="BK934" s="217">
        <f t="shared" si="92"/>
        <v>1000</v>
      </c>
    </row>
    <row r="935" spans="8:63" s="215" customFormat="1">
      <c r="H935" s="211"/>
      <c r="I935" s="211"/>
      <c r="J935" s="211"/>
      <c r="K935" s="211"/>
      <c r="L935" s="211"/>
      <c r="M935" s="211"/>
      <c r="BF935" s="215">
        <v>886</v>
      </c>
      <c r="BG935" s="218">
        <f t="shared" si="90"/>
        <v>3613316775.0341086</v>
      </c>
      <c r="BH935" s="215">
        <v>886</v>
      </c>
      <c r="BI935" s="219">
        <f t="shared" si="91"/>
        <v>1.12E-2</v>
      </c>
      <c r="BJ935" s="218">
        <f t="shared" si="89"/>
        <v>40469147.880382016</v>
      </c>
      <c r="BK935" s="217">
        <f t="shared" si="92"/>
        <v>1000</v>
      </c>
    </row>
    <row r="936" spans="8:63" s="215" customFormat="1">
      <c r="H936" s="211"/>
      <c r="I936" s="211"/>
      <c r="J936" s="211"/>
      <c r="K936" s="211"/>
      <c r="L936" s="211"/>
      <c r="M936" s="211"/>
      <c r="BF936" s="215">
        <v>887</v>
      </c>
      <c r="BG936" s="218">
        <f t="shared" si="90"/>
        <v>3653786922.9144907</v>
      </c>
      <c r="BH936" s="215">
        <v>887</v>
      </c>
      <c r="BI936" s="219">
        <f t="shared" si="91"/>
        <v>1.12E-2</v>
      </c>
      <c r="BJ936" s="218">
        <f t="shared" si="89"/>
        <v>40922413.536642298</v>
      </c>
      <c r="BK936" s="217">
        <f t="shared" si="92"/>
        <v>1000</v>
      </c>
    </row>
    <row r="937" spans="8:63" s="215" customFormat="1">
      <c r="H937" s="211"/>
      <c r="I937" s="211"/>
      <c r="J937" s="211"/>
      <c r="K937" s="211"/>
      <c r="L937" s="211"/>
      <c r="M937" s="211"/>
      <c r="BF937" s="215">
        <v>888</v>
      </c>
      <c r="BG937" s="218">
        <f t="shared" si="90"/>
        <v>3694710336.4511328</v>
      </c>
      <c r="BH937" s="215">
        <v>888</v>
      </c>
      <c r="BI937" s="219">
        <f t="shared" si="91"/>
        <v>1.12E-2</v>
      </c>
      <c r="BJ937" s="218">
        <f t="shared" si="89"/>
        <v>41380755.768252686</v>
      </c>
      <c r="BK937" s="217">
        <f t="shared" si="92"/>
        <v>1000</v>
      </c>
    </row>
    <row r="938" spans="8:63" s="215" customFormat="1">
      <c r="H938" s="211"/>
      <c r="I938" s="211"/>
      <c r="J938" s="211"/>
      <c r="K938" s="211"/>
      <c r="L938" s="211"/>
      <c r="M938" s="211"/>
      <c r="BF938" s="215">
        <v>889</v>
      </c>
      <c r="BG938" s="218">
        <f t="shared" si="90"/>
        <v>3736092092.2193856</v>
      </c>
      <c r="BH938" s="215">
        <v>889</v>
      </c>
      <c r="BI938" s="219">
        <f t="shared" si="91"/>
        <v>1.12E-2</v>
      </c>
      <c r="BJ938" s="218">
        <f t="shared" si="89"/>
        <v>41844231.432857119</v>
      </c>
      <c r="BK938" s="217">
        <f t="shared" si="92"/>
        <v>1000</v>
      </c>
    </row>
    <row r="939" spans="8:63" s="215" customFormat="1">
      <c r="H939" s="211"/>
      <c r="I939" s="211"/>
      <c r="J939" s="211"/>
      <c r="K939" s="211"/>
      <c r="L939" s="211"/>
      <c r="M939" s="211"/>
      <c r="BF939" s="215">
        <v>890</v>
      </c>
      <c r="BG939" s="218">
        <f t="shared" si="90"/>
        <v>3777937323.6522427</v>
      </c>
      <c r="BH939" s="215">
        <v>890</v>
      </c>
      <c r="BI939" s="219">
        <f t="shared" si="91"/>
        <v>1.12E-2</v>
      </c>
      <c r="BJ939" s="218">
        <f t="shared" si="89"/>
        <v>42312898.024905115</v>
      </c>
      <c r="BK939" s="217">
        <f t="shared" si="92"/>
        <v>1000</v>
      </c>
    </row>
    <row r="940" spans="8:63" s="215" customFormat="1">
      <c r="H940" s="211"/>
      <c r="I940" s="211"/>
      <c r="J940" s="211"/>
      <c r="K940" s="211"/>
      <c r="L940" s="211"/>
      <c r="M940" s="211"/>
      <c r="BF940" s="215">
        <v>891</v>
      </c>
      <c r="BG940" s="218">
        <f t="shared" si="90"/>
        <v>3820251221.6771479</v>
      </c>
      <c r="BH940" s="215">
        <v>891</v>
      </c>
      <c r="BI940" s="219">
        <f t="shared" si="91"/>
        <v>1.12E-2</v>
      </c>
      <c r="BJ940" s="218">
        <f t="shared" si="89"/>
        <v>42786813.682784058</v>
      </c>
      <c r="BK940" s="217">
        <f t="shared" si="92"/>
        <v>1000</v>
      </c>
    </row>
    <row r="941" spans="8:63" s="215" customFormat="1">
      <c r="H941" s="211"/>
      <c r="I941" s="211"/>
      <c r="J941" s="211"/>
      <c r="K941" s="211"/>
      <c r="L941" s="211"/>
      <c r="M941" s="211"/>
      <c r="BF941" s="215">
        <v>892</v>
      </c>
      <c r="BG941" s="218">
        <f t="shared" si="90"/>
        <v>3863039035.3599319</v>
      </c>
      <c r="BH941" s="215">
        <v>892</v>
      </c>
      <c r="BI941" s="219">
        <f t="shared" si="91"/>
        <v>1.12E-2</v>
      </c>
      <c r="BJ941" s="218">
        <f t="shared" si="89"/>
        <v>43266037.196031235</v>
      </c>
      <c r="BK941" s="217">
        <f t="shared" si="92"/>
        <v>1000</v>
      </c>
    </row>
    <row r="942" spans="8:63" s="215" customFormat="1">
      <c r="H942" s="211"/>
      <c r="I942" s="211"/>
      <c r="J942" s="211"/>
      <c r="K942" s="211"/>
      <c r="L942" s="211"/>
      <c r="M942" s="211"/>
      <c r="BF942" s="215">
        <v>893</v>
      </c>
      <c r="BG942" s="218">
        <f t="shared" si="90"/>
        <v>3906306072.555963</v>
      </c>
      <c r="BH942" s="215">
        <v>893</v>
      </c>
      <c r="BI942" s="219">
        <f t="shared" si="91"/>
        <v>1.12E-2</v>
      </c>
      <c r="BJ942" s="218">
        <f t="shared" si="89"/>
        <v>43750628.012626782</v>
      </c>
      <c r="BK942" s="217">
        <f t="shared" si="92"/>
        <v>1000</v>
      </c>
    </row>
    <row r="943" spans="8:63" s="215" customFormat="1">
      <c r="H943" s="211"/>
      <c r="I943" s="211"/>
      <c r="J943" s="211"/>
      <c r="K943" s="211"/>
      <c r="L943" s="211"/>
      <c r="M943" s="211"/>
      <c r="BF943" s="215">
        <v>894</v>
      </c>
      <c r="BG943" s="218">
        <f t="shared" si="90"/>
        <v>3950057700.5685897</v>
      </c>
      <c r="BH943" s="215">
        <v>894</v>
      </c>
      <c r="BI943" s="219">
        <f t="shared" si="91"/>
        <v>1.12E-2</v>
      </c>
      <c r="BJ943" s="218">
        <f t="shared" si="89"/>
        <v>44240646.246368207</v>
      </c>
      <c r="BK943" s="217">
        <f t="shared" si="92"/>
        <v>1000</v>
      </c>
    </row>
    <row r="944" spans="8:63" s="215" customFormat="1">
      <c r="H944" s="211"/>
      <c r="I944" s="211"/>
      <c r="J944" s="211"/>
      <c r="K944" s="211"/>
      <c r="L944" s="211"/>
      <c r="M944" s="211"/>
      <c r="BF944" s="215">
        <v>895</v>
      </c>
      <c r="BG944" s="218">
        <f t="shared" si="90"/>
        <v>3994299346.8149581</v>
      </c>
      <c r="BH944" s="215">
        <v>895</v>
      </c>
      <c r="BI944" s="219">
        <f t="shared" si="91"/>
        <v>1.12E-2</v>
      </c>
      <c r="BJ944" s="218">
        <f t="shared" si="89"/>
        <v>44736152.684327528</v>
      </c>
      <c r="BK944" s="217">
        <f t="shared" si="92"/>
        <v>1000</v>
      </c>
    </row>
    <row r="945" spans="8:63" s="215" customFormat="1">
      <c r="H945" s="211"/>
      <c r="I945" s="211"/>
      <c r="J945" s="211"/>
      <c r="K945" s="211"/>
      <c r="L945" s="211"/>
      <c r="M945" s="211"/>
      <c r="BF945" s="215">
        <v>896</v>
      </c>
      <c r="BG945" s="218">
        <f t="shared" si="90"/>
        <v>4039036499.4992857</v>
      </c>
      <c r="BH945" s="215">
        <v>896</v>
      </c>
      <c r="BI945" s="219">
        <f t="shared" si="91"/>
        <v>1.12E-2</v>
      </c>
      <c r="BJ945" s="218">
        <f t="shared" si="89"/>
        <v>45237208.794391997</v>
      </c>
      <c r="BK945" s="217">
        <f t="shared" si="92"/>
        <v>1000</v>
      </c>
    </row>
    <row r="946" spans="8:63" s="215" customFormat="1">
      <c r="H946" s="211"/>
      <c r="I946" s="211"/>
      <c r="J946" s="211"/>
      <c r="K946" s="211"/>
      <c r="L946" s="211"/>
      <c r="M946" s="211"/>
      <c r="BF946" s="215">
        <v>897</v>
      </c>
      <c r="BG946" s="218">
        <f t="shared" si="90"/>
        <v>4084274708.2936778</v>
      </c>
      <c r="BH946" s="215">
        <v>897</v>
      </c>
      <c r="BI946" s="219">
        <f t="shared" si="91"/>
        <v>1.12E-2</v>
      </c>
      <c r="BJ946" s="218">
        <f t="shared" ref="BJ946:BJ1009" si="93">BG946*BI946</f>
        <v>45743876.73288919</v>
      </c>
      <c r="BK946" s="217">
        <f t="shared" si="92"/>
        <v>1000</v>
      </c>
    </row>
    <row r="947" spans="8:63" s="215" customFormat="1">
      <c r="H947" s="211"/>
      <c r="I947" s="211"/>
      <c r="J947" s="211"/>
      <c r="K947" s="211"/>
      <c r="L947" s="211"/>
      <c r="M947" s="211"/>
      <c r="BF947" s="215">
        <v>898</v>
      </c>
      <c r="BG947" s="218">
        <f t="shared" ref="BG947:BG1010" si="94">BG946+BJ946+BK947</f>
        <v>4130019585.026567</v>
      </c>
      <c r="BH947" s="215">
        <v>898</v>
      </c>
      <c r="BI947" s="219">
        <f t="shared" ref="BI947:BI1010" si="95">BI946</f>
        <v>1.12E-2</v>
      </c>
      <c r="BJ947" s="218">
        <f t="shared" si="93"/>
        <v>46256219.352297552</v>
      </c>
      <c r="BK947" s="217">
        <f t="shared" ref="BK947:BK1010" si="96">BK946</f>
        <v>1000</v>
      </c>
    </row>
    <row r="948" spans="8:63" s="215" customFormat="1">
      <c r="H948" s="211"/>
      <c r="I948" s="211"/>
      <c r="J948" s="211"/>
      <c r="K948" s="211"/>
      <c r="L948" s="211"/>
      <c r="M948" s="211"/>
      <c r="BF948" s="215">
        <v>899</v>
      </c>
      <c r="BG948" s="218">
        <f t="shared" si="94"/>
        <v>4176276804.3788648</v>
      </c>
      <c r="BH948" s="215">
        <v>899</v>
      </c>
      <c r="BI948" s="219">
        <f t="shared" si="95"/>
        <v>1.12E-2</v>
      </c>
      <c r="BJ948" s="218">
        <f t="shared" si="93"/>
        <v>46774300.209043287</v>
      </c>
      <c r="BK948" s="217">
        <f t="shared" si="96"/>
        <v>1000</v>
      </c>
    </row>
    <row r="949" spans="8:63" s="215" customFormat="1">
      <c r="H949" s="211"/>
      <c r="I949" s="211"/>
      <c r="J949" s="211"/>
      <c r="K949" s="211"/>
      <c r="L949" s="211"/>
      <c r="M949" s="211"/>
      <c r="BF949" s="215">
        <v>900</v>
      </c>
      <c r="BG949" s="218">
        <f t="shared" si="94"/>
        <v>4223052104.5879083</v>
      </c>
      <c r="BH949" s="215">
        <v>900</v>
      </c>
      <c r="BI949" s="219">
        <f t="shared" si="95"/>
        <v>1.12E-2</v>
      </c>
      <c r="BJ949" s="218">
        <f t="shared" si="93"/>
        <v>47298183.571384571</v>
      </c>
      <c r="BK949" s="217">
        <f t="shared" si="96"/>
        <v>1000</v>
      </c>
    </row>
    <row r="950" spans="8:63" s="215" customFormat="1">
      <c r="H950" s="211"/>
      <c r="I950" s="211"/>
      <c r="J950" s="211"/>
      <c r="K950" s="211"/>
      <c r="L950" s="211"/>
      <c r="M950" s="211"/>
      <c r="BF950" s="215">
        <v>901</v>
      </c>
      <c r="BG950" s="218">
        <f t="shared" si="94"/>
        <v>4270351288.1592927</v>
      </c>
      <c r="BH950" s="215">
        <v>901</v>
      </c>
      <c r="BI950" s="219">
        <f t="shared" si="95"/>
        <v>1.12E-2</v>
      </c>
      <c r="BJ950" s="218">
        <f t="shared" si="93"/>
        <v>47827934.427384079</v>
      </c>
      <c r="BK950" s="217">
        <f t="shared" si="96"/>
        <v>1000</v>
      </c>
    </row>
    <row r="951" spans="8:63" s="215" customFormat="1">
      <c r="H951" s="211"/>
      <c r="I951" s="211"/>
      <c r="J951" s="211"/>
      <c r="K951" s="211"/>
      <c r="L951" s="211"/>
      <c r="M951" s="211"/>
      <c r="BF951" s="215">
        <v>902</v>
      </c>
      <c r="BG951" s="218">
        <f t="shared" si="94"/>
        <v>4318180222.5866766</v>
      </c>
      <c r="BH951" s="215">
        <v>902</v>
      </c>
      <c r="BI951" s="219">
        <f t="shared" si="95"/>
        <v>1.12E-2</v>
      </c>
      <c r="BJ951" s="218">
        <f t="shared" si="93"/>
        <v>48363618.49297078</v>
      </c>
      <c r="BK951" s="217">
        <f t="shared" si="96"/>
        <v>1000</v>
      </c>
    </row>
    <row r="952" spans="8:63" s="215" customFormat="1">
      <c r="H952" s="211"/>
      <c r="I952" s="211"/>
      <c r="J952" s="211"/>
      <c r="K952" s="211"/>
      <c r="L952" s="211"/>
      <c r="M952" s="211"/>
      <c r="BF952" s="215">
        <v>903</v>
      </c>
      <c r="BG952" s="218">
        <f t="shared" si="94"/>
        <v>4366544841.0796471</v>
      </c>
      <c r="BH952" s="215">
        <v>903</v>
      </c>
      <c r="BI952" s="219">
        <f t="shared" si="95"/>
        <v>1.12E-2</v>
      </c>
      <c r="BJ952" s="218">
        <f t="shared" si="93"/>
        <v>48905302.220092043</v>
      </c>
      <c r="BK952" s="217">
        <f t="shared" si="96"/>
        <v>1000</v>
      </c>
    </row>
    <row r="953" spans="8:63" s="215" customFormat="1">
      <c r="H953" s="211"/>
      <c r="I953" s="211"/>
      <c r="J953" s="211"/>
      <c r="K953" s="211"/>
      <c r="L953" s="211"/>
      <c r="M953" s="211"/>
      <c r="BF953" s="215">
        <v>904</v>
      </c>
      <c r="BG953" s="218">
        <f t="shared" si="94"/>
        <v>4415451143.2997389</v>
      </c>
      <c r="BH953" s="215">
        <v>904</v>
      </c>
      <c r="BI953" s="219">
        <f t="shared" si="95"/>
        <v>1.12E-2</v>
      </c>
      <c r="BJ953" s="218">
        <f t="shared" si="93"/>
        <v>49453052.804957077</v>
      </c>
      <c r="BK953" s="217">
        <f t="shared" si="96"/>
        <v>1000</v>
      </c>
    </row>
    <row r="954" spans="8:63" s="215" customFormat="1">
      <c r="H954" s="211"/>
      <c r="I954" s="211"/>
      <c r="J954" s="211"/>
      <c r="K954" s="211"/>
      <c r="L954" s="211"/>
      <c r="M954" s="211"/>
      <c r="BF954" s="215">
        <v>905</v>
      </c>
      <c r="BG954" s="218">
        <f t="shared" si="94"/>
        <v>4464905196.1046963</v>
      </c>
      <c r="BH954" s="215">
        <v>905</v>
      </c>
      <c r="BI954" s="219">
        <f t="shared" si="95"/>
        <v>1.12E-2</v>
      </c>
      <c r="BJ954" s="218">
        <f t="shared" si="93"/>
        <v>50006938.196372598</v>
      </c>
      <c r="BK954" s="217">
        <f t="shared" si="96"/>
        <v>1000</v>
      </c>
    </row>
    <row r="955" spans="8:63" s="215" customFormat="1">
      <c r="H955" s="211"/>
      <c r="I955" s="211"/>
      <c r="J955" s="211"/>
      <c r="K955" s="211"/>
      <c r="L955" s="211"/>
      <c r="M955" s="211"/>
      <c r="BF955" s="215">
        <v>906</v>
      </c>
      <c r="BG955" s="218">
        <f t="shared" si="94"/>
        <v>4514913134.3010693</v>
      </c>
      <c r="BH955" s="215">
        <v>906</v>
      </c>
      <c r="BI955" s="219">
        <f t="shared" si="95"/>
        <v>1.12E-2</v>
      </c>
      <c r="BJ955" s="218">
        <f t="shared" si="93"/>
        <v>50567027.104171976</v>
      </c>
      <c r="BK955" s="217">
        <f t="shared" si="96"/>
        <v>1000</v>
      </c>
    </row>
    <row r="956" spans="8:63" s="215" customFormat="1">
      <c r="H956" s="211"/>
      <c r="I956" s="211"/>
      <c r="J956" s="211"/>
      <c r="K956" s="211"/>
      <c r="L956" s="211"/>
      <c r="M956" s="211"/>
      <c r="BF956" s="215">
        <v>907</v>
      </c>
      <c r="BG956" s="218">
        <f t="shared" si="94"/>
        <v>4565481161.405241</v>
      </c>
      <c r="BH956" s="215">
        <v>907</v>
      </c>
      <c r="BI956" s="219">
        <f t="shared" si="95"/>
        <v>1.12E-2</v>
      </c>
      <c r="BJ956" s="218">
        <f t="shared" si="93"/>
        <v>51133389.007738702</v>
      </c>
      <c r="BK956" s="217">
        <f t="shared" si="96"/>
        <v>1000</v>
      </c>
    </row>
    <row r="957" spans="8:63" s="215" customFormat="1">
      <c r="H957" s="211"/>
      <c r="I957" s="211"/>
      <c r="J957" s="211"/>
      <c r="K957" s="211"/>
      <c r="L957" s="211"/>
      <c r="M957" s="211"/>
      <c r="BF957" s="215">
        <v>908</v>
      </c>
      <c r="BG957" s="218">
        <f t="shared" si="94"/>
        <v>4616615550.4129801</v>
      </c>
      <c r="BH957" s="215">
        <v>908</v>
      </c>
      <c r="BI957" s="219">
        <f t="shared" si="95"/>
        <v>1.12E-2</v>
      </c>
      <c r="BJ957" s="218">
        <f t="shared" si="93"/>
        <v>51706094.164625376</v>
      </c>
      <c r="BK957" s="217">
        <f t="shared" si="96"/>
        <v>1000</v>
      </c>
    </row>
    <row r="958" spans="8:63" s="215" customFormat="1">
      <c r="H958" s="211"/>
      <c r="I958" s="211"/>
      <c r="J958" s="211"/>
      <c r="K958" s="211"/>
      <c r="L958" s="211"/>
      <c r="M958" s="211"/>
      <c r="BF958" s="215">
        <v>909</v>
      </c>
      <c r="BG958" s="218">
        <f t="shared" si="94"/>
        <v>4668322644.5776052</v>
      </c>
      <c r="BH958" s="215">
        <v>909</v>
      </c>
      <c r="BI958" s="219">
        <f t="shared" si="95"/>
        <v>1.12E-2</v>
      </c>
      <c r="BJ958" s="218">
        <f t="shared" si="93"/>
        <v>52285213.619269177</v>
      </c>
      <c r="BK958" s="217">
        <f t="shared" si="96"/>
        <v>1000</v>
      </c>
    </row>
    <row r="959" spans="8:63" s="215" customFormat="1">
      <c r="H959" s="211"/>
      <c r="I959" s="211"/>
      <c r="J959" s="211"/>
      <c r="K959" s="211"/>
      <c r="L959" s="211"/>
      <c r="M959" s="211"/>
      <c r="BF959" s="215">
        <v>910</v>
      </c>
      <c r="BG959" s="218">
        <f t="shared" si="94"/>
        <v>4720608858.1968746</v>
      </c>
      <c r="BH959" s="215">
        <v>910</v>
      </c>
      <c r="BI959" s="219">
        <f t="shared" si="95"/>
        <v>1.12E-2</v>
      </c>
      <c r="BJ959" s="218">
        <f t="shared" si="93"/>
        <v>52870819.211804993</v>
      </c>
      <c r="BK959" s="217">
        <f t="shared" si="96"/>
        <v>1000</v>
      </c>
    </row>
    <row r="960" spans="8:63" s="215" customFormat="1">
      <c r="H960" s="211"/>
      <c r="I960" s="211"/>
      <c r="J960" s="211"/>
      <c r="K960" s="211"/>
      <c r="L960" s="211"/>
      <c r="M960" s="211"/>
      <c r="BF960" s="215">
        <v>911</v>
      </c>
      <c r="BG960" s="218">
        <f t="shared" si="94"/>
        <v>4773480677.40868</v>
      </c>
      <c r="BH960" s="215">
        <v>911</v>
      </c>
      <c r="BI960" s="219">
        <f t="shared" si="95"/>
        <v>1.12E-2</v>
      </c>
      <c r="BJ960" s="218">
        <f t="shared" si="93"/>
        <v>53462983.586977214</v>
      </c>
      <c r="BK960" s="217">
        <f t="shared" si="96"/>
        <v>1000</v>
      </c>
    </row>
    <row r="961" spans="8:63" s="215" customFormat="1">
      <c r="H961" s="211"/>
      <c r="I961" s="211"/>
      <c r="J961" s="211"/>
      <c r="K961" s="211"/>
      <c r="L961" s="211"/>
      <c r="M961" s="211"/>
      <c r="BF961" s="215">
        <v>912</v>
      </c>
      <c r="BG961" s="218">
        <f t="shared" si="94"/>
        <v>4826944660.995657</v>
      </c>
      <c r="BH961" s="215">
        <v>912</v>
      </c>
      <c r="BI961" s="219">
        <f t="shared" si="95"/>
        <v>1.12E-2</v>
      </c>
      <c r="BJ961" s="218">
        <f t="shared" si="93"/>
        <v>54061780.20315136</v>
      </c>
      <c r="BK961" s="217">
        <f t="shared" si="96"/>
        <v>1000</v>
      </c>
    </row>
    <row r="962" spans="8:63" s="215" customFormat="1">
      <c r="H962" s="211"/>
      <c r="I962" s="211"/>
      <c r="J962" s="211"/>
      <c r="K962" s="211"/>
      <c r="L962" s="211"/>
      <c r="M962" s="211"/>
      <c r="BF962" s="215">
        <v>913</v>
      </c>
      <c r="BG962" s="218">
        <f t="shared" si="94"/>
        <v>4881007441.1988087</v>
      </c>
      <c r="BH962" s="215">
        <v>913</v>
      </c>
      <c r="BI962" s="219">
        <f t="shared" si="95"/>
        <v>1.12E-2</v>
      </c>
      <c r="BJ962" s="218">
        <f t="shared" si="93"/>
        <v>54667283.341426656</v>
      </c>
      <c r="BK962" s="217">
        <f t="shared" si="96"/>
        <v>1000</v>
      </c>
    </row>
    <row r="963" spans="8:63" s="215" customFormat="1">
      <c r="H963" s="211"/>
      <c r="I963" s="211"/>
      <c r="J963" s="211"/>
      <c r="K963" s="211"/>
      <c r="L963" s="211"/>
      <c r="M963" s="211"/>
      <c r="BF963" s="215">
        <v>914</v>
      </c>
      <c r="BG963" s="218">
        <f t="shared" si="94"/>
        <v>4935675724.5402355</v>
      </c>
      <c r="BH963" s="215">
        <v>914</v>
      </c>
      <c r="BI963" s="219">
        <f t="shared" si="95"/>
        <v>1.12E-2</v>
      </c>
      <c r="BJ963" s="218">
        <f t="shared" si="93"/>
        <v>55279568.11485064</v>
      </c>
      <c r="BK963" s="217">
        <f t="shared" si="96"/>
        <v>1000</v>
      </c>
    </row>
    <row r="964" spans="8:63" s="215" customFormat="1">
      <c r="H964" s="211"/>
      <c r="I964" s="211"/>
      <c r="J964" s="211"/>
      <c r="K964" s="211"/>
      <c r="L964" s="211"/>
      <c r="M964" s="211"/>
      <c r="BF964" s="215">
        <v>915</v>
      </c>
      <c r="BG964" s="218">
        <f t="shared" si="94"/>
        <v>4990956292.6550865</v>
      </c>
      <c r="BH964" s="215">
        <v>915</v>
      </c>
      <c r="BI964" s="219">
        <f t="shared" si="95"/>
        <v>1.12E-2</v>
      </c>
      <c r="BJ964" s="218">
        <f t="shared" si="93"/>
        <v>55898710.477736965</v>
      </c>
      <c r="BK964" s="217">
        <f t="shared" si="96"/>
        <v>1000</v>
      </c>
    </row>
    <row r="965" spans="8:63" s="215" customFormat="1">
      <c r="H965" s="211"/>
      <c r="I965" s="211"/>
      <c r="J965" s="211"/>
      <c r="K965" s="211"/>
      <c r="L965" s="211"/>
      <c r="M965" s="211"/>
      <c r="BF965" s="215">
        <v>916</v>
      </c>
      <c r="BG965" s="218">
        <f t="shared" si="94"/>
        <v>5046856003.1328239</v>
      </c>
      <c r="BH965" s="215">
        <v>916</v>
      </c>
      <c r="BI965" s="219">
        <f t="shared" si="95"/>
        <v>1.12E-2</v>
      </c>
      <c r="BJ965" s="218">
        <f t="shared" si="93"/>
        <v>56524787.235087626</v>
      </c>
      <c r="BK965" s="217">
        <f t="shared" si="96"/>
        <v>1000</v>
      </c>
    </row>
    <row r="966" spans="8:63" s="215" customFormat="1">
      <c r="H966" s="211"/>
      <c r="I966" s="211"/>
      <c r="J966" s="211"/>
      <c r="K966" s="211"/>
      <c r="L966" s="211"/>
      <c r="M966" s="211"/>
      <c r="BF966" s="215">
        <v>917</v>
      </c>
      <c r="BG966" s="218">
        <f t="shared" si="94"/>
        <v>5103381790.3679113</v>
      </c>
      <c r="BH966" s="215">
        <v>917</v>
      </c>
      <c r="BI966" s="219">
        <f t="shared" si="95"/>
        <v>1.12E-2</v>
      </c>
      <c r="BJ966" s="218">
        <f t="shared" si="93"/>
        <v>57157876.052120604</v>
      </c>
      <c r="BK966" s="217">
        <f t="shared" si="96"/>
        <v>1000</v>
      </c>
    </row>
    <row r="967" spans="8:63" s="215" customFormat="1">
      <c r="H967" s="211"/>
      <c r="I967" s="211"/>
      <c r="J967" s="211"/>
      <c r="K967" s="211"/>
      <c r="L967" s="211"/>
      <c r="M967" s="211"/>
      <c r="BF967" s="215">
        <v>918</v>
      </c>
      <c r="BG967" s="218">
        <f t="shared" si="94"/>
        <v>5160540666.4200315</v>
      </c>
      <c r="BH967" s="215">
        <v>918</v>
      </c>
      <c r="BI967" s="219">
        <f t="shared" si="95"/>
        <v>1.12E-2</v>
      </c>
      <c r="BJ967" s="218">
        <f t="shared" si="93"/>
        <v>57798055.463904351</v>
      </c>
      <c r="BK967" s="217">
        <f t="shared" si="96"/>
        <v>1000</v>
      </c>
    </row>
    <row r="968" spans="8:63" s="215" customFormat="1">
      <c r="H968" s="211"/>
      <c r="I968" s="211"/>
      <c r="J968" s="211"/>
      <c r="K968" s="211"/>
      <c r="L968" s="211"/>
      <c r="M968" s="211"/>
      <c r="BF968" s="215">
        <v>919</v>
      </c>
      <c r="BG968" s="218">
        <f t="shared" si="94"/>
        <v>5218339721.8839359</v>
      </c>
      <c r="BH968" s="215">
        <v>919</v>
      </c>
      <c r="BI968" s="219">
        <f t="shared" si="95"/>
        <v>1.12E-2</v>
      </c>
      <c r="BJ968" s="218">
        <f t="shared" si="93"/>
        <v>58445404.885100082</v>
      </c>
      <c r="BK968" s="217">
        <f t="shared" si="96"/>
        <v>1000</v>
      </c>
    </row>
    <row r="969" spans="8:63" s="215" customFormat="1">
      <c r="H969" s="211"/>
      <c r="I969" s="211"/>
      <c r="J969" s="211"/>
      <c r="K969" s="211"/>
      <c r="L969" s="211"/>
      <c r="M969" s="211"/>
      <c r="BF969" s="215">
        <v>920</v>
      </c>
      <c r="BG969" s="218">
        <f t="shared" si="94"/>
        <v>5276786126.7690363</v>
      </c>
      <c r="BH969" s="215">
        <v>920</v>
      </c>
      <c r="BI969" s="219">
        <f t="shared" si="95"/>
        <v>1.12E-2</v>
      </c>
      <c r="BJ969" s="218">
        <f t="shared" si="93"/>
        <v>59100004.619813204</v>
      </c>
      <c r="BK969" s="217">
        <f t="shared" si="96"/>
        <v>1000</v>
      </c>
    </row>
    <row r="970" spans="8:63" s="215" customFormat="1">
      <c r="H970" s="211"/>
      <c r="I970" s="211"/>
      <c r="J970" s="211"/>
      <c r="K970" s="211"/>
      <c r="L970" s="211"/>
      <c r="M970" s="211"/>
      <c r="BF970" s="215">
        <v>921</v>
      </c>
      <c r="BG970" s="218">
        <f t="shared" si="94"/>
        <v>5335887131.3888493</v>
      </c>
      <c r="BH970" s="215">
        <v>921</v>
      </c>
      <c r="BI970" s="219">
        <f t="shared" si="95"/>
        <v>1.12E-2</v>
      </c>
      <c r="BJ970" s="218">
        <f t="shared" si="93"/>
        <v>59761935.871555112</v>
      </c>
      <c r="BK970" s="217">
        <f t="shared" si="96"/>
        <v>1000</v>
      </c>
    </row>
    <row r="971" spans="8:63" s="215" customFormat="1">
      <c r="H971" s="211"/>
      <c r="I971" s="211"/>
      <c r="J971" s="211"/>
      <c r="K971" s="211"/>
      <c r="L971" s="211"/>
      <c r="M971" s="211"/>
      <c r="BF971" s="215">
        <v>922</v>
      </c>
      <c r="BG971" s="218">
        <f t="shared" si="94"/>
        <v>5395650067.2604046</v>
      </c>
      <c r="BH971" s="215">
        <v>922</v>
      </c>
      <c r="BI971" s="219">
        <f t="shared" si="95"/>
        <v>1.12E-2</v>
      </c>
      <c r="BJ971" s="218">
        <f t="shared" si="93"/>
        <v>60431280.753316529</v>
      </c>
      <c r="BK971" s="217">
        <f t="shared" si="96"/>
        <v>1000</v>
      </c>
    </row>
    <row r="972" spans="8:63" s="215" customFormat="1">
      <c r="H972" s="211"/>
      <c r="I972" s="211"/>
      <c r="J972" s="211"/>
      <c r="K972" s="211"/>
      <c r="L972" s="211"/>
      <c r="M972" s="211"/>
      <c r="BF972" s="215">
        <v>923</v>
      </c>
      <c r="BG972" s="218">
        <f t="shared" si="94"/>
        <v>5456082348.0137215</v>
      </c>
      <c r="BH972" s="215">
        <v>923</v>
      </c>
      <c r="BI972" s="219">
        <f t="shared" si="95"/>
        <v>1.12E-2</v>
      </c>
      <c r="BJ972" s="218">
        <f t="shared" si="93"/>
        <v>61108122.297753677</v>
      </c>
      <c r="BK972" s="217">
        <f t="shared" si="96"/>
        <v>1000</v>
      </c>
    </row>
    <row r="973" spans="8:63" s="215" customFormat="1">
      <c r="H973" s="211"/>
      <c r="I973" s="211"/>
      <c r="J973" s="211"/>
      <c r="K973" s="211"/>
      <c r="L973" s="211"/>
      <c r="M973" s="211"/>
      <c r="BF973" s="215">
        <v>924</v>
      </c>
      <c r="BG973" s="218">
        <f t="shared" si="94"/>
        <v>5517191470.3114748</v>
      </c>
      <c r="BH973" s="215">
        <v>924</v>
      </c>
      <c r="BI973" s="219">
        <f t="shared" si="95"/>
        <v>1.12E-2</v>
      </c>
      <c r="BJ973" s="218">
        <f t="shared" si="93"/>
        <v>61792544.46748852</v>
      </c>
      <c r="BK973" s="217">
        <f t="shared" si="96"/>
        <v>1000</v>
      </c>
    </row>
    <row r="974" spans="8:63" s="215" customFormat="1">
      <c r="H974" s="211"/>
      <c r="I974" s="211"/>
      <c r="J974" s="211"/>
      <c r="K974" s="211"/>
      <c r="L974" s="211"/>
      <c r="M974" s="211"/>
      <c r="BF974" s="215">
        <v>925</v>
      </c>
      <c r="BG974" s="218">
        <f t="shared" si="94"/>
        <v>5578985014.7789631</v>
      </c>
      <c r="BH974" s="215">
        <v>925</v>
      </c>
      <c r="BI974" s="219">
        <f t="shared" si="95"/>
        <v>1.12E-2</v>
      </c>
      <c r="BJ974" s="218">
        <f t="shared" si="93"/>
        <v>62484632.165524386</v>
      </c>
      <c r="BK974" s="217">
        <f t="shared" si="96"/>
        <v>1000</v>
      </c>
    </row>
    <row r="975" spans="8:63" s="215" customFormat="1">
      <c r="H975" s="211"/>
      <c r="I975" s="211"/>
      <c r="J975" s="211"/>
      <c r="K975" s="211"/>
      <c r="L975" s="211"/>
      <c r="M975" s="211"/>
      <c r="BF975" s="215">
        <v>926</v>
      </c>
      <c r="BG975" s="218">
        <f t="shared" si="94"/>
        <v>5641470646.9444876</v>
      </c>
      <c r="BH975" s="215">
        <v>926</v>
      </c>
      <c r="BI975" s="219">
        <f t="shared" si="95"/>
        <v>1.12E-2</v>
      </c>
      <c r="BJ975" s="218">
        <f t="shared" si="93"/>
        <v>63184471.245778263</v>
      </c>
      <c r="BK975" s="217">
        <f t="shared" si="96"/>
        <v>1000</v>
      </c>
    </row>
    <row r="976" spans="8:63" s="215" customFormat="1">
      <c r="H976" s="211"/>
      <c r="I976" s="211"/>
      <c r="J976" s="211"/>
      <c r="K976" s="211"/>
      <c r="L976" s="211"/>
      <c r="M976" s="211"/>
      <c r="BF976" s="215">
        <v>927</v>
      </c>
      <c r="BG976" s="218">
        <f t="shared" si="94"/>
        <v>5704656118.1902657</v>
      </c>
      <c r="BH976" s="215">
        <v>927</v>
      </c>
      <c r="BI976" s="219">
        <f t="shared" si="95"/>
        <v>1.12E-2</v>
      </c>
      <c r="BJ976" s="218">
        <f t="shared" si="93"/>
        <v>63892148.523730978</v>
      </c>
      <c r="BK976" s="217">
        <f t="shared" si="96"/>
        <v>1000</v>
      </c>
    </row>
    <row r="977" spans="8:63" s="215" customFormat="1">
      <c r="H977" s="211"/>
      <c r="I977" s="211"/>
      <c r="J977" s="211"/>
      <c r="K977" s="211"/>
      <c r="L977" s="211"/>
      <c r="M977" s="211"/>
      <c r="BF977" s="215">
        <v>928</v>
      </c>
      <c r="BG977" s="218">
        <f t="shared" si="94"/>
        <v>5768549266.7139969</v>
      </c>
      <c r="BH977" s="215">
        <v>928</v>
      </c>
      <c r="BI977" s="219">
        <f t="shared" si="95"/>
        <v>1.12E-2</v>
      </c>
      <c r="BJ977" s="218">
        <f t="shared" si="93"/>
        <v>64607751.787196763</v>
      </c>
      <c r="BK977" s="217">
        <f t="shared" si="96"/>
        <v>1000</v>
      </c>
    </row>
    <row r="978" spans="8:63" s="215" customFormat="1">
      <c r="H978" s="211"/>
      <c r="I978" s="211"/>
      <c r="J978" s="211"/>
      <c r="K978" s="211"/>
      <c r="L978" s="211"/>
      <c r="M978" s="211"/>
      <c r="BF978" s="215">
        <v>929</v>
      </c>
      <c r="BG978" s="218">
        <f t="shared" si="94"/>
        <v>5833158018.501194</v>
      </c>
      <c r="BH978" s="215">
        <v>929</v>
      </c>
      <c r="BI978" s="219">
        <f t="shared" si="95"/>
        <v>1.12E-2</v>
      </c>
      <c r="BJ978" s="218">
        <f t="shared" si="93"/>
        <v>65331369.807213373</v>
      </c>
      <c r="BK978" s="217">
        <f t="shared" si="96"/>
        <v>1000</v>
      </c>
    </row>
    <row r="979" spans="8:63" s="215" customFormat="1">
      <c r="H979" s="211"/>
      <c r="I979" s="211"/>
      <c r="J979" s="211"/>
      <c r="K979" s="211"/>
      <c r="L979" s="211"/>
      <c r="M979" s="211"/>
      <c r="BF979" s="215">
        <v>930</v>
      </c>
      <c r="BG979" s="218">
        <f t="shared" si="94"/>
        <v>5898490388.3084078</v>
      </c>
      <c r="BH979" s="215">
        <v>930</v>
      </c>
      <c r="BI979" s="219">
        <f t="shared" si="95"/>
        <v>1.12E-2</v>
      </c>
      <c r="BJ979" s="218">
        <f t="shared" si="93"/>
        <v>66063092.349054165</v>
      </c>
      <c r="BK979" s="217">
        <f t="shared" si="96"/>
        <v>1000</v>
      </c>
    </row>
    <row r="980" spans="8:63" s="215" customFormat="1">
      <c r="H980" s="211"/>
      <c r="I980" s="211"/>
      <c r="J980" s="211"/>
      <c r="K980" s="211"/>
      <c r="L980" s="211"/>
      <c r="M980" s="211"/>
      <c r="BF980" s="215">
        <v>931</v>
      </c>
      <c r="BG980" s="218">
        <f t="shared" si="94"/>
        <v>5964554480.6574621</v>
      </c>
      <c r="BH980" s="215">
        <v>931</v>
      </c>
      <c r="BI980" s="219">
        <f t="shared" si="95"/>
        <v>1.12E-2</v>
      </c>
      <c r="BJ980" s="218">
        <f t="shared" si="93"/>
        <v>66803010.183363572</v>
      </c>
      <c r="BK980" s="217">
        <f t="shared" si="96"/>
        <v>1000</v>
      </c>
    </row>
    <row r="981" spans="8:63" s="215" customFormat="1">
      <c r="H981" s="211"/>
      <c r="I981" s="211"/>
      <c r="J981" s="211"/>
      <c r="K981" s="211"/>
      <c r="L981" s="211"/>
      <c r="M981" s="211"/>
      <c r="BF981" s="215">
        <v>932</v>
      </c>
      <c r="BG981" s="218">
        <f t="shared" si="94"/>
        <v>6031358490.840826</v>
      </c>
      <c r="BH981" s="215">
        <v>932</v>
      </c>
      <c r="BI981" s="219">
        <f t="shared" si="95"/>
        <v>1.12E-2</v>
      </c>
      <c r="BJ981" s="218">
        <f t="shared" si="93"/>
        <v>67551215.09741725</v>
      </c>
      <c r="BK981" s="217">
        <f t="shared" si="96"/>
        <v>1000</v>
      </c>
    </row>
    <row r="982" spans="8:63" s="215" customFormat="1">
      <c r="H982" s="211"/>
      <c r="I982" s="211"/>
      <c r="J982" s="211"/>
      <c r="K982" s="211"/>
      <c r="L982" s="211"/>
      <c r="M982" s="211"/>
      <c r="BF982" s="215">
        <v>933</v>
      </c>
      <c r="BG982" s="218">
        <f t="shared" si="94"/>
        <v>6098910705.9382429</v>
      </c>
      <c r="BH982" s="215">
        <v>933</v>
      </c>
      <c r="BI982" s="219">
        <f t="shared" si="95"/>
        <v>1.12E-2</v>
      </c>
      <c r="BJ982" s="218">
        <f t="shared" si="93"/>
        <v>68307799.906508327</v>
      </c>
      <c r="BK982" s="217">
        <f t="shared" si="96"/>
        <v>1000</v>
      </c>
    </row>
    <row r="983" spans="8:63" s="215" customFormat="1">
      <c r="H983" s="211"/>
      <c r="I983" s="211"/>
      <c r="J983" s="211"/>
      <c r="K983" s="211"/>
      <c r="L983" s="211"/>
      <c r="M983" s="211"/>
      <c r="BF983" s="215">
        <v>934</v>
      </c>
      <c r="BG983" s="218">
        <f t="shared" si="94"/>
        <v>6167219505.8447514</v>
      </c>
      <c r="BH983" s="215">
        <v>934</v>
      </c>
      <c r="BI983" s="219">
        <f t="shared" si="95"/>
        <v>1.12E-2</v>
      </c>
      <c r="BJ983" s="218">
        <f t="shared" si="93"/>
        <v>69072858.465461209</v>
      </c>
      <c r="BK983" s="217">
        <f t="shared" si="96"/>
        <v>1000</v>
      </c>
    </row>
    <row r="984" spans="8:63" s="215" customFormat="1">
      <c r="H984" s="211"/>
      <c r="I984" s="211"/>
      <c r="J984" s="211"/>
      <c r="K984" s="211"/>
      <c r="L984" s="211"/>
      <c r="M984" s="211"/>
      <c r="BF984" s="215">
        <v>935</v>
      </c>
      <c r="BG984" s="218">
        <f t="shared" si="94"/>
        <v>6236293364.3102121</v>
      </c>
      <c r="BH984" s="215">
        <v>935</v>
      </c>
      <c r="BI984" s="219">
        <f t="shared" si="95"/>
        <v>1.12E-2</v>
      </c>
      <c r="BJ984" s="218">
        <f t="shared" si="93"/>
        <v>69846485.680274382</v>
      </c>
      <c r="BK984" s="217">
        <f t="shared" si="96"/>
        <v>1000</v>
      </c>
    </row>
    <row r="985" spans="8:63" s="215" customFormat="1">
      <c r="H985" s="211"/>
      <c r="I985" s="211"/>
      <c r="J985" s="211"/>
      <c r="K985" s="211"/>
      <c r="L985" s="211"/>
      <c r="M985" s="211"/>
      <c r="BF985" s="215">
        <v>936</v>
      </c>
      <c r="BG985" s="218">
        <f t="shared" si="94"/>
        <v>6306140849.9904861</v>
      </c>
      <c r="BH985" s="215">
        <v>936</v>
      </c>
      <c r="BI985" s="219">
        <f t="shared" si="95"/>
        <v>1.12E-2</v>
      </c>
      <c r="BJ985" s="218">
        <f t="shared" si="93"/>
        <v>70628777.519893438</v>
      </c>
      <c r="BK985" s="217">
        <f t="shared" si="96"/>
        <v>1000</v>
      </c>
    </row>
    <row r="986" spans="8:63" s="215" customFormat="1">
      <c r="H986" s="211"/>
      <c r="I986" s="211"/>
      <c r="J986" s="211"/>
      <c r="K986" s="211"/>
      <c r="L986" s="211"/>
      <c r="M986" s="211"/>
      <c r="BF986" s="215">
        <v>937</v>
      </c>
      <c r="BG986" s="218">
        <f t="shared" si="94"/>
        <v>6376770627.5103798</v>
      </c>
      <c r="BH986" s="215">
        <v>937</v>
      </c>
      <c r="BI986" s="219">
        <f t="shared" si="95"/>
        <v>1.12E-2</v>
      </c>
      <c r="BJ986" s="218">
        <f t="shared" si="93"/>
        <v>71419831.028116256</v>
      </c>
      <c r="BK986" s="217">
        <f t="shared" si="96"/>
        <v>1000</v>
      </c>
    </row>
    <row r="987" spans="8:63" s="215" customFormat="1">
      <c r="H987" s="211"/>
      <c r="I987" s="211"/>
      <c r="J987" s="211"/>
      <c r="K987" s="211"/>
      <c r="L987" s="211"/>
      <c r="M987" s="211"/>
      <c r="BF987" s="215">
        <v>938</v>
      </c>
      <c r="BG987" s="218">
        <f t="shared" si="94"/>
        <v>6448191458.538496</v>
      </c>
      <c r="BH987" s="215">
        <v>938</v>
      </c>
      <c r="BI987" s="219">
        <f t="shared" si="95"/>
        <v>1.12E-2</v>
      </c>
      <c r="BJ987" s="218">
        <f t="shared" si="93"/>
        <v>72219744.335631162</v>
      </c>
      <c r="BK987" s="217">
        <f t="shared" si="96"/>
        <v>1000</v>
      </c>
    </row>
    <row r="988" spans="8:63" s="215" customFormat="1">
      <c r="H988" s="211"/>
      <c r="I988" s="211"/>
      <c r="J988" s="211"/>
      <c r="K988" s="211"/>
      <c r="L988" s="211"/>
      <c r="M988" s="211"/>
      <c r="BF988" s="215">
        <v>939</v>
      </c>
      <c r="BG988" s="218">
        <f t="shared" si="94"/>
        <v>6520412202.8741274</v>
      </c>
      <c r="BH988" s="215">
        <v>939</v>
      </c>
      <c r="BI988" s="219">
        <f t="shared" si="95"/>
        <v>1.12E-2</v>
      </c>
      <c r="BJ988" s="218">
        <f t="shared" si="93"/>
        <v>73028616.672190219</v>
      </c>
      <c r="BK988" s="217">
        <f t="shared" si="96"/>
        <v>1000</v>
      </c>
    </row>
    <row r="989" spans="8:63" s="215" customFormat="1">
      <c r="H989" s="211"/>
      <c r="I989" s="211"/>
      <c r="J989" s="211"/>
      <c r="K989" s="211"/>
      <c r="L989" s="211"/>
      <c r="M989" s="211"/>
      <c r="BF989" s="215">
        <v>940</v>
      </c>
      <c r="BG989" s="218">
        <f t="shared" si="94"/>
        <v>6593441819.5463181</v>
      </c>
      <c r="BH989" s="215">
        <v>940</v>
      </c>
      <c r="BI989" s="219">
        <f t="shared" si="95"/>
        <v>1.12E-2</v>
      </c>
      <c r="BJ989" s="218">
        <f t="shared" si="93"/>
        <v>73846548.378918767</v>
      </c>
      <c r="BK989" s="217">
        <f t="shared" si="96"/>
        <v>1000</v>
      </c>
    </row>
    <row r="990" spans="8:63" s="215" customFormat="1">
      <c r="H990" s="211"/>
      <c r="I990" s="211"/>
      <c r="J990" s="211"/>
      <c r="K990" s="211"/>
      <c r="L990" s="211"/>
      <c r="M990" s="211"/>
      <c r="BF990" s="215">
        <v>941</v>
      </c>
      <c r="BG990" s="218">
        <f t="shared" si="94"/>
        <v>6667289367.9252367</v>
      </c>
      <c r="BH990" s="215">
        <v>941</v>
      </c>
      <c r="BI990" s="219">
        <f t="shared" si="95"/>
        <v>1.12E-2</v>
      </c>
      <c r="BJ990" s="218">
        <f t="shared" si="93"/>
        <v>74673640.920762643</v>
      </c>
      <c r="BK990" s="217">
        <f t="shared" si="96"/>
        <v>1000</v>
      </c>
    </row>
    <row r="991" spans="8:63" s="215" customFormat="1">
      <c r="H991" s="211"/>
      <c r="I991" s="211"/>
      <c r="J991" s="211"/>
      <c r="K991" s="211"/>
      <c r="L991" s="211"/>
      <c r="M991" s="211"/>
      <c r="BF991" s="215">
        <v>942</v>
      </c>
      <c r="BG991" s="218">
        <f t="shared" si="94"/>
        <v>6741964008.8459997</v>
      </c>
      <c r="BH991" s="215">
        <v>942</v>
      </c>
      <c r="BI991" s="219">
        <f t="shared" si="95"/>
        <v>1.12E-2</v>
      </c>
      <c r="BJ991" s="218">
        <f t="shared" si="93"/>
        <v>75509996.899075195</v>
      </c>
      <c r="BK991" s="217">
        <f t="shared" si="96"/>
        <v>1000</v>
      </c>
    </row>
    <row r="992" spans="8:63" s="215" customFormat="1">
      <c r="H992" s="211"/>
      <c r="I992" s="211"/>
      <c r="J992" s="211"/>
      <c r="K992" s="211"/>
      <c r="L992" s="211"/>
      <c r="M992" s="211"/>
      <c r="BF992" s="215">
        <v>943</v>
      </c>
      <c r="BG992" s="218">
        <f t="shared" si="94"/>
        <v>6817475005.7450752</v>
      </c>
      <c r="BH992" s="215">
        <v>943</v>
      </c>
      <c r="BI992" s="219">
        <f t="shared" si="95"/>
        <v>1.12E-2</v>
      </c>
      <c r="BJ992" s="218">
        <f t="shared" si="93"/>
        <v>76355720.064344838</v>
      </c>
      <c r="BK992" s="217">
        <f t="shared" si="96"/>
        <v>1000</v>
      </c>
    </row>
    <row r="993" spans="8:63" s="215" customFormat="1">
      <c r="H993" s="211"/>
      <c r="I993" s="211"/>
      <c r="J993" s="211"/>
      <c r="K993" s="211"/>
      <c r="L993" s="211"/>
      <c r="M993" s="211"/>
      <c r="BF993" s="215">
        <v>944</v>
      </c>
      <c r="BG993" s="218">
        <f t="shared" si="94"/>
        <v>6893831725.8094196</v>
      </c>
      <c r="BH993" s="215">
        <v>944</v>
      </c>
      <c r="BI993" s="219">
        <f t="shared" si="95"/>
        <v>1.12E-2</v>
      </c>
      <c r="BJ993" s="218">
        <f t="shared" si="93"/>
        <v>77210915.329065502</v>
      </c>
      <c r="BK993" s="217">
        <f t="shared" si="96"/>
        <v>1000</v>
      </c>
    </row>
    <row r="994" spans="8:63" s="215" customFormat="1">
      <c r="H994" s="211"/>
      <c r="I994" s="211"/>
      <c r="J994" s="211"/>
      <c r="K994" s="211"/>
      <c r="L994" s="211"/>
      <c r="M994" s="211"/>
      <c r="BF994" s="215">
        <v>945</v>
      </c>
      <c r="BG994" s="218">
        <f t="shared" si="94"/>
        <v>6971043641.138485</v>
      </c>
      <c r="BH994" s="215">
        <v>945</v>
      </c>
      <c r="BI994" s="219">
        <f t="shared" si="95"/>
        <v>1.12E-2</v>
      </c>
      <c r="BJ994" s="218">
        <f t="shared" si="93"/>
        <v>78075688.780751035</v>
      </c>
      <c r="BK994" s="217">
        <f t="shared" si="96"/>
        <v>1000</v>
      </c>
    </row>
    <row r="995" spans="8:63" s="215" customFormat="1">
      <c r="H995" s="211"/>
      <c r="I995" s="211"/>
      <c r="J995" s="211"/>
      <c r="K995" s="211"/>
      <c r="L995" s="211"/>
      <c r="M995" s="211"/>
      <c r="BF995" s="215">
        <v>946</v>
      </c>
      <c r="BG995" s="218">
        <f t="shared" si="94"/>
        <v>7049120329.9192362</v>
      </c>
      <c r="BH995" s="215">
        <v>946</v>
      </c>
      <c r="BI995" s="219">
        <f t="shared" si="95"/>
        <v>1.12E-2</v>
      </c>
      <c r="BJ995" s="218">
        <f t="shared" si="93"/>
        <v>78950147.69509545</v>
      </c>
      <c r="BK995" s="217">
        <f t="shared" si="96"/>
        <v>1000</v>
      </c>
    </row>
    <row r="996" spans="8:63" s="215" customFormat="1">
      <c r="H996" s="211"/>
      <c r="I996" s="211"/>
      <c r="J996" s="211"/>
      <c r="K996" s="211"/>
      <c r="L996" s="211"/>
      <c r="M996" s="211"/>
      <c r="BF996" s="215">
        <v>947</v>
      </c>
      <c r="BG996" s="218">
        <f t="shared" si="94"/>
        <v>7128071477.6143312</v>
      </c>
      <c r="BH996" s="215">
        <v>947</v>
      </c>
      <c r="BI996" s="219">
        <f t="shared" si="95"/>
        <v>1.12E-2</v>
      </c>
      <c r="BJ996" s="218">
        <f t="shared" si="93"/>
        <v>79834400.549280509</v>
      </c>
      <c r="BK996" s="217">
        <f t="shared" si="96"/>
        <v>1000</v>
      </c>
    </row>
    <row r="997" spans="8:63" s="215" customFormat="1">
      <c r="H997" s="211"/>
      <c r="I997" s="211"/>
      <c r="J997" s="211"/>
      <c r="K997" s="211"/>
      <c r="L997" s="211"/>
      <c r="M997" s="211"/>
      <c r="BF997" s="215">
        <v>948</v>
      </c>
      <c r="BG997" s="218">
        <f t="shared" si="94"/>
        <v>7207906878.1636114</v>
      </c>
      <c r="BH997" s="215">
        <v>948</v>
      </c>
      <c r="BI997" s="219">
        <f t="shared" si="95"/>
        <v>1.12E-2</v>
      </c>
      <c r="BJ997" s="218">
        <f t="shared" si="93"/>
        <v>80728557.035432443</v>
      </c>
      <c r="BK997" s="217">
        <f t="shared" si="96"/>
        <v>1000</v>
      </c>
    </row>
    <row r="998" spans="8:63" s="215" customFormat="1">
      <c r="H998" s="211"/>
      <c r="I998" s="211"/>
      <c r="J998" s="211"/>
      <c r="K998" s="211"/>
      <c r="L998" s="211"/>
      <c r="M998" s="211"/>
      <c r="BF998" s="215">
        <v>949</v>
      </c>
      <c r="BG998" s="218">
        <f t="shared" si="94"/>
        <v>7288636435.1990442</v>
      </c>
      <c r="BH998" s="215">
        <v>949</v>
      </c>
      <c r="BI998" s="219">
        <f t="shared" si="95"/>
        <v>1.12E-2</v>
      </c>
      <c r="BJ998" s="218">
        <f t="shared" si="93"/>
        <v>81632728.0742293</v>
      </c>
      <c r="BK998" s="217">
        <f t="shared" si="96"/>
        <v>1000</v>
      </c>
    </row>
    <row r="999" spans="8:63" s="215" customFormat="1">
      <c r="H999" s="211"/>
      <c r="I999" s="211"/>
      <c r="J999" s="211"/>
      <c r="K999" s="211"/>
      <c r="L999" s="211"/>
      <c r="M999" s="211"/>
      <c r="BF999" s="215">
        <v>950</v>
      </c>
      <c r="BG999" s="218">
        <f t="shared" si="94"/>
        <v>7370270163.2732735</v>
      </c>
      <c r="BH999" s="215">
        <v>950</v>
      </c>
      <c r="BI999" s="219">
        <f t="shared" si="95"/>
        <v>1.12E-2</v>
      </c>
      <c r="BJ999" s="218">
        <f t="shared" si="93"/>
        <v>82547025.828660667</v>
      </c>
      <c r="BK999" s="217">
        <f t="shared" si="96"/>
        <v>1000</v>
      </c>
    </row>
    <row r="1000" spans="8:63" s="215" customFormat="1">
      <c r="H1000" s="211"/>
      <c r="I1000" s="211"/>
      <c r="J1000" s="211"/>
      <c r="K1000" s="211"/>
      <c r="L1000" s="211"/>
      <c r="M1000" s="211"/>
      <c r="BF1000" s="215">
        <v>951</v>
      </c>
      <c r="BG1000" s="218">
        <f t="shared" si="94"/>
        <v>7452818189.1019344</v>
      </c>
      <c r="BH1000" s="215">
        <v>951</v>
      </c>
      <c r="BI1000" s="219">
        <f t="shared" si="95"/>
        <v>1.12E-2</v>
      </c>
      <c r="BJ1000" s="218">
        <f t="shared" si="93"/>
        <v>83471563.717941672</v>
      </c>
      <c r="BK1000" s="217">
        <f t="shared" si="96"/>
        <v>1000</v>
      </c>
    </row>
    <row r="1001" spans="8:63" s="215" customFormat="1">
      <c r="H1001" s="211"/>
      <c r="I1001" s="211"/>
      <c r="J1001" s="211"/>
      <c r="K1001" s="211"/>
      <c r="L1001" s="211"/>
      <c r="M1001" s="211"/>
      <c r="BF1001" s="215">
        <v>952</v>
      </c>
      <c r="BG1001" s="218">
        <f t="shared" si="94"/>
        <v>7536290752.8198757</v>
      </c>
      <c r="BH1001" s="215">
        <v>952</v>
      </c>
      <c r="BI1001" s="219">
        <f t="shared" si="95"/>
        <v>1.12E-2</v>
      </c>
      <c r="BJ1001" s="218">
        <f t="shared" si="93"/>
        <v>84406456.4315826</v>
      </c>
      <c r="BK1001" s="217">
        <f t="shared" si="96"/>
        <v>1000</v>
      </c>
    </row>
    <row r="1002" spans="8:63" s="215" customFormat="1">
      <c r="H1002" s="211"/>
      <c r="I1002" s="211"/>
      <c r="J1002" s="211"/>
      <c r="K1002" s="211"/>
      <c r="L1002" s="211"/>
      <c r="M1002" s="211"/>
      <c r="BF1002" s="215">
        <v>953</v>
      </c>
      <c r="BG1002" s="218">
        <f t="shared" si="94"/>
        <v>7620698209.2514582</v>
      </c>
      <c r="BH1002" s="215">
        <v>953</v>
      </c>
      <c r="BI1002" s="219">
        <f t="shared" si="95"/>
        <v>1.12E-2</v>
      </c>
      <c r="BJ1002" s="218">
        <f t="shared" si="93"/>
        <v>85351819.943616331</v>
      </c>
      <c r="BK1002" s="217">
        <f t="shared" si="96"/>
        <v>1000</v>
      </c>
    </row>
    <row r="1003" spans="8:63" s="215" customFormat="1">
      <c r="H1003" s="211"/>
      <c r="I1003" s="211"/>
      <c r="J1003" s="211"/>
      <c r="K1003" s="211"/>
      <c r="L1003" s="211"/>
      <c r="M1003" s="211"/>
      <c r="BF1003" s="215">
        <v>954</v>
      </c>
      <c r="BG1003" s="218">
        <f t="shared" si="94"/>
        <v>7706051029.1950741</v>
      </c>
      <c r="BH1003" s="215">
        <v>954</v>
      </c>
      <c r="BI1003" s="219">
        <f t="shared" si="95"/>
        <v>1.12E-2</v>
      </c>
      <c r="BJ1003" s="218">
        <f t="shared" si="93"/>
        <v>86307771.526984826</v>
      </c>
      <c r="BK1003" s="217">
        <f t="shared" si="96"/>
        <v>1000</v>
      </c>
    </row>
    <row r="1004" spans="8:63" s="215" customFormat="1">
      <c r="H1004" s="211"/>
      <c r="I1004" s="211"/>
      <c r="J1004" s="211"/>
      <c r="K1004" s="211"/>
      <c r="L1004" s="211"/>
      <c r="M1004" s="211"/>
      <c r="BF1004" s="215">
        <v>955</v>
      </c>
      <c r="BG1004" s="218">
        <f t="shared" si="94"/>
        <v>7792359800.7220592</v>
      </c>
      <c r="BH1004" s="215">
        <v>955</v>
      </c>
      <c r="BI1004" s="219">
        <f t="shared" si="95"/>
        <v>1.12E-2</v>
      </c>
      <c r="BJ1004" s="218">
        <f t="shared" si="93"/>
        <v>87274429.768087059</v>
      </c>
      <c r="BK1004" s="217">
        <f t="shared" si="96"/>
        <v>1000</v>
      </c>
    </row>
    <row r="1005" spans="8:63" s="215" customFormat="1">
      <c r="H1005" s="211"/>
      <c r="I1005" s="211"/>
      <c r="J1005" s="211"/>
      <c r="K1005" s="211"/>
      <c r="L1005" s="211"/>
      <c r="M1005" s="211"/>
      <c r="BF1005" s="215">
        <v>956</v>
      </c>
      <c r="BG1005" s="218">
        <f t="shared" si="94"/>
        <v>7879635230.4901466</v>
      </c>
      <c r="BH1005" s="215">
        <v>956</v>
      </c>
      <c r="BI1005" s="219">
        <f t="shared" si="95"/>
        <v>1.12E-2</v>
      </c>
      <c r="BJ1005" s="218">
        <f t="shared" si="93"/>
        <v>88251914.581489637</v>
      </c>
      <c r="BK1005" s="217">
        <f t="shared" si="96"/>
        <v>1000</v>
      </c>
    </row>
    <row r="1006" spans="8:63" s="215" customFormat="1">
      <c r="H1006" s="211"/>
      <c r="I1006" s="211"/>
      <c r="J1006" s="211"/>
      <c r="K1006" s="211"/>
      <c r="L1006" s="211"/>
      <c r="M1006" s="211"/>
      <c r="BF1006" s="215">
        <v>957</v>
      </c>
      <c r="BG1006" s="218">
        <f t="shared" si="94"/>
        <v>7967888145.0716362</v>
      </c>
      <c r="BH1006" s="215">
        <v>957</v>
      </c>
      <c r="BI1006" s="219">
        <f t="shared" si="95"/>
        <v>1.12E-2</v>
      </c>
      <c r="BJ1006" s="218">
        <f t="shared" si="93"/>
        <v>89240347.22480233</v>
      </c>
      <c r="BK1006" s="217">
        <f t="shared" si="96"/>
        <v>1000</v>
      </c>
    </row>
    <row r="1007" spans="8:63" s="215" customFormat="1">
      <c r="H1007" s="211"/>
      <c r="I1007" s="211"/>
      <c r="J1007" s="211"/>
      <c r="K1007" s="211"/>
      <c r="L1007" s="211"/>
      <c r="M1007" s="211"/>
      <c r="BF1007" s="215">
        <v>958</v>
      </c>
      <c r="BG1007" s="218">
        <f t="shared" si="94"/>
        <v>8057129492.2964382</v>
      </c>
      <c r="BH1007" s="215">
        <v>958</v>
      </c>
      <c r="BI1007" s="219">
        <f t="shared" si="95"/>
        <v>1.12E-2</v>
      </c>
      <c r="BJ1007" s="218">
        <f t="shared" si="93"/>
        <v>90239850.313720107</v>
      </c>
      <c r="BK1007" s="217">
        <f t="shared" si="96"/>
        <v>1000</v>
      </c>
    </row>
    <row r="1008" spans="8:63" s="215" customFormat="1">
      <c r="H1008" s="211"/>
      <c r="I1008" s="211"/>
      <c r="J1008" s="211"/>
      <c r="K1008" s="211"/>
      <c r="L1008" s="211"/>
      <c r="M1008" s="211"/>
      <c r="BF1008" s="215">
        <v>959</v>
      </c>
      <c r="BG1008" s="218">
        <f t="shared" si="94"/>
        <v>8147370342.610158</v>
      </c>
      <c r="BH1008" s="215">
        <v>959</v>
      </c>
      <c r="BI1008" s="219">
        <f t="shared" si="95"/>
        <v>1.12E-2</v>
      </c>
      <c r="BJ1008" s="218">
        <f t="shared" si="93"/>
        <v>91250547.837233767</v>
      </c>
      <c r="BK1008" s="217">
        <f t="shared" si="96"/>
        <v>1000</v>
      </c>
    </row>
    <row r="1009" spans="8:63" s="215" customFormat="1">
      <c r="H1009" s="211"/>
      <c r="I1009" s="211"/>
      <c r="J1009" s="211"/>
      <c r="K1009" s="211"/>
      <c r="L1009" s="211"/>
      <c r="M1009" s="211"/>
      <c r="BF1009" s="215">
        <v>960</v>
      </c>
      <c r="BG1009" s="218">
        <f t="shared" si="94"/>
        <v>8238621890.4473915</v>
      </c>
      <c r="BH1009" s="215">
        <v>960</v>
      </c>
      <c r="BI1009" s="219">
        <f t="shared" si="95"/>
        <v>1.12E-2</v>
      </c>
      <c r="BJ1009" s="218">
        <f t="shared" si="93"/>
        <v>92272565.173010781</v>
      </c>
      <c r="BK1009" s="217">
        <f t="shared" si="96"/>
        <v>1000</v>
      </c>
    </row>
    <row r="1010" spans="8:63" s="215" customFormat="1">
      <c r="H1010" s="211"/>
      <c r="I1010" s="211"/>
      <c r="J1010" s="211"/>
      <c r="K1010" s="211"/>
      <c r="L1010" s="211"/>
      <c r="M1010" s="211"/>
      <c r="BF1010" s="215">
        <v>961</v>
      </c>
      <c r="BG1010" s="218">
        <f t="shared" si="94"/>
        <v>8330895455.6204023</v>
      </c>
      <c r="BH1010" s="215">
        <v>961</v>
      </c>
      <c r="BI1010" s="219">
        <f t="shared" si="95"/>
        <v>1.12E-2</v>
      </c>
      <c r="BJ1010" s="218">
        <f t="shared" ref="BJ1010:BJ1073" si="97">BG1010*BI1010</f>
        <v>93306029.102948502</v>
      </c>
      <c r="BK1010" s="217">
        <f t="shared" si="96"/>
        <v>1000</v>
      </c>
    </row>
    <row r="1011" spans="8:63" s="215" customFormat="1">
      <c r="H1011" s="211"/>
      <c r="I1011" s="211"/>
      <c r="J1011" s="211"/>
      <c r="K1011" s="211"/>
      <c r="L1011" s="211"/>
      <c r="M1011" s="211"/>
      <c r="BF1011" s="215">
        <v>962</v>
      </c>
      <c r="BG1011" s="218">
        <f t="shared" ref="BG1011:BG1074" si="98">BG1010+BJ1010+BK1011</f>
        <v>8424202484.7233505</v>
      </c>
      <c r="BH1011" s="215">
        <v>962</v>
      </c>
      <c r="BI1011" s="219">
        <f t="shared" ref="BI1011:BI1074" si="99">BI1010</f>
        <v>1.12E-2</v>
      </c>
      <c r="BJ1011" s="218">
        <f t="shared" si="97"/>
        <v>94351067.828901529</v>
      </c>
      <c r="BK1011" s="217">
        <f t="shared" ref="BK1011:BK1074" si="100">BK1010</f>
        <v>1000</v>
      </c>
    </row>
    <row r="1012" spans="8:63" s="215" customFormat="1">
      <c r="H1012" s="211"/>
      <c r="I1012" s="211"/>
      <c r="J1012" s="211"/>
      <c r="K1012" s="211"/>
      <c r="L1012" s="211"/>
      <c r="M1012" s="211"/>
      <c r="BF1012" s="215">
        <v>963</v>
      </c>
      <c r="BG1012" s="218">
        <f t="shared" si="98"/>
        <v>8518554552.5522518</v>
      </c>
      <c r="BH1012" s="215">
        <v>963</v>
      </c>
      <c r="BI1012" s="219">
        <f t="shared" si="99"/>
        <v>1.12E-2</v>
      </c>
      <c r="BJ1012" s="218">
        <f t="shared" si="97"/>
        <v>95407810.988585219</v>
      </c>
      <c r="BK1012" s="217">
        <f t="shared" si="100"/>
        <v>1000</v>
      </c>
    </row>
    <row r="1013" spans="8:63" s="215" customFormat="1">
      <c r="H1013" s="211"/>
      <c r="I1013" s="211"/>
      <c r="J1013" s="211"/>
      <c r="K1013" s="211"/>
      <c r="L1013" s="211"/>
      <c r="M1013" s="211"/>
      <c r="BF1013" s="215">
        <v>964</v>
      </c>
      <c r="BG1013" s="218">
        <f t="shared" si="98"/>
        <v>8613963363.5408363</v>
      </c>
      <c r="BH1013" s="215">
        <v>964</v>
      </c>
      <c r="BI1013" s="219">
        <f t="shared" si="99"/>
        <v>1.12E-2</v>
      </c>
      <c r="BJ1013" s="218">
        <f t="shared" si="97"/>
        <v>96476389.671657369</v>
      </c>
      <c r="BK1013" s="217">
        <f t="shared" si="100"/>
        <v>1000</v>
      </c>
    </row>
    <row r="1014" spans="8:63" s="215" customFormat="1">
      <c r="H1014" s="211"/>
      <c r="I1014" s="211"/>
      <c r="J1014" s="211"/>
      <c r="K1014" s="211"/>
      <c r="L1014" s="211"/>
      <c r="M1014" s="211"/>
      <c r="BF1014" s="215">
        <v>965</v>
      </c>
      <c r="BG1014" s="218">
        <f t="shared" si="98"/>
        <v>8710440753.2124939</v>
      </c>
      <c r="BH1014" s="215">
        <v>965</v>
      </c>
      <c r="BI1014" s="219">
        <f t="shared" si="99"/>
        <v>1.12E-2</v>
      </c>
      <c r="BJ1014" s="218">
        <f t="shared" si="97"/>
        <v>97556936.435979933</v>
      </c>
      <c r="BK1014" s="217">
        <f t="shared" si="100"/>
        <v>1000</v>
      </c>
    </row>
    <row r="1015" spans="8:63" s="215" customFormat="1">
      <c r="H1015" s="211"/>
      <c r="I1015" s="211"/>
      <c r="J1015" s="211"/>
      <c r="K1015" s="211"/>
      <c r="L1015" s="211"/>
      <c r="M1015" s="211"/>
      <c r="BF1015" s="215">
        <v>966</v>
      </c>
      <c r="BG1015" s="218">
        <f t="shared" si="98"/>
        <v>8807998689.6484737</v>
      </c>
      <c r="BH1015" s="215">
        <v>966</v>
      </c>
      <c r="BI1015" s="219">
        <f t="shared" si="99"/>
        <v>1.12E-2</v>
      </c>
      <c r="BJ1015" s="218">
        <f t="shared" si="97"/>
        <v>98649585.324062899</v>
      </c>
      <c r="BK1015" s="217">
        <f t="shared" si="100"/>
        <v>1000</v>
      </c>
    </row>
    <row r="1016" spans="8:63" s="215" customFormat="1">
      <c r="H1016" s="211"/>
      <c r="I1016" s="211"/>
      <c r="J1016" s="211"/>
      <c r="K1016" s="211"/>
      <c r="L1016" s="211"/>
      <c r="M1016" s="211"/>
      <c r="BF1016" s="215">
        <v>967</v>
      </c>
      <c r="BG1016" s="218">
        <f t="shared" si="98"/>
        <v>8906649274.9725361</v>
      </c>
      <c r="BH1016" s="215">
        <v>967</v>
      </c>
      <c r="BI1016" s="219">
        <f t="shared" si="99"/>
        <v>1.12E-2</v>
      </c>
      <c r="BJ1016" s="218">
        <f t="shared" si="97"/>
        <v>99754471.879692405</v>
      </c>
      <c r="BK1016" s="217">
        <f t="shared" si="100"/>
        <v>1000</v>
      </c>
    </row>
    <row r="1017" spans="8:63" s="215" customFormat="1">
      <c r="H1017" s="211"/>
      <c r="I1017" s="211"/>
      <c r="J1017" s="211"/>
      <c r="K1017" s="211"/>
      <c r="L1017" s="211"/>
      <c r="M1017" s="211"/>
      <c r="BF1017" s="215">
        <v>968</v>
      </c>
      <c r="BG1017" s="218">
        <f t="shared" si="98"/>
        <v>9006404746.8522282</v>
      </c>
      <c r="BH1017" s="215">
        <v>968</v>
      </c>
      <c r="BI1017" s="219">
        <f t="shared" si="99"/>
        <v>1.12E-2</v>
      </c>
      <c r="BJ1017" s="218">
        <f t="shared" si="97"/>
        <v>100871733.16474496</v>
      </c>
      <c r="BK1017" s="217">
        <f t="shared" si="100"/>
        <v>1000</v>
      </c>
    </row>
    <row r="1018" spans="8:63" s="215" customFormat="1">
      <c r="H1018" s="211"/>
      <c r="I1018" s="211"/>
      <c r="J1018" s="211"/>
      <c r="K1018" s="211"/>
      <c r="L1018" s="211"/>
      <c r="M1018" s="211"/>
      <c r="BF1018" s="215">
        <v>969</v>
      </c>
      <c r="BG1018" s="218">
        <f t="shared" si="98"/>
        <v>9107277480.0169735</v>
      </c>
      <c r="BH1018" s="215">
        <v>969</v>
      </c>
      <c r="BI1018" s="219">
        <f t="shared" si="99"/>
        <v>1.12E-2</v>
      </c>
      <c r="BJ1018" s="218">
        <f t="shared" si="97"/>
        <v>102001507.7761901</v>
      </c>
      <c r="BK1018" s="217">
        <f t="shared" si="100"/>
        <v>1000</v>
      </c>
    </row>
    <row r="1019" spans="8:63" s="215" customFormat="1">
      <c r="H1019" s="211"/>
      <c r="I1019" s="211"/>
      <c r="J1019" s="211"/>
      <c r="K1019" s="211"/>
      <c r="L1019" s="211"/>
      <c r="M1019" s="211"/>
      <c r="BF1019" s="215">
        <v>970</v>
      </c>
      <c r="BG1019" s="218">
        <f t="shared" si="98"/>
        <v>9209279987.7931633</v>
      </c>
      <c r="BH1019" s="215">
        <v>970</v>
      </c>
      <c r="BI1019" s="219">
        <f t="shared" si="99"/>
        <v>1.12E-2</v>
      </c>
      <c r="BJ1019" s="218">
        <f t="shared" si="97"/>
        <v>103143935.86328343</v>
      </c>
      <c r="BK1019" s="217">
        <f t="shared" si="100"/>
        <v>1000</v>
      </c>
    </row>
    <row r="1020" spans="8:63" s="215" customFormat="1">
      <c r="H1020" s="211"/>
      <c r="I1020" s="211"/>
      <c r="J1020" s="211"/>
      <c r="K1020" s="211"/>
      <c r="L1020" s="211"/>
      <c r="M1020" s="211"/>
      <c r="BF1020" s="215">
        <v>971</v>
      </c>
      <c r="BG1020" s="218">
        <f t="shared" si="98"/>
        <v>9312424923.6564465</v>
      </c>
      <c r="BH1020" s="215">
        <v>971</v>
      </c>
      <c r="BI1020" s="219">
        <f t="shared" si="99"/>
        <v>1.12E-2</v>
      </c>
      <c r="BJ1020" s="218">
        <f t="shared" si="97"/>
        <v>104299159.14495219</v>
      </c>
      <c r="BK1020" s="217">
        <f t="shared" si="100"/>
        <v>1000</v>
      </c>
    </row>
    <row r="1021" spans="8:63" s="215" customFormat="1">
      <c r="H1021" s="211"/>
      <c r="I1021" s="211"/>
      <c r="J1021" s="211"/>
      <c r="K1021" s="211"/>
      <c r="L1021" s="211"/>
      <c r="M1021" s="211"/>
      <c r="BF1021" s="215">
        <v>972</v>
      </c>
      <c r="BG1021" s="218">
        <f t="shared" si="98"/>
        <v>9416725082.8013992</v>
      </c>
      <c r="BH1021" s="215">
        <v>972</v>
      </c>
      <c r="BI1021" s="219">
        <f t="shared" si="99"/>
        <v>1.12E-2</v>
      </c>
      <c r="BJ1021" s="218">
        <f t="shared" si="97"/>
        <v>105467320.92737567</v>
      </c>
      <c r="BK1021" s="217">
        <f t="shared" si="100"/>
        <v>1000</v>
      </c>
    </row>
    <row r="1022" spans="8:63" s="215" customFormat="1">
      <c r="H1022" s="211"/>
      <c r="I1022" s="211"/>
      <c r="J1022" s="211"/>
      <c r="K1022" s="211"/>
      <c r="L1022" s="211"/>
      <c r="M1022" s="211"/>
      <c r="BF1022" s="215">
        <v>973</v>
      </c>
      <c r="BG1022" s="218">
        <f t="shared" si="98"/>
        <v>9522193403.728775</v>
      </c>
      <c r="BH1022" s="215">
        <v>973</v>
      </c>
      <c r="BI1022" s="219">
        <f t="shared" si="99"/>
        <v>1.12E-2</v>
      </c>
      <c r="BJ1022" s="218">
        <f t="shared" si="97"/>
        <v>106648566.12176228</v>
      </c>
      <c r="BK1022" s="217">
        <f t="shared" si="100"/>
        <v>1000</v>
      </c>
    </row>
    <row r="1023" spans="8:63" s="215" customFormat="1">
      <c r="H1023" s="211"/>
      <c r="I1023" s="211"/>
      <c r="J1023" s="211"/>
      <c r="K1023" s="211"/>
      <c r="L1023" s="211"/>
      <c r="M1023" s="211"/>
      <c r="BF1023" s="215">
        <v>974</v>
      </c>
      <c r="BG1023" s="218">
        <f t="shared" si="98"/>
        <v>9628842969.8505363</v>
      </c>
      <c r="BH1023" s="215">
        <v>974</v>
      </c>
      <c r="BI1023" s="219">
        <f t="shared" si="99"/>
        <v>1.12E-2</v>
      </c>
      <c r="BJ1023" s="218">
        <f t="shared" si="97"/>
        <v>107843041.262326</v>
      </c>
      <c r="BK1023" s="217">
        <f t="shared" si="100"/>
        <v>1000</v>
      </c>
    </row>
    <row r="1024" spans="8:63" s="215" customFormat="1">
      <c r="H1024" s="211"/>
      <c r="I1024" s="211"/>
      <c r="J1024" s="211"/>
      <c r="K1024" s="211"/>
      <c r="L1024" s="211"/>
      <c r="M1024" s="211"/>
      <c r="BF1024" s="215">
        <v>975</v>
      </c>
      <c r="BG1024" s="218">
        <f t="shared" si="98"/>
        <v>9736687011.1128616</v>
      </c>
      <c r="BH1024" s="215">
        <v>975</v>
      </c>
      <c r="BI1024" s="219">
        <f t="shared" si="99"/>
        <v>1.12E-2</v>
      </c>
      <c r="BJ1024" s="218">
        <f t="shared" si="97"/>
        <v>109050894.52446406</v>
      </c>
      <c r="BK1024" s="217">
        <f t="shared" si="100"/>
        <v>1000</v>
      </c>
    </row>
    <row r="1025" spans="8:63" s="215" customFormat="1">
      <c r="H1025" s="211"/>
      <c r="I1025" s="211"/>
      <c r="J1025" s="211"/>
      <c r="K1025" s="211"/>
      <c r="L1025" s="211"/>
      <c r="M1025" s="211"/>
      <c r="BF1025" s="215">
        <v>976</v>
      </c>
      <c r="BG1025" s="218">
        <f t="shared" si="98"/>
        <v>9845738905.6373253</v>
      </c>
      <c r="BH1025" s="215">
        <v>976</v>
      </c>
      <c r="BI1025" s="219">
        <f t="shared" si="99"/>
        <v>1.12E-2</v>
      </c>
      <c r="BJ1025" s="218">
        <f t="shared" si="97"/>
        <v>110272275.74313805</v>
      </c>
      <c r="BK1025" s="217">
        <f t="shared" si="100"/>
        <v>1000</v>
      </c>
    </row>
    <row r="1026" spans="8:63" s="215" customFormat="1">
      <c r="H1026" s="211"/>
      <c r="I1026" s="211"/>
      <c r="J1026" s="211"/>
      <c r="K1026" s="211"/>
      <c r="L1026" s="211"/>
      <c r="M1026" s="211"/>
      <c r="BF1026" s="215">
        <v>977</v>
      </c>
      <c r="BG1026" s="218">
        <f t="shared" si="98"/>
        <v>9956012181.3804626</v>
      </c>
      <c r="BH1026" s="215">
        <v>977</v>
      </c>
      <c r="BI1026" s="219">
        <f t="shared" si="99"/>
        <v>1.12E-2</v>
      </c>
      <c r="BJ1026" s="218">
        <f t="shared" si="97"/>
        <v>111507336.43146119</v>
      </c>
      <c r="BK1026" s="217">
        <f t="shared" si="100"/>
        <v>1000</v>
      </c>
    </row>
    <row r="1027" spans="8:63" s="215" customFormat="1">
      <c r="H1027" s="211"/>
      <c r="I1027" s="211"/>
      <c r="J1027" s="211"/>
      <c r="K1027" s="211"/>
      <c r="L1027" s="211"/>
      <c r="M1027" s="211"/>
      <c r="BF1027" s="215">
        <v>978</v>
      </c>
      <c r="BG1027" s="218">
        <f t="shared" si="98"/>
        <v>10067520517.811924</v>
      </c>
      <c r="BH1027" s="215">
        <v>978</v>
      </c>
      <c r="BI1027" s="219">
        <f t="shared" si="99"/>
        <v>1.12E-2</v>
      </c>
      <c r="BJ1027" s="218">
        <f t="shared" si="97"/>
        <v>112756229.79949355</v>
      </c>
      <c r="BK1027" s="217">
        <f t="shared" si="100"/>
        <v>1000</v>
      </c>
    </row>
    <row r="1028" spans="8:63" s="215" customFormat="1">
      <c r="H1028" s="211"/>
      <c r="I1028" s="211"/>
      <c r="J1028" s="211"/>
      <c r="K1028" s="211"/>
      <c r="L1028" s="211"/>
      <c r="M1028" s="211"/>
      <c r="BF1028" s="215">
        <v>979</v>
      </c>
      <c r="BG1028" s="218">
        <f t="shared" si="98"/>
        <v>10180277747.611418</v>
      </c>
      <c r="BH1028" s="215">
        <v>979</v>
      </c>
      <c r="BI1028" s="219">
        <f t="shared" si="99"/>
        <v>1.12E-2</v>
      </c>
      <c r="BJ1028" s="218">
        <f t="shared" si="97"/>
        <v>114019110.77324788</v>
      </c>
      <c r="BK1028" s="217">
        <f t="shared" si="100"/>
        <v>1000</v>
      </c>
    </row>
    <row r="1029" spans="8:63" s="215" customFormat="1">
      <c r="H1029" s="211"/>
      <c r="I1029" s="211"/>
      <c r="J1029" s="211"/>
      <c r="K1029" s="211"/>
      <c r="L1029" s="211"/>
      <c r="M1029" s="211"/>
      <c r="BF1029" s="215">
        <v>980</v>
      </c>
      <c r="BG1029" s="218">
        <f t="shared" si="98"/>
        <v>10294297858.384666</v>
      </c>
      <c r="BH1029" s="215">
        <v>980</v>
      </c>
      <c r="BI1029" s="219">
        <f t="shared" si="99"/>
        <v>1.12E-2</v>
      </c>
      <c r="BJ1029" s="218">
        <f t="shared" si="97"/>
        <v>115296136.01390827</v>
      </c>
      <c r="BK1029" s="217">
        <f t="shared" si="100"/>
        <v>1000</v>
      </c>
    </row>
    <row r="1030" spans="8:63" s="215" customFormat="1">
      <c r="H1030" s="211"/>
      <c r="I1030" s="211"/>
      <c r="J1030" s="211"/>
      <c r="K1030" s="211"/>
      <c r="L1030" s="211"/>
      <c r="M1030" s="211"/>
      <c r="BF1030" s="215">
        <v>981</v>
      </c>
      <c r="BG1030" s="218">
        <f t="shared" si="98"/>
        <v>10409594994.398575</v>
      </c>
      <c r="BH1030" s="215">
        <v>981</v>
      </c>
      <c r="BI1030" s="219">
        <f t="shared" si="99"/>
        <v>1.12E-2</v>
      </c>
      <c r="BJ1030" s="218">
        <f t="shared" si="97"/>
        <v>116587463.93726404</v>
      </c>
      <c r="BK1030" s="217">
        <f t="shared" si="100"/>
        <v>1000</v>
      </c>
    </row>
    <row r="1031" spans="8:63" s="215" customFormat="1">
      <c r="H1031" s="211"/>
      <c r="I1031" s="211"/>
      <c r="J1031" s="211"/>
      <c r="K1031" s="211"/>
      <c r="L1031" s="211"/>
      <c r="M1031" s="211"/>
      <c r="BF1031" s="215">
        <v>982</v>
      </c>
      <c r="BG1031" s="218">
        <f t="shared" si="98"/>
        <v>10526183458.335838</v>
      </c>
      <c r="BH1031" s="215">
        <v>982</v>
      </c>
      <c r="BI1031" s="219">
        <f t="shared" si="99"/>
        <v>1.12E-2</v>
      </c>
      <c r="BJ1031" s="218">
        <f t="shared" si="97"/>
        <v>117893254.73336139</v>
      </c>
      <c r="BK1031" s="217">
        <f t="shared" si="100"/>
        <v>1000</v>
      </c>
    </row>
    <row r="1032" spans="8:63" s="215" customFormat="1">
      <c r="H1032" s="211"/>
      <c r="I1032" s="211"/>
      <c r="J1032" s="211"/>
      <c r="K1032" s="211"/>
      <c r="L1032" s="211"/>
      <c r="M1032" s="211"/>
      <c r="BF1032" s="215">
        <v>983</v>
      </c>
      <c r="BG1032" s="218">
        <f t="shared" si="98"/>
        <v>10644077713.069201</v>
      </c>
      <c r="BH1032" s="215">
        <v>983</v>
      </c>
      <c r="BI1032" s="219">
        <f t="shared" si="99"/>
        <v>1.12E-2</v>
      </c>
      <c r="BJ1032" s="218">
        <f t="shared" si="97"/>
        <v>119213670.38637504</v>
      </c>
      <c r="BK1032" s="217">
        <f t="shared" si="100"/>
        <v>1000</v>
      </c>
    </row>
    <row r="1033" spans="8:63" s="215" customFormat="1">
      <c r="H1033" s="211"/>
      <c r="I1033" s="211"/>
      <c r="J1033" s="211"/>
      <c r="K1033" s="211"/>
      <c r="L1033" s="211"/>
      <c r="M1033" s="211"/>
      <c r="BF1033" s="215">
        <v>984</v>
      </c>
      <c r="BG1033" s="218">
        <f t="shared" si="98"/>
        <v>10763292383.455576</v>
      </c>
      <c r="BH1033" s="215">
        <v>984</v>
      </c>
      <c r="BI1033" s="219">
        <f t="shared" si="99"/>
        <v>1.12E-2</v>
      </c>
      <c r="BJ1033" s="218">
        <f t="shared" si="97"/>
        <v>120548874.69470245</v>
      </c>
      <c r="BK1033" s="217">
        <f t="shared" si="100"/>
        <v>1000</v>
      </c>
    </row>
    <row r="1034" spans="8:63" s="215" customFormat="1">
      <c r="H1034" s="211"/>
      <c r="I1034" s="211"/>
      <c r="J1034" s="211"/>
      <c r="K1034" s="211"/>
      <c r="L1034" s="211"/>
      <c r="M1034" s="211"/>
      <c r="BF1034" s="215">
        <v>985</v>
      </c>
      <c r="BG1034" s="218">
        <f t="shared" si="98"/>
        <v>10883842258.150278</v>
      </c>
      <c r="BH1034" s="215">
        <v>985</v>
      </c>
      <c r="BI1034" s="219">
        <f t="shared" si="99"/>
        <v>1.12E-2</v>
      </c>
      <c r="BJ1034" s="218">
        <f t="shared" si="97"/>
        <v>121899033.29128312</v>
      </c>
      <c r="BK1034" s="217">
        <f t="shared" si="100"/>
        <v>1000</v>
      </c>
    </row>
    <row r="1035" spans="8:63" s="215" customFormat="1">
      <c r="H1035" s="211"/>
      <c r="I1035" s="211"/>
      <c r="J1035" s="211"/>
      <c r="K1035" s="211"/>
      <c r="L1035" s="211"/>
      <c r="M1035" s="211"/>
      <c r="BF1035" s="215">
        <v>986</v>
      </c>
      <c r="BG1035" s="218">
        <f t="shared" si="98"/>
        <v>11005742291.441561</v>
      </c>
      <c r="BH1035" s="215">
        <v>986</v>
      </c>
      <c r="BI1035" s="219">
        <f t="shared" si="99"/>
        <v>1.12E-2</v>
      </c>
      <c r="BJ1035" s="218">
        <f t="shared" si="97"/>
        <v>123264313.66414548</v>
      </c>
      <c r="BK1035" s="217">
        <f t="shared" si="100"/>
        <v>1000</v>
      </c>
    </row>
    <row r="1036" spans="8:63" s="215" customFormat="1">
      <c r="H1036" s="211"/>
      <c r="I1036" s="211"/>
      <c r="J1036" s="211"/>
      <c r="K1036" s="211"/>
      <c r="L1036" s="211"/>
      <c r="M1036" s="211"/>
      <c r="BF1036" s="215">
        <v>987</v>
      </c>
      <c r="BG1036" s="218">
        <f t="shared" si="98"/>
        <v>11129007605.105707</v>
      </c>
      <c r="BH1036" s="215">
        <v>987</v>
      </c>
      <c r="BI1036" s="219">
        <f t="shared" si="99"/>
        <v>1.12E-2</v>
      </c>
      <c r="BJ1036" s="218">
        <f t="shared" si="97"/>
        <v>124644885.17718393</v>
      </c>
      <c r="BK1036" s="217">
        <f t="shared" si="100"/>
        <v>1000</v>
      </c>
    </row>
    <row r="1037" spans="8:63" s="215" customFormat="1">
      <c r="H1037" s="211"/>
      <c r="I1037" s="211"/>
      <c r="J1037" s="211"/>
      <c r="K1037" s="211"/>
      <c r="L1037" s="211"/>
      <c r="M1037" s="211"/>
      <c r="BF1037" s="215">
        <v>988</v>
      </c>
      <c r="BG1037" s="218">
        <f t="shared" si="98"/>
        <v>11253653490.28289</v>
      </c>
      <c r="BH1037" s="215">
        <v>988</v>
      </c>
      <c r="BI1037" s="219">
        <f t="shared" si="99"/>
        <v>1.12E-2</v>
      </c>
      <c r="BJ1037" s="218">
        <f t="shared" si="97"/>
        <v>126040919.09116837</v>
      </c>
      <c r="BK1037" s="217">
        <f t="shared" si="100"/>
        <v>1000</v>
      </c>
    </row>
    <row r="1038" spans="8:63" s="215" customFormat="1">
      <c r="H1038" s="211"/>
      <c r="I1038" s="211"/>
      <c r="J1038" s="211"/>
      <c r="K1038" s="211"/>
      <c r="L1038" s="211"/>
      <c r="M1038" s="211"/>
      <c r="BF1038" s="215">
        <v>989</v>
      </c>
      <c r="BG1038" s="218">
        <f t="shared" si="98"/>
        <v>11379695409.374058</v>
      </c>
      <c r="BH1038" s="215">
        <v>989</v>
      </c>
      <c r="BI1038" s="219">
        <f t="shared" si="99"/>
        <v>1.12E-2</v>
      </c>
      <c r="BJ1038" s="218">
        <f t="shared" si="97"/>
        <v>127452588.58498944</v>
      </c>
      <c r="BK1038" s="217">
        <f t="shared" si="100"/>
        <v>1000</v>
      </c>
    </row>
    <row r="1039" spans="8:63" s="215" customFormat="1">
      <c r="H1039" s="211"/>
      <c r="I1039" s="211"/>
      <c r="J1039" s="211"/>
      <c r="K1039" s="211"/>
      <c r="L1039" s="211"/>
      <c r="M1039" s="211"/>
      <c r="BF1039" s="215">
        <v>990</v>
      </c>
      <c r="BG1039" s="218">
        <f t="shared" si="98"/>
        <v>11507148997.959047</v>
      </c>
      <c r="BH1039" s="215">
        <v>990</v>
      </c>
      <c r="BI1039" s="219">
        <f t="shared" si="99"/>
        <v>1.12E-2</v>
      </c>
      <c r="BJ1039" s="218">
        <f t="shared" si="97"/>
        <v>128880068.77714133</v>
      </c>
      <c r="BK1039" s="217">
        <f t="shared" si="100"/>
        <v>1000</v>
      </c>
    </row>
    <row r="1040" spans="8:63" s="215" customFormat="1">
      <c r="H1040" s="211"/>
      <c r="I1040" s="211"/>
      <c r="J1040" s="211"/>
      <c r="K1040" s="211"/>
      <c r="L1040" s="211"/>
      <c r="M1040" s="211"/>
      <c r="BF1040" s="215">
        <v>991</v>
      </c>
      <c r="BG1040" s="218">
        <f t="shared" si="98"/>
        <v>11636030066.736189</v>
      </c>
      <c r="BH1040" s="215">
        <v>991</v>
      </c>
      <c r="BI1040" s="219">
        <f t="shared" si="99"/>
        <v>1.12E-2</v>
      </c>
      <c r="BJ1040" s="218">
        <f t="shared" si="97"/>
        <v>130323536.74744532</v>
      </c>
      <c r="BK1040" s="217">
        <f t="shared" si="100"/>
        <v>1000</v>
      </c>
    </row>
    <row r="1041" spans="8:63" s="215" customFormat="1">
      <c r="H1041" s="211"/>
      <c r="I1041" s="211"/>
      <c r="J1041" s="211"/>
      <c r="K1041" s="211"/>
      <c r="L1041" s="211"/>
      <c r="M1041" s="211"/>
      <c r="BF1041" s="215">
        <v>992</v>
      </c>
      <c r="BG1041" s="218">
        <f t="shared" si="98"/>
        <v>11766354603.483635</v>
      </c>
      <c r="BH1041" s="215">
        <v>992</v>
      </c>
      <c r="BI1041" s="219">
        <f t="shared" si="99"/>
        <v>1.12E-2</v>
      </c>
      <c r="BJ1041" s="218">
        <f t="shared" si="97"/>
        <v>131783171.5590167</v>
      </c>
      <c r="BK1041" s="217">
        <f t="shared" si="100"/>
        <v>1000</v>
      </c>
    </row>
    <row r="1042" spans="8:63" s="215" customFormat="1">
      <c r="H1042" s="211"/>
      <c r="I1042" s="211"/>
      <c r="J1042" s="211"/>
      <c r="K1042" s="211"/>
      <c r="L1042" s="211"/>
      <c r="M1042" s="211"/>
      <c r="BF1042" s="215">
        <v>993</v>
      </c>
      <c r="BG1042" s="218">
        <f t="shared" si="98"/>
        <v>11898138775.042652</v>
      </c>
      <c r="BH1042" s="215">
        <v>993</v>
      </c>
      <c r="BI1042" s="219">
        <f t="shared" si="99"/>
        <v>1.12E-2</v>
      </c>
      <c r="BJ1042" s="218">
        <f t="shared" si="97"/>
        <v>133259154.2804777</v>
      </c>
      <c r="BK1042" s="217">
        <f t="shared" si="100"/>
        <v>1000</v>
      </c>
    </row>
    <row r="1043" spans="8:63" s="215" customFormat="1">
      <c r="H1043" s="211"/>
      <c r="I1043" s="211"/>
      <c r="J1043" s="211"/>
      <c r="K1043" s="211"/>
      <c r="L1043" s="211"/>
      <c r="M1043" s="211"/>
      <c r="BF1043" s="215">
        <v>994</v>
      </c>
      <c r="BG1043" s="218">
        <f t="shared" si="98"/>
        <v>12031398929.32313</v>
      </c>
      <c r="BH1043" s="215">
        <v>994</v>
      </c>
      <c r="BI1043" s="219">
        <f t="shared" si="99"/>
        <v>1.12E-2</v>
      </c>
      <c r="BJ1043" s="218">
        <f t="shared" si="97"/>
        <v>134751668.00841904</v>
      </c>
      <c r="BK1043" s="217">
        <f t="shared" si="100"/>
        <v>1000</v>
      </c>
    </row>
    <row r="1044" spans="8:63" s="215" customFormat="1">
      <c r="H1044" s="211"/>
      <c r="I1044" s="211"/>
      <c r="J1044" s="211"/>
      <c r="K1044" s="211"/>
      <c r="L1044" s="211"/>
      <c r="M1044" s="211"/>
      <c r="BF1044" s="215">
        <v>995</v>
      </c>
      <c r="BG1044" s="218">
        <f t="shared" si="98"/>
        <v>12166151597.331549</v>
      </c>
      <c r="BH1044" s="215">
        <v>995</v>
      </c>
      <c r="BI1044" s="219">
        <f t="shared" si="99"/>
        <v>1.12E-2</v>
      </c>
      <c r="BJ1044" s="218">
        <f t="shared" si="97"/>
        <v>136260897.89011335</v>
      </c>
      <c r="BK1044" s="217">
        <f t="shared" si="100"/>
        <v>1000</v>
      </c>
    </row>
    <row r="1045" spans="8:63" s="215" customFormat="1">
      <c r="H1045" s="211"/>
      <c r="I1045" s="211"/>
      <c r="J1045" s="211"/>
      <c r="K1045" s="211"/>
      <c r="L1045" s="211"/>
      <c r="M1045" s="211"/>
      <c r="BF1045" s="215">
        <v>996</v>
      </c>
      <c r="BG1045" s="218">
        <f t="shared" si="98"/>
        <v>12302413495.221663</v>
      </c>
      <c r="BH1045" s="215">
        <v>996</v>
      </c>
      <c r="BI1045" s="219">
        <f t="shared" si="99"/>
        <v>1.12E-2</v>
      </c>
      <c r="BJ1045" s="218">
        <f t="shared" si="97"/>
        <v>137787031.14648262</v>
      </c>
      <c r="BK1045" s="217">
        <f t="shared" si="100"/>
        <v>1000</v>
      </c>
    </row>
    <row r="1046" spans="8:63" s="215" customFormat="1">
      <c r="H1046" s="211"/>
      <c r="I1046" s="211"/>
      <c r="J1046" s="211"/>
      <c r="K1046" s="211"/>
      <c r="L1046" s="211"/>
      <c r="M1046" s="211"/>
      <c r="BF1046" s="215">
        <v>997</v>
      </c>
      <c r="BG1046" s="218">
        <f t="shared" si="98"/>
        <v>12440201526.368145</v>
      </c>
      <c r="BH1046" s="215">
        <v>997</v>
      </c>
      <c r="BI1046" s="219">
        <f t="shared" si="99"/>
        <v>1.12E-2</v>
      </c>
      <c r="BJ1046" s="218">
        <f t="shared" si="97"/>
        <v>139330257.09532323</v>
      </c>
      <c r="BK1046" s="217">
        <f t="shared" si="100"/>
        <v>1000</v>
      </c>
    </row>
    <row r="1047" spans="8:63" s="215" customFormat="1">
      <c r="H1047" s="211"/>
      <c r="I1047" s="211"/>
      <c r="J1047" s="211"/>
      <c r="K1047" s="211"/>
      <c r="L1047" s="211"/>
      <c r="M1047" s="211"/>
      <c r="BF1047" s="215">
        <v>998</v>
      </c>
      <c r="BG1047" s="218">
        <f t="shared" si="98"/>
        <v>12579532783.463469</v>
      </c>
      <c r="BH1047" s="215">
        <v>998</v>
      </c>
      <c r="BI1047" s="219">
        <f t="shared" si="99"/>
        <v>1.12E-2</v>
      </c>
      <c r="BJ1047" s="218">
        <f t="shared" si="97"/>
        <v>140890767.17479086</v>
      </c>
      <c r="BK1047" s="217">
        <f t="shared" si="100"/>
        <v>1000</v>
      </c>
    </row>
    <row r="1048" spans="8:63" s="215" customFormat="1">
      <c r="H1048" s="211"/>
      <c r="I1048" s="211"/>
      <c r="J1048" s="211"/>
      <c r="K1048" s="211"/>
      <c r="L1048" s="211"/>
      <c r="M1048" s="211"/>
      <c r="BF1048" s="215">
        <v>999</v>
      </c>
      <c r="BG1048" s="218">
        <f t="shared" si="98"/>
        <v>12720424550.63826</v>
      </c>
      <c r="BH1048" s="215">
        <v>999</v>
      </c>
      <c r="BI1048" s="219">
        <f t="shared" si="99"/>
        <v>1.12E-2</v>
      </c>
      <c r="BJ1048" s="218">
        <f t="shared" si="97"/>
        <v>142468754.96714851</v>
      </c>
      <c r="BK1048" s="217">
        <f t="shared" si="100"/>
        <v>1000</v>
      </c>
    </row>
    <row r="1049" spans="8:63" s="215" customFormat="1">
      <c r="H1049" s="211"/>
      <c r="I1049" s="211"/>
      <c r="J1049" s="211"/>
      <c r="K1049" s="211"/>
      <c r="L1049" s="211"/>
      <c r="M1049" s="211"/>
      <c r="BF1049" s="215">
        <v>1000</v>
      </c>
      <c r="BG1049" s="218">
        <f t="shared" si="98"/>
        <v>12862894305.605408</v>
      </c>
      <c r="BH1049" s="215">
        <v>1000</v>
      </c>
      <c r="BI1049" s="219">
        <f t="shared" si="99"/>
        <v>1.12E-2</v>
      </c>
      <c r="BJ1049" s="218">
        <f t="shared" si="97"/>
        <v>144064416.22278056</v>
      </c>
      <c r="BK1049" s="217">
        <f t="shared" si="100"/>
        <v>1000</v>
      </c>
    </row>
    <row r="1050" spans="8:63" s="215" customFormat="1">
      <c r="H1050" s="211"/>
      <c r="I1050" s="211"/>
      <c r="J1050" s="211"/>
      <c r="K1050" s="211"/>
      <c r="L1050" s="211"/>
      <c r="M1050" s="211"/>
      <c r="BF1050" s="215">
        <v>1001</v>
      </c>
      <c r="BG1050" s="218">
        <f t="shared" si="98"/>
        <v>13006959721.828188</v>
      </c>
      <c r="BH1050" s="215">
        <v>1001</v>
      </c>
      <c r="BI1050" s="219">
        <f t="shared" si="99"/>
        <v>1.12E-2</v>
      </c>
      <c r="BJ1050" s="218">
        <f t="shared" si="97"/>
        <v>145677948.88447571</v>
      </c>
      <c r="BK1050" s="217">
        <f t="shared" si="100"/>
        <v>1000</v>
      </c>
    </row>
    <row r="1051" spans="8:63" s="215" customFormat="1">
      <c r="H1051" s="211"/>
      <c r="I1051" s="211"/>
      <c r="J1051" s="211"/>
      <c r="K1051" s="211"/>
      <c r="L1051" s="211"/>
      <c r="M1051" s="211"/>
      <c r="BF1051" s="215">
        <v>1002</v>
      </c>
      <c r="BG1051" s="218">
        <f t="shared" si="98"/>
        <v>13152638670.712664</v>
      </c>
      <c r="BH1051" s="215">
        <v>1002</v>
      </c>
      <c r="BI1051" s="219">
        <f t="shared" si="99"/>
        <v>1.12E-2</v>
      </c>
      <c r="BJ1051" s="218">
        <f t="shared" si="97"/>
        <v>147309553.11198184</v>
      </c>
      <c r="BK1051" s="217">
        <f t="shared" si="100"/>
        <v>1000</v>
      </c>
    </row>
    <row r="1052" spans="8:63" s="215" customFormat="1">
      <c r="H1052" s="211"/>
      <c r="I1052" s="211"/>
      <c r="J1052" s="211"/>
      <c r="K1052" s="211"/>
      <c r="L1052" s="211"/>
      <c r="M1052" s="211"/>
      <c r="BF1052" s="215">
        <v>1003</v>
      </c>
      <c r="BG1052" s="218">
        <f t="shared" si="98"/>
        <v>13299949223.824646</v>
      </c>
      <c r="BH1052" s="215">
        <v>1003</v>
      </c>
      <c r="BI1052" s="219">
        <f t="shared" si="99"/>
        <v>1.12E-2</v>
      </c>
      <c r="BJ1052" s="218">
        <f t="shared" si="97"/>
        <v>148959431.30683604</v>
      </c>
      <c r="BK1052" s="217">
        <f t="shared" si="100"/>
        <v>1000</v>
      </c>
    </row>
    <row r="1053" spans="8:63" s="215" customFormat="1">
      <c r="H1053" s="211"/>
      <c r="I1053" s="211"/>
      <c r="J1053" s="211"/>
      <c r="K1053" s="211"/>
      <c r="L1053" s="211"/>
      <c r="M1053" s="211"/>
      <c r="BF1053" s="215">
        <v>1004</v>
      </c>
      <c r="BG1053" s="218">
        <f t="shared" si="98"/>
        <v>13448909655.131481</v>
      </c>
      <c r="BH1053" s="215">
        <v>1004</v>
      </c>
      <c r="BI1053" s="219">
        <f t="shared" si="99"/>
        <v>1.12E-2</v>
      </c>
      <c r="BJ1053" s="218">
        <f t="shared" si="97"/>
        <v>150627788.1374726</v>
      </c>
      <c r="BK1053" s="217">
        <f t="shared" si="100"/>
        <v>1000</v>
      </c>
    </row>
    <row r="1054" spans="8:63" s="215" customFormat="1">
      <c r="H1054" s="211"/>
      <c r="I1054" s="211"/>
      <c r="J1054" s="211"/>
      <c r="K1054" s="211"/>
      <c r="L1054" s="211"/>
      <c r="M1054" s="211"/>
      <c r="BF1054" s="215">
        <v>1005</v>
      </c>
      <c r="BG1054" s="218">
        <f t="shared" si="98"/>
        <v>13599538443.268953</v>
      </c>
      <c r="BH1054" s="215">
        <v>1005</v>
      </c>
      <c r="BI1054" s="219">
        <f t="shared" si="99"/>
        <v>1.12E-2</v>
      </c>
      <c r="BJ1054" s="218">
        <f t="shared" si="97"/>
        <v>152314830.56461227</v>
      </c>
      <c r="BK1054" s="217">
        <f t="shared" si="100"/>
        <v>1000</v>
      </c>
    </row>
    <row r="1055" spans="8:63" s="215" customFormat="1">
      <c r="H1055" s="211"/>
      <c r="I1055" s="211"/>
      <c r="J1055" s="211"/>
      <c r="K1055" s="211"/>
      <c r="L1055" s="211"/>
      <c r="M1055" s="211"/>
      <c r="BF1055" s="215">
        <v>1006</v>
      </c>
      <c r="BG1055" s="218">
        <f t="shared" si="98"/>
        <v>13751854273.833565</v>
      </c>
      <c r="BH1055" s="215">
        <v>1006</v>
      </c>
      <c r="BI1055" s="219">
        <f t="shared" si="99"/>
        <v>1.12E-2</v>
      </c>
      <c r="BJ1055" s="218">
        <f t="shared" si="97"/>
        <v>154020767.86693594</v>
      </c>
      <c r="BK1055" s="217">
        <f t="shared" si="100"/>
        <v>1000</v>
      </c>
    </row>
    <row r="1056" spans="8:63" s="215" customFormat="1">
      <c r="H1056" s="211"/>
      <c r="I1056" s="211"/>
      <c r="J1056" s="211"/>
      <c r="K1056" s="211"/>
      <c r="L1056" s="211"/>
      <c r="M1056" s="211"/>
      <c r="BF1056" s="215">
        <v>1007</v>
      </c>
      <c r="BG1056" s="218">
        <f t="shared" si="98"/>
        <v>13905876041.7005</v>
      </c>
      <c r="BH1056" s="215">
        <v>1007</v>
      </c>
      <c r="BI1056" s="219">
        <f t="shared" si="99"/>
        <v>1.12E-2</v>
      </c>
      <c r="BJ1056" s="218">
        <f t="shared" si="97"/>
        <v>155745811.66704559</v>
      </c>
      <c r="BK1056" s="217">
        <f t="shared" si="100"/>
        <v>1000</v>
      </c>
    </row>
    <row r="1057" spans="8:63" s="215" customFormat="1">
      <c r="H1057" s="211"/>
      <c r="I1057" s="211"/>
      <c r="J1057" s="211"/>
      <c r="K1057" s="211"/>
      <c r="L1057" s="211"/>
      <c r="M1057" s="211"/>
      <c r="BF1057" s="215">
        <v>1008</v>
      </c>
      <c r="BG1057" s="218">
        <f t="shared" si="98"/>
        <v>14061622853.367546</v>
      </c>
      <c r="BH1057" s="215">
        <v>1008</v>
      </c>
      <c r="BI1057" s="219">
        <f t="shared" si="99"/>
        <v>1.12E-2</v>
      </c>
      <c r="BJ1057" s="218">
        <f t="shared" si="97"/>
        <v>157490175.95771652</v>
      </c>
      <c r="BK1057" s="217">
        <f t="shared" si="100"/>
        <v>1000</v>
      </c>
    </row>
    <row r="1058" spans="8:63" s="215" customFormat="1">
      <c r="H1058" s="211"/>
      <c r="I1058" s="211"/>
      <c r="J1058" s="211"/>
      <c r="K1058" s="211"/>
      <c r="L1058" s="211"/>
      <c r="M1058" s="211"/>
      <c r="BF1058" s="215">
        <v>1009</v>
      </c>
      <c r="BG1058" s="218">
        <f t="shared" si="98"/>
        <v>14219114029.325262</v>
      </c>
      <c r="BH1058" s="215">
        <v>1009</v>
      </c>
      <c r="BI1058" s="219">
        <f t="shared" si="99"/>
        <v>1.12E-2</v>
      </c>
      <c r="BJ1058" s="218">
        <f t="shared" si="97"/>
        <v>159254077.12844294</v>
      </c>
      <c r="BK1058" s="217">
        <f t="shared" si="100"/>
        <v>1000</v>
      </c>
    </row>
    <row r="1059" spans="8:63" s="215" customFormat="1">
      <c r="H1059" s="211"/>
      <c r="I1059" s="211"/>
      <c r="J1059" s="211"/>
      <c r="K1059" s="211"/>
      <c r="L1059" s="211"/>
      <c r="M1059" s="211"/>
      <c r="BF1059" s="215">
        <v>1010</v>
      </c>
      <c r="BG1059" s="218">
        <f t="shared" si="98"/>
        <v>14378369106.453705</v>
      </c>
      <c r="BH1059" s="215">
        <v>1010</v>
      </c>
      <c r="BI1059" s="219">
        <f t="shared" si="99"/>
        <v>1.12E-2</v>
      </c>
      <c r="BJ1059" s="218">
        <f t="shared" si="97"/>
        <v>161037733.9922815</v>
      </c>
      <c r="BK1059" s="217">
        <f t="shared" si="100"/>
        <v>1000</v>
      </c>
    </row>
    <row r="1060" spans="8:63" s="215" customFormat="1">
      <c r="H1060" s="211"/>
      <c r="I1060" s="211"/>
      <c r="J1060" s="211"/>
      <c r="K1060" s="211"/>
      <c r="L1060" s="211"/>
      <c r="M1060" s="211"/>
      <c r="BF1060" s="215">
        <v>1011</v>
      </c>
      <c r="BG1060" s="218">
        <f t="shared" si="98"/>
        <v>14539407840.445986</v>
      </c>
      <c r="BH1060" s="215">
        <v>1011</v>
      </c>
      <c r="BI1060" s="219">
        <f t="shared" si="99"/>
        <v>1.12E-2</v>
      </c>
      <c r="BJ1060" s="218">
        <f t="shared" si="97"/>
        <v>162841367.81299505</v>
      </c>
      <c r="BK1060" s="217">
        <f t="shared" si="100"/>
        <v>1000</v>
      </c>
    </row>
    <row r="1061" spans="8:63" s="215" customFormat="1">
      <c r="H1061" s="211"/>
      <c r="I1061" s="211"/>
      <c r="J1061" s="211"/>
      <c r="K1061" s="211"/>
      <c r="L1061" s="211"/>
      <c r="M1061" s="211"/>
      <c r="BF1061" s="215">
        <v>1012</v>
      </c>
      <c r="BG1061" s="218">
        <f t="shared" si="98"/>
        <v>14702250208.258982</v>
      </c>
      <c r="BH1061" s="215">
        <v>1012</v>
      </c>
      <c r="BI1061" s="219">
        <f t="shared" si="99"/>
        <v>1.12E-2</v>
      </c>
      <c r="BJ1061" s="218">
        <f t="shared" si="97"/>
        <v>164665202.33250061</v>
      </c>
      <c r="BK1061" s="217">
        <f t="shared" si="100"/>
        <v>1000</v>
      </c>
    </row>
    <row r="1062" spans="8:63" s="215" customFormat="1">
      <c r="H1062" s="211"/>
      <c r="I1062" s="211"/>
      <c r="J1062" s="211"/>
      <c r="K1062" s="211"/>
      <c r="L1062" s="211"/>
      <c r="M1062" s="211"/>
      <c r="BF1062" s="215">
        <v>1013</v>
      </c>
      <c r="BG1062" s="218">
        <f t="shared" si="98"/>
        <v>14866916410.591482</v>
      </c>
      <c r="BH1062" s="215">
        <v>1013</v>
      </c>
      <c r="BI1062" s="219">
        <f t="shared" si="99"/>
        <v>1.12E-2</v>
      </c>
      <c r="BJ1062" s="218">
        <f t="shared" si="97"/>
        <v>166509463.7986246</v>
      </c>
      <c r="BK1062" s="217">
        <f t="shared" si="100"/>
        <v>1000</v>
      </c>
    </row>
    <row r="1063" spans="8:63" s="215" customFormat="1">
      <c r="H1063" s="211"/>
      <c r="I1063" s="211"/>
      <c r="J1063" s="211"/>
      <c r="K1063" s="211"/>
      <c r="L1063" s="211"/>
      <c r="M1063" s="211"/>
      <c r="BF1063" s="215">
        <v>1014</v>
      </c>
      <c r="BG1063" s="218">
        <f t="shared" si="98"/>
        <v>15033426874.390106</v>
      </c>
      <c r="BH1063" s="215">
        <v>1014</v>
      </c>
      <c r="BI1063" s="219">
        <f t="shared" si="99"/>
        <v>1.12E-2</v>
      </c>
      <c r="BJ1063" s="218">
        <f t="shared" si="97"/>
        <v>168374380.99316919</v>
      </c>
      <c r="BK1063" s="217">
        <f t="shared" si="100"/>
        <v>1000</v>
      </c>
    </row>
    <row r="1064" spans="8:63" s="215" customFormat="1">
      <c r="H1064" s="211"/>
      <c r="I1064" s="211"/>
      <c r="J1064" s="211"/>
      <c r="K1064" s="211"/>
      <c r="L1064" s="211"/>
      <c r="M1064" s="211"/>
      <c r="BF1064" s="215">
        <v>1015</v>
      </c>
      <c r="BG1064" s="218">
        <f t="shared" si="98"/>
        <v>15201802255.383276</v>
      </c>
      <c r="BH1064" s="215">
        <v>1015</v>
      </c>
      <c r="BI1064" s="219">
        <f t="shared" si="99"/>
        <v>1.12E-2</v>
      </c>
      <c r="BJ1064" s="218">
        <f t="shared" si="97"/>
        <v>170260185.26029268</v>
      </c>
      <c r="BK1064" s="217">
        <f t="shared" si="100"/>
        <v>1000</v>
      </c>
    </row>
    <row r="1065" spans="8:63" s="215" customFormat="1">
      <c r="H1065" s="211"/>
      <c r="I1065" s="211"/>
      <c r="J1065" s="211"/>
      <c r="K1065" s="211"/>
      <c r="L1065" s="211"/>
      <c r="M1065" s="211"/>
      <c r="BF1065" s="215">
        <v>1016</v>
      </c>
      <c r="BG1065" s="218">
        <f t="shared" si="98"/>
        <v>15372063440.643568</v>
      </c>
      <c r="BH1065" s="215">
        <v>1016</v>
      </c>
      <c r="BI1065" s="219">
        <f t="shared" si="99"/>
        <v>1.12E-2</v>
      </c>
      <c r="BJ1065" s="218">
        <f t="shared" si="97"/>
        <v>172167110.53520796</v>
      </c>
      <c r="BK1065" s="217">
        <f t="shared" si="100"/>
        <v>1000</v>
      </c>
    </row>
    <row r="1066" spans="8:63" s="215" customFormat="1">
      <c r="H1066" s="211"/>
      <c r="I1066" s="211"/>
      <c r="J1066" s="211"/>
      <c r="K1066" s="211"/>
      <c r="L1066" s="211"/>
      <c r="M1066" s="211"/>
      <c r="BF1066" s="215">
        <v>1017</v>
      </c>
      <c r="BG1066" s="218">
        <f t="shared" si="98"/>
        <v>15544231551.178776</v>
      </c>
      <c r="BH1066" s="215">
        <v>1017</v>
      </c>
      <c r="BI1066" s="219">
        <f t="shared" si="99"/>
        <v>1.12E-2</v>
      </c>
      <c r="BJ1066" s="218">
        <f t="shared" si="97"/>
        <v>174095393.37320229</v>
      </c>
      <c r="BK1066" s="217">
        <f t="shared" si="100"/>
        <v>1000</v>
      </c>
    </row>
    <row r="1067" spans="8:63" s="215" customFormat="1">
      <c r="H1067" s="211"/>
      <c r="I1067" s="211"/>
      <c r="J1067" s="211"/>
      <c r="K1067" s="211"/>
      <c r="L1067" s="211"/>
      <c r="M1067" s="211"/>
      <c r="BF1067" s="215">
        <v>1018</v>
      </c>
      <c r="BG1067" s="218">
        <f t="shared" si="98"/>
        <v>15718327944.551977</v>
      </c>
      <c r="BH1067" s="215">
        <v>1018</v>
      </c>
      <c r="BI1067" s="219">
        <f t="shared" si="99"/>
        <v>1.12E-2</v>
      </c>
      <c r="BJ1067" s="218">
        <f t="shared" si="97"/>
        <v>176045272.97898215</v>
      </c>
      <c r="BK1067" s="217">
        <f t="shared" si="100"/>
        <v>1000</v>
      </c>
    </row>
    <row r="1068" spans="8:63" s="215" customFormat="1">
      <c r="H1068" s="211"/>
      <c r="I1068" s="211"/>
      <c r="J1068" s="211"/>
      <c r="K1068" s="211"/>
      <c r="L1068" s="211"/>
      <c r="M1068" s="211"/>
      <c r="BF1068" s="215">
        <v>1019</v>
      </c>
      <c r="BG1068" s="218">
        <f t="shared" si="98"/>
        <v>15894374217.53096</v>
      </c>
      <c r="BH1068" s="215">
        <v>1019</v>
      </c>
      <c r="BI1068" s="219">
        <f t="shared" si="99"/>
        <v>1.12E-2</v>
      </c>
      <c r="BJ1068" s="218">
        <f t="shared" si="97"/>
        <v>178016991.23634675</v>
      </c>
      <c r="BK1068" s="217">
        <f t="shared" si="100"/>
        <v>1000</v>
      </c>
    </row>
    <row r="1069" spans="8:63" s="215" customFormat="1">
      <c r="H1069" s="211"/>
      <c r="I1069" s="211"/>
      <c r="J1069" s="211"/>
      <c r="K1069" s="211"/>
      <c r="L1069" s="211"/>
      <c r="M1069" s="211"/>
      <c r="BF1069" s="215">
        <v>1020</v>
      </c>
      <c r="BG1069" s="218">
        <f t="shared" si="98"/>
        <v>16072392208.767307</v>
      </c>
      <c r="BH1069" s="215">
        <v>1020</v>
      </c>
      <c r="BI1069" s="219">
        <f t="shared" si="99"/>
        <v>1.12E-2</v>
      </c>
      <c r="BJ1069" s="218">
        <f t="shared" si="97"/>
        <v>180010792.73819384</v>
      </c>
      <c r="BK1069" s="217">
        <f t="shared" si="100"/>
        <v>1000</v>
      </c>
    </row>
    <row r="1070" spans="8:63" s="215" customFormat="1">
      <c r="H1070" s="211"/>
      <c r="I1070" s="211"/>
      <c r="J1070" s="211"/>
      <c r="K1070" s="211"/>
      <c r="L1070" s="211"/>
      <c r="M1070" s="211"/>
      <c r="BF1070" s="215">
        <v>1021</v>
      </c>
      <c r="BG1070" s="218">
        <f t="shared" si="98"/>
        <v>16252404001.505501</v>
      </c>
      <c r="BH1070" s="215">
        <v>1021</v>
      </c>
      <c r="BI1070" s="219">
        <f t="shared" si="99"/>
        <v>1.12E-2</v>
      </c>
      <c r="BJ1070" s="218">
        <f t="shared" si="97"/>
        <v>182026924.8168616</v>
      </c>
      <c r="BK1070" s="217">
        <f t="shared" si="100"/>
        <v>1000</v>
      </c>
    </row>
    <row r="1071" spans="8:63" s="215" customFormat="1">
      <c r="H1071" s="211"/>
      <c r="I1071" s="211"/>
      <c r="J1071" s="211"/>
      <c r="K1071" s="211"/>
      <c r="L1071" s="211"/>
      <c r="M1071" s="211"/>
      <c r="BF1071" s="215">
        <v>1022</v>
      </c>
      <c r="BG1071" s="218">
        <f t="shared" si="98"/>
        <v>16434431926.322363</v>
      </c>
      <c r="BH1071" s="215">
        <v>1022</v>
      </c>
      <c r="BI1071" s="219">
        <f t="shared" si="99"/>
        <v>1.12E-2</v>
      </c>
      <c r="BJ1071" s="218">
        <f t="shared" si="97"/>
        <v>184065637.57481048</v>
      </c>
      <c r="BK1071" s="217">
        <f t="shared" si="100"/>
        <v>1000</v>
      </c>
    </row>
    <row r="1072" spans="8:63" s="215" customFormat="1">
      <c r="H1072" s="211"/>
      <c r="I1072" s="211"/>
      <c r="J1072" s="211"/>
      <c r="K1072" s="211"/>
      <c r="L1072" s="211"/>
      <c r="M1072" s="211"/>
      <c r="BF1072" s="215">
        <v>1023</v>
      </c>
      <c r="BG1072" s="218">
        <f t="shared" si="98"/>
        <v>16618498563.897173</v>
      </c>
      <c r="BH1072" s="215">
        <v>1023</v>
      </c>
      <c r="BI1072" s="219">
        <f t="shared" si="99"/>
        <v>1.12E-2</v>
      </c>
      <c r="BJ1072" s="218">
        <f t="shared" si="97"/>
        <v>186127183.91564834</v>
      </c>
      <c r="BK1072" s="217">
        <f t="shared" si="100"/>
        <v>1000</v>
      </c>
    </row>
    <row r="1073" spans="8:63" s="215" customFormat="1">
      <c r="H1073" s="211"/>
      <c r="I1073" s="211"/>
      <c r="J1073" s="211"/>
      <c r="K1073" s="211"/>
      <c r="L1073" s="211"/>
      <c r="M1073" s="211"/>
      <c r="BF1073" s="215">
        <v>1024</v>
      </c>
      <c r="BG1073" s="218">
        <f t="shared" si="98"/>
        <v>16804626747.81282</v>
      </c>
      <c r="BH1073" s="215">
        <v>1024</v>
      </c>
      <c r="BI1073" s="219">
        <f t="shared" si="99"/>
        <v>1.12E-2</v>
      </c>
      <c r="BJ1073" s="218">
        <f t="shared" si="97"/>
        <v>188211819.57550359</v>
      </c>
      <c r="BK1073" s="217">
        <f t="shared" si="100"/>
        <v>1000</v>
      </c>
    </row>
    <row r="1074" spans="8:63" s="215" customFormat="1">
      <c r="H1074" s="211"/>
      <c r="I1074" s="211"/>
      <c r="J1074" s="211"/>
      <c r="K1074" s="211"/>
      <c r="L1074" s="211"/>
      <c r="M1074" s="211"/>
      <c r="BF1074" s="215">
        <v>1025</v>
      </c>
      <c r="BG1074" s="218">
        <f t="shared" si="98"/>
        <v>16992839567.388325</v>
      </c>
      <c r="BH1074" s="215">
        <v>1025</v>
      </c>
      <c r="BI1074" s="219">
        <f t="shared" si="99"/>
        <v>1.12E-2</v>
      </c>
      <c r="BJ1074" s="218">
        <f t="shared" ref="BJ1074:BJ1137" si="101">BG1074*BI1074</f>
        <v>190319803.15474924</v>
      </c>
      <c r="BK1074" s="217">
        <f t="shared" si="100"/>
        <v>1000</v>
      </c>
    </row>
    <row r="1075" spans="8:63" s="215" customFormat="1">
      <c r="H1075" s="211"/>
      <c r="I1075" s="211"/>
      <c r="J1075" s="211"/>
      <c r="K1075" s="211"/>
      <c r="L1075" s="211"/>
      <c r="M1075" s="211"/>
      <c r="BF1075" s="215">
        <v>1026</v>
      </c>
      <c r="BG1075" s="218">
        <f t="shared" ref="BG1075:BG1138" si="102">BG1074+BJ1074+BK1075</f>
        <v>17183160370.543076</v>
      </c>
      <c r="BH1075" s="215">
        <v>1026</v>
      </c>
      <c r="BI1075" s="219">
        <f t="shared" ref="BI1075:BI1138" si="103">BI1074</f>
        <v>1.12E-2</v>
      </c>
      <c r="BJ1075" s="218">
        <f t="shared" si="101"/>
        <v>192451396.15008244</v>
      </c>
      <c r="BK1075" s="217">
        <f t="shared" ref="BK1075:BK1138" si="104">BK1074</f>
        <v>1000</v>
      </c>
    </row>
    <row r="1076" spans="8:63" s="215" customFormat="1">
      <c r="H1076" s="211"/>
      <c r="I1076" s="211"/>
      <c r="J1076" s="211"/>
      <c r="K1076" s="211"/>
      <c r="L1076" s="211"/>
      <c r="M1076" s="211"/>
      <c r="BF1076" s="215">
        <v>1027</v>
      </c>
      <c r="BG1076" s="218">
        <f t="shared" si="102"/>
        <v>17375612766.693157</v>
      </c>
      <c r="BH1076" s="215">
        <v>1027</v>
      </c>
      <c r="BI1076" s="219">
        <f t="shared" si="103"/>
        <v>1.12E-2</v>
      </c>
      <c r="BJ1076" s="218">
        <f t="shared" si="101"/>
        <v>194606862.98696336</v>
      </c>
      <c r="BK1076" s="217">
        <f t="shared" si="104"/>
        <v>1000</v>
      </c>
    </row>
    <row r="1077" spans="8:63" s="215" customFormat="1">
      <c r="H1077" s="211"/>
      <c r="I1077" s="211"/>
      <c r="J1077" s="211"/>
      <c r="K1077" s="211"/>
      <c r="L1077" s="211"/>
      <c r="M1077" s="211"/>
      <c r="BF1077" s="215">
        <v>1028</v>
      </c>
      <c r="BG1077" s="218">
        <f t="shared" si="102"/>
        <v>17570220629.680122</v>
      </c>
      <c r="BH1077" s="215">
        <v>1028</v>
      </c>
      <c r="BI1077" s="219">
        <f t="shared" si="103"/>
        <v>1.12E-2</v>
      </c>
      <c r="BJ1077" s="218">
        <f t="shared" si="101"/>
        <v>196786471.05241737</v>
      </c>
      <c r="BK1077" s="217">
        <f t="shared" si="104"/>
        <v>1000</v>
      </c>
    </row>
    <row r="1078" spans="8:63" s="215" customFormat="1">
      <c r="H1078" s="211"/>
      <c r="I1078" s="211"/>
      <c r="J1078" s="211"/>
      <c r="K1078" s="211"/>
      <c r="L1078" s="211"/>
      <c r="M1078" s="211"/>
      <c r="BF1078" s="215">
        <v>1029</v>
      </c>
      <c r="BG1078" s="218">
        <f t="shared" si="102"/>
        <v>17767008100.73254</v>
      </c>
      <c r="BH1078" s="215">
        <v>1029</v>
      </c>
      <c r="BI1078" s="219">
        <f t="shared" si="103"/>
        <v>1.12E-2</v>
      </c>
      <c r="BJ1078" s="218">
        <f t="shared" si="101"/>
        <v>198990490.72820446</v>
      </c>
      <c r="BK1078" s="217">
        <f t="shared" si="104"/>
        <v>1000</v>
      </c>
    </row>
    <row r="1079" spans="8:63" s="215" customFormat="1">
      <c r="H1079" s="211"/>
      <c r="I1079" s="211"/>
      <c r="J1079" s="211"/>
      <c r="K1079" s="211"/>
      <c r="L1079" s="211"/>
      <c r="M1079" s="211"/>
      <c r="BF1079" s="215">
        <v>1030</v>
      </c>
      <c r="BG1079" s="218">
        <f t="shared" si="102"/>
        <v>17965999591.460743</v>
      </c>
      <c r="BH1079" s="215">
        <v>1030</v>
      </c>
      <c r="BI1079" s="219">
        <f t="shared" si="103"/>
        <v>1.12E-2</v>
      </c>
      <c r="BJ1079" s="218">
        <f t="shared" si="101"/>
        <v>201219195.42436031</v>
      </c>
      <c r="BK1079" s="217">
        <f t="shared" si="104"/>
        <v>1000</v>
      </c>
    </row>
    <row r="1080" spans="8:63" s="215" customFormat="1">
      <c r="H1080" s="211"/>
      <c r="I1080" s="211"/>
      <c r="J1080" s="211"/>
      <c r="K1080" s="211"/>
      <c r="L1080" s="211"/>
      <c r="M1080" s="211"/>
      <c r="BF1080" s="215">
        <v>1031</v>
      </c>
      <c r="BG1080" s="218">
        <f t="shared" si="102"/>
        <v>18167219786.885105</v>
      </c>
      <c r="BH1080" s="215">
        <v>1031</v>
      </c>
      <c r="BI1080" s="219">
        <f t="shared" si="103"/>
        <v>1.12E-2</v>
      </c>
      <c r="BJ1080" s="218">
        <f t="shared" si="101"/>
        <v>203472861.61311316</v>
      </c>
      <c r="BK1080" s="217">
        <f t="shared" si="104"/>
        <v>1000</v>
      </c>
    </row>
    <row r="1081" spans="8:63" s="215" customFormat="1">
      <c r="H1081" s="211"/>
      <c r="I1081" s="211"/>
      <c r="J1081" s="211"/>
      <c r="K1081" s="211"/>
      <c r="L1081" s="211"/>
      <c r="M1081" s="211"/>
      <c r="BF1081" s="215">
        <v>1032</v>
      </c>
      <c r="BG1081" s="218">
        <f t="shared" si="102"/>
        <v>18370693648.498219</v>
      </c>
      <c r="BH1081" s="215">
        <v>1032</v>
      </c>
      <c r="BI1081" s="219">
        <f t="shared" si="103"/>
        <v>1.12E-2</v>
      </c>
      <c r="BJ1081" s="218">
        <f t="shared" si="101"/>
        <v>205751768.86318004</v>
      </c>
      <c r="BK1081" s="217">
        <f t="shared" si="104"/>
        <v>1000</v>
      </c>
    </row>
    <row r="1082" spans="8:63" s="215" customFormat="1">
      <c r="H1082" s="211"/>
      <c r="I1082" s="211"/>
      <c r="J1082" s="211"/>
      <c r="K1082" s="211"/>
      <c r="L1082" s="211"/>
      <c r="M1082" s="211"/>
      <c r="BF1082" s="215">
        <v>1033</v>
      </c>
      <c r="BG1082" s="218">
        <f t="shared" si="102"/>
        <v>18576446417.361397</v>
      </c>
      <c r="BH1082" s="215">
        <v>1033</v>
      </c>
      <c r="BI1082" s="219">
        <f t="shared" si="103"/>
        <v>1.12E-2</v>
      </c>
      <c r="BJ1082" s="218">
        <f t="shared" si="101"/>
        <v>208056199.87444764</v>
      </c>
      <c r="BK1082" s="217">
        <f t="shared" si="104"/>
        <v>1000</v>
      </c>
    </row>
    <row r="1083" spans="8:63" s="215" customFormat="1">
      <c r="H1083" s="211"/>
      <c r="I1083" s="211"/>
      <c r="J1083" s="211"/>
      <c r="K1083" s="211"/>
      <c r="L1083" s="211"/>
      <c r="M1083" s="211"/>
      <c r="BF1083" s="215">
        <v>1034</v>
      </c>
      <c r="BG1083" s="218">
        <f t="shared" si="102"/>
        <v>18784503617.235844</v>
      </c>
      <c r="BH1083" s="215">
        <v>1034</v>
      </c>
      <c r="BI1083" s="219">
        <f t="shared" si="103"/>
        <v>1.12E-2</v>
      </c>
      <c r="BJ1083" s="218">
        <f t="shared" si="101"/>
        <v>210386440.51304144</v>
      </c>
      <c r="BK1083" s="217">
        <f t="shared" si="104"/>
        <v>1000</v>
      </c>
    </row>
    <row r="1084" spans="8:63" s="215" customFormat="1">
      <c r="H1084" s="211"/>
      <c r="I1084" s="211"/>
      <c r="J1084" s="211"/>
      <c r="K1084" s="211"/>
      <c r="L1084" s="211"/>
      <c r="M1084" s="211"/>
      <c r="BF1084" s="215">
        <v>1035</v>
      </c>
      <c r="BG1084" s="218">
        <f t="shared" si="102"/>
        <v>18994891057.748886</v>
      </c>
      <c r="BH1084" s="215">
        <v>1035</v>
      </c>
      <c r="BI1084" s="219">
        <f t="shared" si="103"/>
        <v>1.12E-2</v>
      </c>
      <c r="BJ1084" s="218">
        <f t="shared" si="101"/>
        <v>212742779.84678751</v>
      </c>
      <c r="BK1084" s="217">
        <f t="shared" si="104"/>
        <v>1000</v>
      </c>
    </row>
    <row r="1085" spans="8:63" s="215" customFormat="1">
      <c r="H1085" s="211"/>
      <c r="I1085" s="211"/>
      <c r="J1085" s="211"/>
      <c r="K1085" s="211"/>
      <c r="L1085" s="211"/>
      <c r="M1085" s="211"/>
      <c r="BF1085" s="215">
        <v>1036</v>
      </c>
      <c r="BG1085" s="218">
        <f t="shared" si="102"/>
        <v>19207634837.595673</v>
      </c>
      <c r="BH1085" s="215">
        <v>1036</v>
      </c>
      <c r="BI1085" s="219">
        <f t="shared" si="103"/>
        <v>1.12E-2</v>
      </c>
      <c r="BJ1085" s="218">
        <f t="shared" si="101"/>
        <v>215125510.18107152</v>
      </c>
      <c r="BK1085" s="217">
        <f t="shared" si="104"/>
        <v>1000</v>
      </c>
    </row>
    <row r="1086" spans="8:63" s="215" customFormat="1">
      <c r="H1086" s="211"/>
      <c r="I1086" s="211"/>
      <c r="J1086" s="211"/>
      <c r="K1086" s="211"/>
      <c r="L1086" s="211"/>
      <c r="M1086" s="211"/>
      <c r="BF1086" s="215">
        <v>1037</v>
      </c>
      <c r="BG1086" s="218">
        <f t="shared" si="102"/>
        <v>19422761347.776745</v>
      </c>
      <c r="BH1086" s="215">
        <v>1037</v>
      </c>
      <c r="BI1086" s="219">
        <f t="shared" si="103"/>
        <v>1.12E-2</v>
      </c>
      <c r="BJ1086" s="218">
        <f t="shared" si="101"/>
        <v>217534927.09509954</v>
      </c>
      <c r="BK1086" s="217">
        <f t="shared" si="104"/>
        <v>1000</v>
      </c>
    </row>
    <row r="1087" spans="8:63" s="215" customFormat="1">
      <c r="H1087" s="211"/>
      <c r="I1087" s="211"/>
      <c r="J1087" s="211"/>
      <c r="K1087" s="211"/>
      <c r="L1087" s="211"/>
      <c r="M1087" s="211"/>
      <c r="BF1087" s="215">
        <v>1038</v>
      </c>
      <c r="BG1087" s="218">
        <f t="shared" si="102"/>
        <v>19640297274.871845</v>
      </c>
      <c r="BH1087" s="215">
        <v>1038</v>
      </c>
      <c r="BI1087" s="219">
        <f t="shared" si="103"/>
        <v>1.12E-2</v>
      </c>
      <c r="BJ1087" s="218">
        <f t="shared" si="101"/>
        <v>219971329.47856465</v>
      </c>
      <c r="BK1087" s="217">
        <f t="shared" si="104"/>
        <v>1000</v>
      </c>
    </row>
    <row r="1088" spans="8:63" s="215" customFormat="1">
      <c r="H1088" s="211"/>
      <c r="I1088" s="211"/>
      <c r="J1088" s="211"/>
      <c r="K1088" s="211"/>
      <c r="L1088" s="211"/>
      <c r="M1088" s="211"/>
      <c r="BF1088" s="215">
        <v>1039</v>
      </c>
      <c r="BG1088" s="218">
        <f t="shared" si="102"/>
        <v>19860269604.35041</v>
      </c>
      <c r="BH1088" s="215">
        <v>1039</v>
      </c>
      <c r="BI1088" s="219">
        <f t="shared" si="103"/>
        <v>1.12E-2</v>
      </c>
      <c r="BJ1088" s="218">
        <f t="shared" si="101"/>
        <v>222435019.5687246</v>
      </c>
      <c r="BK1088" s="217">
        <f t="shared" si="104"/>
        <v>1000</v>
      </c>
    </row>
    <row r="1089" spans="8:63" s="215" customFormat="1">
      <c r="H1089" s="211"/>
      <c r="I1089" s="211"/>
      <c r="J1089" s="211"/>
      <c r="K1089" s="211"/>
      <c r="L1089" s="211"/>
      <c r="M1089" s="211"/>
      <c r="BF1089" s="215">
        <v>1040</v>
      </c>
      <c r="BG1089" s="218">
        <f t="shared" si="102"/>
        <v>20082705623.919136</v>
      </c>
      <c r="BH1089" s="215">
        <v>1040</v>
      </c>
      <c r="BI1089" s="219">
        <f t="shared" si="103"/>
        <v>1.12E-2</v>
      </c>
      <c r="BJ1089" s="218">
        <f t="shared" si="101"/>
        <v>224926302.98789433</v>
      </c>
      <c r="BK1089" s="217">
        <f t="shared" si="104"/>
        <v>1000</v>
      </c>
    </row>
    <row r="1090" spans="8:63" s="215" customFormat="1">
      <c r="H1090" s="211"/>
      <c r="I1090" s="211"/>
      <c r="J1090" s="211"/>
      <c r="K1090" s="211"/>
      <c r="L1090" s="211"/>
      <c r="M1090" s="211"/>
      <c r="BF1090" s="215">
        <v>1041</v>
      </c>
      <c r="BG1090" s="218">
        <f t="shared" si="102"/>
        <v>20307632926.907032</v>
      </c>
      <c r="BH1090" s="215">
        <v>1041</v>
      </c>
      <c r="BI1090" s="219">
        <f t="shared" si="103"/>
        <v>1.12E-2</v>
      </c>
      <c r="BJ1090" s="218">
        <f t="shared" si="101"/>
        <v>227445488.78135875</v>
      </c>
      <c r="BK1090" s="217">
        <f t="shared" si="104"/>
        <v>1000</v>
      </c>
    </row>
    <row r="1091" spans="8:63" s="215" customFormat="1">
      <c r="H1091" s="211"/>
      <c r="I1091" s="211"/>
      <c r="J1091" s="211"/>
      <c r="K1091" s="211"/>
      <c r="L1091" s="211"/>
      <c r="M1091" s="211"/>
      <c r="BF1091" s="215">
        <v>1042</v>
      </c>
      <c r="BG1091" s="218">
        <f t="shared" si="102"/>
        <v>20535079415.688393</v>
      </c>
      <c r="BH1091" s="215">
        <v>1042</v>
      </c>
      <c r="BI1091" s="219">
        <f t="shared" si="103"/>
        <v>1.12E-2</v>
      </c>
      <c r="BJ1091" s="218">
        <f t="shared" si="101"/>
        <v>229992889.45570999</v>
      </c>
      <c r="BK1091" s="217">
        <f t="shared" si="104"/>
        <v>1000</v>
      </c>
    </row>
    <row r="1092" spans="8:63" s="215" customFormat="1">
      <c r="H1092" s="211"/>
      <c r="I1092" s="211"/>
      <c r="J1092" s="211"/>
      <c r="K1092" s="211"/>
      <c r="L1092" s="211"/>
      <c r="M1092" s="211"/>
      <c r="BF1092" s="215">
        <v>1043</v>
      </c>
      <c r="BG1092" s="218">
        <f t="shared" si="102"/>
        <v>20765073305.144104</v>
      </c>
      <c r="BH1092" s="215">
        <v>1043</v>
      </c>
      <c r="BI1092" s="219">
        <f t="shared" si="103"/>
        <v>1.12E-2</v>
      </c>
      <c r="BJ1092" s="218">
        <f t="shared" si="101"/>
        <v>232568821.01761398</v>
      </c>
      <c r="BK1092" s="217">
        <f t="shared" si="104"/>
        <v>1000</v>
      </c>
    </row>
    <row r="1093" spans="8:63" s="215" customFormat="1">
      <c r="H1093" s="211"/>
      <c r="I1093" s="211"/>
      <c r="J1093" s="211"/>
      <c r="K1093" s="211"/>
      <c r="L1093" s="211"/>
      <c r="M1093" s="211"/>
      <c r="BF1093" s="215">
        <v>1044</v>
      </c>
      <c r="BG1093" s="218">
        <f t="shared" si="102"/>
        <v>20997643126.161716</v>
      </c>
      <c r="BH1093" s="215">
        <v>1044</v>
      </c>
      <c r="BI1093" s="219">
        <f t="shared" si="103"/>
        <v>1.12E-2</v>
      </c>
      <c r="BJ1093" s="218">
        <f t="shared" si="101"/>
        <v>235173603.01301122</v>
      </c>
      <c r="BK1093" s="217">
        <f t="shared" si="104"/>
        <v>1000</v>
      </c>
    </row>
    <row r="1094" spans="8:63" s="215" customFormat="1">
      <c r="H1094" s="211"/>
      <c r="I1094" s="211"/>
      <c r="J1094" s="211"/>
      <c r="K1094" s="211"/>
      <c r="L1094" s="211"/>
      <c r="M1094" s="211"/>
      <c r="BF1094" s="215">
        <v>1045</v>
      </c>
      <c r="BG1094" s="218">
        <f t="shared" si="102"/>
        <v>21232817729.174728</v>
      </c>
      <c r="BH1094" s="215">
        <v>1045</v>
      </c>
      <c r="BI1094" s="219">
        <f t="shared" si="103"/>
        <v>1.12E-2</v>
      </c>
      <c r="BJ1094" s="218">
        <f t="shared" si="101"/>
        <v>237807558.56675696</v>
      </c>
      <c r="BK1094" s="217">
        <f t="shared" si="104"/>
        <v>1000</v>
      </c>
    </row>
    <row r="1095" spans="8:63" s="215" customFormat="1">
      <c r="H1095" s="211"/>
      <c r="I1095" s="211"/>
      <c r="J1095" s="211"/>
      <c r="K1095" s="211"/>
      <c r="L1095" s="211"/>
      <c r="M1095" s="211"/>
      <c r="BF1095" s="215">
        <v>1046</v>
      </c>
      <c r="BG1095" s="218">
        <f t="shared" si="102"/>
        <v>21470626287.741486</v>
      </c>
      <c r="BH1095" s="215">
        <v>1046</v>
      </c>
      <c r="BI1095" s="219">
        <f t="shared" si="103"/>
        <v>1.12E-2</v>
      </c>
      <c r="BJ1095" s="218">
        <f t="shared" si="101"/>
        <v>240471014.42270464</v>
      </c>
      <c r="BK1095" s="217">
        <f t="shared" si="104"/>
        <v>1000</v>
      </c>
    </row>
    <row r="1096" spans="8:63" s="215" customFormat="1">
      <c r="H1096" s="211"/>
      <c r="I1096" s="211"/>
      <c r="J1096" s="211"/>
      <c r="K1096" s="211"/>
      <c r="L1096" s="211"/>
      <c r="M1096" s="211"/>
      <c r="BF1096" s="215">
        <v>1047</v>
      </c>
      <c r="BG1096" s="218">
        <f t="shared" si="102"/>
        <v>21711098302.164188</v>
      </c>
      <c r="BH1096" s="215">
        <v>1047</v>
      </c>
      <c r="BI1096" s="219">
        <f t="shared" si="103"/>
        <v>1.12E-2</v>
      </c>
      <c r="BJ1096" s="218">
        <f t="shared" si="101"/>
        <v>243164300.98423889</v>
      </c>
      <c r="BK1096" s="217">
        <f t="shared" si="104"/>
        <v>1000</v>
      </c>
    </row>
    <row r="1097" spans="8:63" s="215" customFormat="1">
      <c r="H1097" s="211"/>
      <c r="I1097" s="211"/>
      <c r="J1097" s="211"/>
      <c r="K1097" s="211"/>
      <c r="L1097" s="211"/>
      <c r="M1097" s="211"/>
      <c r="BF1097" s="215">
        <v>1048</v>
      </c>
      <c r="BG1097" s="218">
        <f t="shared" si="102"/>
        <v>21954263603.148426</v>
      </c>
      <c r="BH1097" s="215">
        <v>1048</v>
      </c>
      <c r="BI1097" s="219">
        <f t="shared" si="103"/>
        <v>1.12E-2</v>
      </c>
      <c r="BJ1097" s="218">
        <f t="shared" si="101"/>
        <v>245887752.35526237</v>
      </c>
      <c r="BK1097" s="217">
        <f t="shared" si="104"/>
        <v>1000</v>
      </c>
    </row>
    <row r="1098" spans="8:63" s="215" customFormat="1">
      <c r="H1098" s="211"/>
      <c r="I1098" s="211"/>
      <c r="J1098" s="211"/>
      <c r="K1098" s="211"/>
      <c r="L1098" s="211"/>
      <c r="M1098" s="211"/>
      <c r="BF1098" s="215">
        <v>1049</v>
      </c>
      <c r="BG1098" s="218">
        <f t="shared" si="102"/>
        <v>22200152355.503689</v>
      </c>
      <c r="BH1098" s="215">
        <v>1049</v>
      </c>
      <c r="BI1098" s="219">
        <f t="shared" si="103"/>
        <v>1.12E-2</v>
      </c>
      <c r="BJ1098" s="218">
        <f t="shared" si="101"/>
        <v>248641706.3816413</v>
      </c>
      <c r="BK1098" s="217">
        <f t="shared" si="104"/>
        <v>1000</v>
      </c>
    </row>
    <row r="1099" spans="8:63" s="215" customFormat="1">
      <c r="H1099" s="211"/>
      <c r="I1099" s="211"/>
      <c r="J1099" s="211"/>
      <c r="K1099" s="211"/>
      <c r="L1099" s="211"/>
      <c r="M1099" s="211"/>
      <c r="BF1099" s="215">
        <v>1050</v>
      </c>
      <c r="BG1099" s="218">
        <f t="shared" si="102"/>
        <v>22448795061.88533</v>
      </c>
      <c r="BH1099" s="215">
        <v>1050</v>
      </c>
      <c r="BI1099" s="219">
        <f t="shared" si="103"/>
        <v>1.12E-2</v>
      </c>
      <c r="BJ1099" s="218">
        <f t="shared" si="101"/>
        <v>251426504.69311568</v>
      </c>
      <c r="BK1099" s="217">
        <f t="shared" si="104"/>
        <v>1000</v>
      </c>
    </row>
    <row r="1100" spans="8:63" s="215" customFormat="1">
      <c r="H1100" s="211"/>
      <c r="I1100" s="211"/>
      <c r="J1100" s="211"/>
      <c r="K1100" s="211"/>
      <c r="L1100" s="211"/>
      <c r="M1100" s="211"/>
      <c r="BF1100" s="215">
        <v>1051</v>
      </c>
      <c r="BG1100" s="218">
        <f t="shared" si="102"/>
        <v>22700222566.578445</v>
      </c>
      <c r="BH1100" s="215">
        <v>1051</v>
      </c>
      <c r="BI1100" s="219">
        <f t="shared" si="103"/>
        <v>1.12E-2</v>
      </c>
      <c r="BJ1100" s="218">
        <f t="shared" si="101"/>
        <v>254242492.74567857</v>
      </c>
      <c r="BK1100" s="217">
        <f t="shared" si="104"/>
        <v>1000</v>
      </c>
    </row>
    <row r="1101" spans="8:63" s="215" customFormat="1">
      <c r="H1101" s="211"/>
      <c r="I1101" s="211"/>
      <c r="J1101" s="211"/>
      <c r="K1101" s="211"/>
      <c r="L1101" s="211"/>
      <c r="M1101" s="211"/>
      <c r="BF1101" s="215">
        <v>1052</v>
      </c>
      <c r="BG1101" s="218">
        <f t="shared" si="102"/>
        <v>22954466059.324123</v>
      </c>
      <c r="BH1101" s="215">
        <v>1052</v>
      </c>
      <c r="BI1101" s="219">
        <f t="shared" si="103"/>
        <v>1.12E-2</v>
      </c>
      <c r="BJ1101" s="218">
        <f t="shared" si="101"/>
        <v>257090019.86443019</v>
      </c>
      <c r="BK1101" s="217">
        <f t="shared" si="104"/>
        <v>1000</v>
      </c>
    </row>
    <row r="1102" spans="8:63" s="215" customFormat="1">
      <c r="H1102" s="211"/>
      <c r="I1102" s="211"/>
      <c r="J1102" s="211"/>
      <c r="K1102" s="211"/>
      <c r="L1102" s="211"/>
      <c r="M1102" s="211"/>
      <c r="BF1102" s="215">
        <v>1053</v>
      </c>
      <c r="BG1102" s="218">
        <f t="shared" si="102"/>
        <v>23211557079.188553</v>
      </c>
      <c r="BH1102" s="215">
        <v>1053</v>
      </c>
      <c r="BI1102" s="219">
        <f t="shared" si="103"/>
        <v>1.12E-2</v>
      </c>
      <c r="BJ1102" s="218">
        <f t="shared" si="101"/>
        <v>259969439.28691179</v>
      </c>
      <c r="BK1102" s="217">
        <f t="shared" si="104"/>
        <v>1000</v>
      </c>
    </row>
    <row r="1103" spans="8:63" s="215" customFormat="1">
      <c r="H1103" s="211"/>
      <c r="I1103" s="211"/>
      <c r="J1103" s="211"/>
      <c r="K1103" s="211"/>
      <c r="L1103" s="211"/>
      <c r="M1103" s="211"/>
      <c r="BF1103" s="215">
        <v>1054</v>
      </c>
      <c r="BG1103" s="218">
        <f t="shared" si="102"/>
        <v>23471527518.475464</v>
      </c>
      <c r="BH1103" s="215">
        <v>1054</v>
      </c>
      <c r="BI1103" s="219">
        <f t="shared" si="103"/>
        <v>1.12E-2</v>
      </c>
      <c r="BJ1103" s="218">
        <f t="shared" si="101"/>
        <v>262881108.20692518</v>
      </c>
      <c r="BK1103" s="217">
        <f t="shared" si="104"/>
        <v>1000</v>
      </c>
    </row>
    <row r="1104" spans="8:63" s="215" customFormat="1">
      <c r="H1104" s="211"/>
      <c r="I1104" s="211"/>
      <c r="J1104" s="211"/>
      <c r="K1104" s="211"/>
      <c r="L1104" s="211"/>
      <c r="M1104" s="211"/>
      <c r="BF1104" s="215">
        <v>1055</v>
      </c>
      <c r="BG1104" s="218">
        <f t="shared" si="102"/>
        <v>23734409626.682388</v>
      </c>
      <c r="BH1104" s="215">
        <v>1055</v>
      </c>
      <c r="BI1104" s="219">
        <f t="shared" si="103"/>
        <v>1.12E-2</v>
      </c>
      <c r="BJ1104" s="218">
        <f t="shared" si="101"/>
        <v>265825387.81884274</v>
      </c>
      <c r="BK1104" s="217">
        <f t="shared" si="104"/>
        <v>1000</v>
      </c>
    </row>
    <row r="1105" spans="8:63" s="215" customFormat="1">
      <c r="H1105" s="211"/>
      <c r="I1105" s="211"/>
      <c r="J1105" s="211"/>
      <c r="K1105" s="211"/>
      <c r="L1105" s="211"/>
      <c r="M1105" s="211"/>
      <c r="BF1105" s="215">
        <v>1056</v>
      </c>
      <c r="BG1105" s="218">
        <f t="shared" si="102"/>
        <v>24000236014.501232</v>
      </c>
      <c r="BH1105" s="215">
        <v>1056</v>
      </c>
      <c r="BI1105" s="219">
        <f t="shared" si="103"/>
        <v>1.12E-2</v>
      </c>
      <c r="BJ1105" s="218">
        <f t="shared" si="101"/>
        <v>268802643.36241382</v>
      </c>
      <c r="BK1105" s="217">
        <f t="shared" si="104"/>
        <v>1000</v>
      </c>
    </row>
    <row r="1106" spans="8:63" s="215" customFormat="1">
      <c r="H1106" s="211"/>
      <c r="I1106" s="211"/>
      <c r="J1106" s="211"/>
      <c r="K1106" s="211"/>
      <c r="L1106" s="211"/>
      <c r="M1106" s="211"/>
      <c r="BF1106" s="215">
        <v>1057</v>
      </c>
      <c r="BG1106" s="218">
        <f t="shared" si="102"/>
        <v>24269039657.863647</v>
      </c>
      <c r="BH1106" s="215">
        <v>1057</v>
      </c>
      <c r="BI1106" s="219">
        <f t="shared" si="103"/>
        <v>1.12E-2</v>
      </c>
      <c r="BJ1106" s="218">
        <f t="shared" si="101"/>
        <v>271813244.16807282</v>
      </c>
      <c r="BK1106" s="217">
        <f t="shared" si="104"/>
        <v>1000</v>
      </c>
    </row>
    <row r="1107" spans="8:63" s="215" customFormat="1">
      <c r="H1107" s="211"/>
      <c r="I1107" s="211"/>
      <c r="J1107" s="211"/>
      <c r="K1107" s="211"/>
      <c r="L1107" s="211"/>
      <c r="M1107" s="211"/>
      <c r="BF1107" s="215">
        <v>1058</v>
      </c>
      <c r="BG1107" s="218">
        <f t="shared" si="102"/>
        <v>24540853902.031719</v>
      </c>
      <c r="BH1107" s="215">
        <v>1058</v>
      </c>
      <c r="BI1107" s="219">
        <f t="shared" si="103"/>
        <v>1.12E-2</v>
      </c>
      <c r="BJ1107" s="218">
        <f t="shared" si="101"/>
        <v>274857563.70275527</v>
      </c>
      <c r="BK1107" s="217">
        <f t="shared" si="104"/>
        <v>1000</v>
      </c>
    </row>
    <row r="1108" spans="8:63" s="215" customFormat="1">
      <c r="H1108" s="211"/>
      <c r="I1108" s="211"/>
      <c r="J1108" s="211"/>
      <c r="K1108" s="211"/>
      <c r="L1108" s="211"/>
      <c r="M1108" s="211"/>
      <c r="BF1108" s="215">
        <v>1059</v>
      </c>
      <c r="BG1108" s="218">
        <f t="shared" si="102"/>
        <v>24815712465.734474</v>
      </c>
      <c r="BH1108" s="215">
        <v>1059</v>
      </c>
      <c r="BI1108" s="219">
        <f t="shared" si="103"/>
        <v>1.12E-2</v>
      </c>
      <c r="BJ1108" s="218">
        <f t="shared" si="101"/>
        <v>277935979.61622614</v>
      </c>
      <c r="BK1108" s="217">
        <f t="shared" si="104"/>
        <v>1000</v>
      </c>
    </row>
    <row r="1109" spans="8:63" s="215" customFormat="1">
      <c r="H1109" s="211"/>
      <c r="I1109" s="211"/>
      <c r="J1109" s="211"/>
      <c r="K1109" s="211"/>
      <c r="L1109" s="211"/>
      <c r="M1109" s="211"/>
      <c r="BF1109" s="215">
        <v>1060</v>
      </c>
      <c r="BG1109" s="218">
        <f t="shared" si="102"/>
        <v>25093649445.3507</v>
      </c>
      <c r="BH1109" s="215">
        <v>1060</v>
      </c>
      <c r="BI1109" s="219">
        <f t="shared" si="103"/>
        <v>1.12E-2</v>
      </c>
      <c r="BJ1109" s="218">
        <f t="shared" si="101"/>
        <v>281048873.78792787</v>
      </c>
      <c r="BK1109" s="217">
        <f t="shared" si="104"/>
        <v>1000</v>
      </c>
    </row>
    <row r="1110" spans="8:63" s="215" customFormat="1">
      <c r="H1110" s="211"/>
      <c r="I1110" s="211"/>
      <c r="J1110" s="211"/>
      <c r="K1110" s="211"/>
      <c r="L1110" s="211"/>
      <c r="M1110" s="211"/>
      <c r="BF1110" s="215">
        <v>1061</v>
      </c>
      <c r="BG1110" s="218">
        <f t="shared" si="102"/>
        <v>25374699319.13863</v>
      </c>
      <c r="BH1110" s="215">
        <v>1061</v>
      </c>
      <c r="BI1110" s="219">
        <f t="shared" si="103"/>
        <v>1.12E-2</v>
      </c>
      <c r="BJ1110" s="218">
        <f t="shared" si="101"/>
        <v>284196632.37435263</v>
      </c>
      <c r="BK1110" s="217">
        <f t="shared" si="104"/>
        <v>1000</v>
      </c>
    </row>
    <row r="1111" spans="8:63" s="215" customFormat="1">
      <c r="H1111" s="211"/>
      <c r="I1111" s="211"/>
      <c r="J1111" s="211"/>
      <c r="K1111" s="211"/>
      <c r="L1111" s="211"/>
      <c r="M1111" s="211"/>
      <c r="BF1111" s="215">
        <v>1062</v>
      </c>
      <c r="BG1111" s="218">
        <f t="shared" si="102"/>
        <v>25658896951.512981</v>
      </c>
      <c r="BH1111" s="215">
        <v>1062</v>
      </c>
      <c r="BI1111" s="219">
        <f t="shared" si="103"/>
        <v>1.12E-2</v>
      </c>
      <c r="BJ1111" s="218">
        <f t="shared" si="101"/>
        <v>287379645.8569454</v>
      </c>
      <c r="BK1111" s="217">
        <f t="shared" si="104"/>
        <v>1000</v>
      </c>
    </row>
    <row r="1112" spans="8:63" s="215" customFormat="1">
      <c r="H1112" s="211"/>
      <c r="I1112" s="211"/>
      <c r="J1112" s="211"/>
      <c r="K1112" s="211"/>
      <c r="L1112" s="211"/>
      <c r="M1112" s="211"/>
      <c r="BF1112" s="215">
        <v>1063</v>
      </c>
      <c r="BG1112" s="218">
        <f t="shared" si="102"/>
        <v>25946277597.369926</v>
      </c>
      <c r="BH1112" s="215">
        <v>1063</v>
      </c>
      <c r="BI1112" s="219">
        <f t="shared" si="103"/>
        <v>1.12E-2</v>
      </c>
      <c r="BJ1112" s="218">
        <f t="shared" si="101"/>
        <v>290598309.09054315</v>
      </c>
      <c r="BK1112" s="217">
        <f t="shared" si="104"/>
        <v>1000</v>
      </c>
    </row>
    <row r="1113" spans="8:63" s="215" customFormat="1">
      <c r="H1113" s="211"/>
      <c r="I1113" s="211"/>
      <c r="J1113" s="211"/>
      <c r="K1113" s="211"/>
      <c r="L1113" s="211"/>
      <c r="M1113" s="211"/>
      <c r="BF1113" s="215">
        <v>1064</v>
      </c>
      <c r="BG1113" s="218">
        <f t="shared" si="102"/>
        <v>26236876906.460468</v>
      </c>
      <c r="BH1113" s="215">
        <v>1064</v>
      </c>
      <c r="BI1113" s="219">
        <f t="shared" si="103"/>
        <v>1.12E-2</v>
      </c>
      <c r="BJ1113" s="218">
        <f t="shared" si="101"/>
        <v>293853021.35235727</v>
      </c>
      <c r="BK1113" s="217">
        <f t="shared" si="104"/>
        <v>1000</v>
      </c>
    </row>
    <row r="1114" spans="8:63" s="215" customFormat="1">
      <c r="H1114" s="211"/>
      <c r="I1114" s="211"/>
      <c r="J1114" s="211"/>
      <c r="K1114" s="211"/>
      <c r="L1114" s="211"/>
      <c r="M1114" s="211"/>
      <c r="BF1114" s="215">
        <v>1065</v>
      </c>
      <c r="BG1114" s="218">
        <f t="shared" si="102"/>
        <v>26530730927.812824</v>
      </c>
      <c r="BH1114" s="215">
        <v>1065</v>
      </c>
      <c r="BI1114" s="219">
        <f t="shared" si="103"/>
        <v>1.12E-2</v>
      </c>
      <c r="BJ1114" s="218">
        <f t="shared" si="101"/>
        <v>297144186.39150363</v>
      </c>
      <c r="BK1114" s="217">
        <f t="shared" si="104"/>
        <v>1000</v>
      </c>
    </row>
    <row r="1115" spans="8:63" s="215" customFormat="1">
      <c r="H1115" s="211"/>
      <c r="I1115" s="211"/>
      <c r="J1115" s="211"/>
      <c r="K1115" s="211"/>
      <c r="L1115" s="211"/>
      <c r="M1115" s="211"/>
      <c r="BF1115" s="215">
        <v>1066</v>
      </c>
      <c r="BG1115" s="218">
        <f t="shared" si="102"/>
        <v>26827876114.204327</v>
      </c>
      <c r="BH1115" s="215">
        <v>1066</v>
      </c>
      <c r="BI1115" s="219">
        <f t="shared" si="103"/>
        <v>1.12E-2</v>
      </c>
      <c r="BJ1115" s="218">
        <f t="shared" si="101"/>
        <v>300472212.47908843</v>
      </c>
      <c r="BK1115" s="217">
        <f t="shared" si="104"/>
        <v>1000</v>
      </c>
    </row>
    <row r="1116" spans="8:63" s="215" customFormat="1">
      <c r="H1116" s="211"/>
      <c r="I1116" s="211"/>
      <c r="J1116" s="211"/>
      <c r="K1116" s="211"/>
      <c r="L1116" s="211"/>
      <c r="M1116" s="211"/>
      <c r="BF1116" s="215">
        <v>1067</v>
      </c>
      <c r="BG1116" s="218">
        <f t="shared" si="102"/>
        <v>27128349326.683414</v>
      </c>
      <c r="BH1116" s="215">
        <v>1067</v>
      </c>
      <c r="BI1116" s="219">
        <f t="shared" si="103"/>
        <v>1.12E-2</v>
      </c>
      <c r="BJ1116" s="218">
        <f t="shared" si="101"/>
        <v>303837512.45885426</v>
      </c>
      <c r="BK1116" s="217">
        <f t="shared" si="104"/>
        <v>1000</v>
      </c>
    </row>
    <row r="1117" spans="8:63" s="215" customFormat="1">
      <c r="H1117" s="211"/>
      <c r="I1117" s="211"/>
      <c r="J1117" s="211"/>
      <c r="K1117" s="211"/>
      <c r="L1117" s="211"/>
      <c r="M1117" s="211"/>
      <c r="BF1117" s="215">
        <v>1068</v>
      </c>
      <c r="BG1117" s="218">
        <f t="shared" si="102"/>
        <v>27432187839.142269</v>
      </c>
      <c r="BH1117" s="215">
        <v>1068</v>
      </c>
      <c r="BI1117" s="219">
        <f t="shared" si="103"/>
        <v>1.12E-2</v>
      </c>
      <c r="BJ1117" s="218">
        <f t="shared" si="101"/>
        <v>307240503.79839343</v>
      </c>
      <c r="BK1117" s="217">
        <f t="shared" si="104"/>
        <v>1000</v>
      </c>
    </row>
    <row r="1118" spans="8:63" s="215" customFormat="1">
      <c r="H1118" s="211"/>
      <c r="I1118" s="211"/>
      <c r="J1118" s="211"/>
      <c r="K1118" s="211"/>
      <c r="L1118" s="211"/>
      <c r="M1118" s="211"/>
      <c r="BF1118" s="215">
        <v>1069</v>
      </c>
      <c r="BG1118" s="218">
        <f t="shared" si="102"/>
        <v>27739429342.940662</v>
      </c>
      <c r="BH1118" s="215">
        <v>1069</v>
      </c>
      <c r="BI1118" s="219">
        <f t="shared" si="103"/>
        <v>1.12E-2</v>
      </c>
      <c r="BJ1118" s="218">
        <f t="shared" si="101"/>
        <v>310681608.64093542</v>
      </c>
      <c r="BK1118" s="217">
        <f t="shared" si="104"/>
        <v>1000</v>
      </c>
    </row>
    <row r="1119" spans="8:63" s="215" customFormat="1">
      <c r="H1119" s="211"/>
      <c r="I1119" s="211"/>
      <c r="J1119" s="211"/>
      <c r="K1119" s="211"/>
      <c r="L1119" s="211"/>
      <c r="M1119" s="211"/>
      <c r="BF1119" s="215">
        <v>1070</v>
      </c>
      <c r="BG1119" s="218">
        <f t="shared" si="102"/>
        <v>28050111951.581596</v>
      </c>
      <c r="BH1119" s="215">
        <v>1070</v>
      </c>
      <c r="BI1119" s="219">
        <f t="shared" si="103"/>
        <v>1.12E-2</v>
      </c>
      <c r="BJ1119" s="218">
        <f t="shared" si="101"/>
        <v>314161253.85771388</v>
      </c>
      <c r="BK1119" s="217">
        <f t="shared" si="104"/>
        <v>1000</v>
      </c>
    </row>
    <row r="1120" spans="8:63" s="215" customFormat="1">
      <c r="H1120" s="211"/>
      <c r="I1120" s="211"/>
      <c r="J1120" s="211"/>
      <c r="K1120" s="211"/>
      <c r="L1120" s="211"/>
      <c r="M1120" s="211"/>
      <c r="BF1120" s="215">
        <v>1071</v>
      </c>
      <c r="BG1120" s="218">
        <f t="shared" si="102"/>
        <v>28364274205.439312</v>
      </c>
      <c r="BH1120" s="215">
        <v>1071</v>
      </c>
      <c r="BI1120" s="219">
        <f t="shared" si="103"/>
        <v>1.12E-2</v>
      </c>
      <c r="BJ1120" s="218">
        <f t="shared" si="101"/>
        <v>317679871.10092032</v>
      </c>
      <c r="BK1120" s="217">
        <f t="shared" si="104"/>
        <v>1000</v>
      </c>
    </row>
    <row r="1121" spans="8:63" s="215" customFormat="1">
      <c r="H1121" s="211"/>
      <c r="I1121" s="211"/>
      <c r="J1121" s="211"/>
      <c r="K1121" s="211"/>
      <c r="L1121" s="211"/>
      <c r="M1121" s="211"/>
      <c r="BF1121" s="215">
        <v>1072</v>
      </c>
      <c r="BG1121" s="218">
        <f t="shared" si="102"/>
        <v>28681955076.540234</v>
      </c>
      <c r="BH1121" s="215">
        <v>1072</v>
      </c>
      <c r="BI1121" s="219">
        <f t="shared" si="103"/>
        <v>1.12E-2</v>
      </c>
      <c r="BJ1121" s="218">
        <f t="shared" si="101"/>
        <v>321237896.85725063</v>
      </c>
      <c r="BK1121" s="217">
        <f t="shared" si="104"/>
        <v>1000</v>
      </c>
    </row>
    <row r="1122" spans="8:63" s="215" customFormat="1">
      <c r="H1122" s="211"/>
      <c r="I1122" s="211"/>
      <c r="J1122" s="211"/>
      <c r="K1122" s="211"/>
      <c r="L1122" s="211"/>
      <c r="M1122" s="211"/>
      <c r="BF1122" s="215">
        <v>1073</v>
      </c>
      <c r="BG1122" s="218">
        <f t="shared" si="102"/>
        <v>29003193973.397484</v>
      </c>
      <c r="BH1122" s="215">
        <v>1073</v>
      </c>
      <c r="BI1122" s="219">
        <f t="shared" si="103"/>
        <v>1.12E-2</v>
      </c>
      <c r="BJ1122" s="218">
        <f t="shared" si="101"/>
        <v>324835772.50205183</v>
      </c>
      <c r="BK1122" s="217">
        <f t="shared" si="104"/>
        <v>1000</v>
      </c>
    </row>
    <row r="1123" spans="8:63" s="215" customFormat="1">
      <c r="H1123" s="211"/>
      <c r="I1123" s="211"/>
      <c r="J1123" s="211"/>
      <c r="K1123" s="211"/>
      <c r="L1123" s="211"/>
      <c r="M1123" s="211"/>
      <c r="BF1123" s="215">
        <v>1074</v>
      </c>
      <c r="BG1123" s="218">
        <f t="shared" si="102"/>
        <v>29328030745.899536</v>
      </c>
      <c r="BH1123" s="215">
        <v>1074</v>
      </c>
      <c r="BI1123" s="219">
        <f t="shared" si="103"/>
        <v>1.12E-2</v>
      </c>
      <c r="BJ1123" s="218">
        <f t="shared" si="101"/>
        <v>328473944.35407478</v>
      </c>
      <c r="BK1123" s="217">
        <f t="shared" si="104"/>
        <v>1000</v>
      </c>
    </row>
    <row r="1124" spans="8:63" s="215" customFormat="1">
      <c r="H1124" s="211"/>
      <c r="I1124" s="211"/>
      <c r="J1124" s="211"/>
      <c r="K1124" s="211"/>
      <c r="L1124" s="211"/>
      <c r="M1124" s="211"/>
      <c r="BF1124" s="215">
        <v>1075</v>
      </c>
      <c r="BG1124" s="218">
        <f t="shared" si="102"/>
        <v>29656505690.253613</v>
      </c>
      <c r="BH1124" s="215">
        <v>1075</v>
      </c>
      <c r="BI1124" s="219">
        <f t="shared" si="103"/>
        <v>1.12E-2</v>
      </c>
      <c r="BJ1124" s="218">
        <f t="shared" si="101"/>
        <v>332152863.73084044</v>
      </c>
      <c r="BK1124" s="217">
        <f t="shared" si="104"/>
        <v>1000</v>
      </c>
    </row>
    <row r="1125" spans="8:63" s="215" customFormat="1">
      <c r="H1125" s="211"/>
      <c r="I1125" s="211"/>
      <c r="J1125" s="211"/>
      <c r="K1125" s="211"/>
      <c r="L1125" s="211"/>
      <c r="M1125" s="211"/>
      <c r="BF1125" s="215">
        <v>1076</v>
      </c>
      <c r="BG1125" s="218">
        <f t="shared" si="102"/>
        <v>29988659553.984451</v>
      </c>
      <c r="BH1125" s="215">
        <v>1076</v>
      </c>
      <c r="BI1125" s="219">
        <f t="shared" si="103"/>
        <v>1.12E-2</v>
      </c>
      <c r="BJ1125" s="218">
        <f t="shared" si="101"/>
        <v>335872987.00462586</v>
      </c>
      <c r="BK1125" s="217">
        <f t="shared" si="104"/>
        <v>1000</v>
      </c>
    </row>
    <row r="1126" spans="8:63" s="215" customFormat="1">
      <c r="H1126" s="211"/>
      <c r="I1126" s="211"/>
      <c r="J1126" s="211"/>
      <c r="K1126" s="211"/>
      <c r="L1126" s="211"/>
      <c r="M1126" s="211"/>
      <c r="BF1126" s="215">
        <v>1077</v>
      </c>
      <c r="BG1126" s="218">
        <f t="shared" si="102"/>
        <v>30324533540.989079</v>
      </c>
      <c r="BH1126" s="215">
        <v>1077</v>
      </c>
      <c r="BI1126" s="219">
        <f t="shared" si="103"/>
        <v>1.12E-2</v>
      </c>
      <c r="BJ1126" s="218">
        <f t="shared" si="101"/>
        <v>339634775.6590777</v>
      </c>
      <c r="BK1126" s="217">
        <f t="shared" si="104"/>
        <v>1000</v>
      </c>
    </row>
    <row r="1127" spans="8:63" s="215" customFormat="1">
      <c r="H1127" s="211"/>
      <c r="I1127" s="211"/>
      <c r="J1127" s="211"/>
      <c r="K1127" s="211"/>
      <c r="L1127" s="211"/>
      <c r="M1127" s="211"/>
      <c r="BF1127" s="215">
        <v>1078</v>
      </c>
      <c r="BG1127" s="218">
        <f t="shared" si="102"/>
        <v>30664169316.648155</v>
      </c>
      <c r="BH1127" s="215">
        <v>1078</v>
      </c>
      <c r="BI1127" s="219">
        <f t="shared" si="103"/>
        <v>1.12E-2</v>
      </c>
      <c r="BJ1127" s="218">
        <f t="shared" si="101"/>
        <v>343438696.34645933</v>
      </c>
      <c r="BK1127" s="217">
        <f t="shared" si="104"/>
        <v>1000</v>
      </c>
    </row>
    <row r="1128" spans="8:63" s="215" customFormat="1">
      <c r="H1128" s="211"/>
      <c r="I1128" s="211"/>
      <c r="J1128" s="211"/>
      <c r="K1128" s="211"/>
      <c r="L1128" s="211"/>
      <c r="M1128" s="211"/>
      <c r="BF1128" s="215">
        <v>1079</v>
      </c>
      <c r="BG1128" s="218">
        <f t="shared" si="102"/>
        <v>31007609012.994614</v>
      </c>
      <c r="BH1128" s="215">
        <v>1079</v>
      </c>
      <c r="BI1128" s="219">
        <f t="shared" si="103"/>
        <v>1.12E-2</v>
      </c>
      <c r="BJ1128" s="218">
        <f t="shared" si="101"/>
        <v>347285220.94553965</v>
      </c>
      <c r="BK1128" s="217">
        <f t="shared" si="104"/>
        <v>1000</v>
      </c>
    </row>
    <row r="1129" spans="8:63" s="215" customFormat="1">
      <c r="H1129" s="211"/>
      <c r="I1129" s="211"/>
      <c r="J1129" s="211"/>
      <c r="K1129" s="211"/>
      <c r="L1129" s="211"/>
      <c r="M1129" s="211"/>
      <c r="BF1129" s="215">
        <v>1080</v>
      </c>
      <c r="BG1129" s="218">
        <f t="shared" si="102"/>
        <v>31354895233.940155</v>
      </c>
      <c r="BH1129" s="215">
        <v>1080</v>
      </c>
      <c r="BI1129" s="219">
        <f t="shared" si="103"/>
        <v>1.12E-2</v>
      </c>
      <c r="BJ1129" s="218">
        <f t="shared" si="101"/>
        <v>351174826.6201297</v>
      </c>
      <c r="BK1129" s="217">
        <f t="shared" si="104"/>
        <v>1000</v>
      </c>
    </row>
    <row r="1130" spans="8:63" s="215" customFormat="1">
      <c r="H1130" s="211"/>
      <c r="I1130" s="211"/>
      <c r="J1130" s="211"/>
      <c r="K1130" s="211"/>
      <c r="L1130" s="211"/>
      <c r="M1130" s="211"/>
      <c r="BF1130" s="215">
        <v>1081</v>
      </c>
      <c r="BG1130" s="218">
        <f t="shared" si="102"/>
        <v>31706071060.560284</v>
      </c>
      <c r="BH1130" s="215">
        <v>1081</v>
      </c>
      <c r="BI1130" s="219">
        <f t="shared" si="103"/>
        <v>1.12E-2</v>
      </c>
      <c r="BJ1130" s="218">
        <f t="shared" si="101"/>
        <v>355107995.87827516</v>
      </c>
      <c r="BK1130" s="217">
        <f t="shared" si="104"/>
        <v>1000</v>
      </c>
    </row>
    <row r="1131" spans="8:63" s="215" customFormat="1">
      <c r="H1131" s="211"/>
      <c r="I1131" s="211"/>
      <c r="J1131" s="211"/>
      <c r="K1131" s="211"/>
      <c r="L1131" s="211"/>
      <c r="M1131" s="211"/>
      <c r="BF1131" s="215">
        <v>1082</v>
      </c>
      <c r="BG1131" s="218">
        <f t="shared" si="102"/>
        <v>32061180056.43856</v>
      </c>
      <c r="BH1131" s="215">
        <v>1082</v>
      </c>
      <c r="BI1131" s="219">
        <f t="shared" si="103"/>
        <v>1.12E-2</v>
      </c>
      <c r="BJ1131" s="218">
        <f t="shared" si="101"/>
        <v>359085216.63211185</v>
      </c>
      <c r="BK1131" s="217">
        <f t="shared" si="104"/>
        <v>1000</v>
      </c>
    </row>
    <row r="1132" spans="8:63" s="215" customFormat="1">
      <c r="H1132" s="211"/>
      <c r="I1132" s="211"/>
      <c r="J1132" s="211"/>
      <c r="K1132" s="211"/>
      <c r="L1132" s="211"/>
      <c r="M1132" s="211"/>
      <c r="BF1132" s="215">
        <v>1083</v>
      </c>
      <c r="BG1132" s="218">
        <f t="shared" si="102"/>
        <v>32420266273.070671</v>
      </c>
      <c r="BH1132" s="215">
        <v>1083</v>
      </c>
      <c r="BI1132" s="219">
        <f t="shared" si="103"/>
        <v>1.12E-2</v>
      </c>
      <c r="BJ1132" s="218">
        <f t="shared" si="101"/>
        <v>363106982.2583915</v>
      </c>
      <c r="BK1132" s="217">
        <f t="shared" si="104"/>
        <v>1000</v>
      </c>
    </row>
    <row r="1133" spans="8:63" s="215" customFormat="1">
      <c r="H1133" s="211"/>
      <c r="I1133" s="211"/>
      <c r="J1133" s="211"/>
      <c r="K1133" s="211"/>
      <c r="L1133" s="211"/>
      <c r="M1133" s="211"/>
      <c r="BF1133" s="215">
        <v>1084</v>
      </c>
      <c r="BG1133" s="218">
        <f t="shared" si="102"/>
        <v>32783374255.329063</v>
      </c>
      <c r="BH1133" s="215">
        <v>1084</v>
      </c>
      <c r="BI1133" s="219">
        <f t="shared" si="103"/>
        <v>1.12E-2</v>
      </c>
      <c r="BJ1133" s="218">
        <f t="shared" si="101"/>
        <v>367173791.65968549</v>
      </c>
      <c r="BK1133" s="217">
        <f t="shared" si="104"/>
        <v>1000</v>
      </c>
    </row>
    <row r="1134" spans="8:63" s="215" customFormat="1">
      <c r="H1134" s="211"/>
      <c r="I1134" s="211"/>
      <c r="J1134" s="211"/>
      <c r="K1134" s="211"/>
      <c r="L1134" s="211"/>
      <c r="M1134" s="211"/>
      <c r="BF1134" s="215">
        <v>1085</v>
      </c>
      <c r="BG1134" s="218">
        <f t="shared" si="102"/>
        <v>33150549046.98875</v>
      </c>
      <c r="BH1134" s="215">
        <v>1085</v>
      </c>
      <c r="BI1134" s="219">
        <f t="shared" si="103"/>
        <v>1.12E-2</v>
      </c>
      <c r="BJ1134" s="218">
        <f t="shared" si="101"/>
        <v>371286149.32627398</v>
      </c>
      <c r="BK1134" s="217">
        <f t="shared" si="104"/>
        <v>1000</v>
      </c>
    </row>
    <row r="1135" spans="8:63" s="215" customFormat="1">
      <c r="H1135" s="211"/>
      <c r="I1135" s="211"/>
      <c r="J1135" s="211"/>
      <c r="K1135" s="211"/>
      <c r="L1135" s="211"/>
      <c r="M1135" s="211"/>
      <c r="BF1135" s="215">
        <v>1086</v>
      </c>
      <c r="BG1135" s="218">
        <f t="shared" si="102"/>
        <v>33521836196.315025</v>
      </c>
      <c r="BH1135" s="215">
        <v>1086</v>
      </c>
      <c r="BI1135" s="219">
        <f t="shared" si="103"/>
        <v>1.12E-2</v>
      </c>
      <c r="BJ1135" s="218">
        <f t="shared" si="101"/>
        <v>375444565.39872825</v>
      </c>
      <c r="BK1135" s="217">
        <f t="shared" si="104"/>
        <v>1000</v>
      </c>
    </row>
    <row r="1136" spans="8:63" s="215" customFormat="1">
      <c r="H1136" s="211"/>
      <c r="I1136" s="211"/>
      <c r="J1136" s="211"/>
      <c r="K1136" s="211"/>
      <c r="L1136" s="211"/>
      <c r="M1136" s="211"/>
      <c r="BF1136" s="215">
        <v>1087</v>
      </c>
      <c r="BG1136" s="218">
        <f t="shared" si="102"/>
        <v>33897281761.713753</v>
      </c>
      <c r="BH1136" s="215">
        <v>1087</v>
      </c>
      <c r="BI1136" s="219">
        <f t="shared" si="103"/>
        <v>1.12E-2</v>
      </c>
      <c r="BJ1136" s="218">
        <f t="shared" si="101"/>
        <v>379649555.73119402</v>
      </c>
      <c r="BK1136" s="217">
        <f t="shared" si="104"/>
        <v>1000</v>
      </c>
    </row>
    <row r="1137" spans="8:63" s="215" customFormat="1">
      <c r="H1137" s="211"/>
      <c r="I1137" s="211"/>
      <c r="J1137" s="211"/>
      <c r="K1137" s="211"/>
      <c r="L1137" s="211"/>
      <c r="M1137" s="211"/>
      <c r="BF1137" s="215">
        <v>1088</v>
      </c>
      <c r="BG1137" s="218">
        <f t="shared" si="102"/>
        <v>34276932317.444946</v>
      </c>
      <c r="BH1137" s="215">
        <v>1088</v>
      </c>
      <c r="BI1137" s="219">
        <f t="shared" si="103"/>
        <v>1.12E-2</v>
      </c>
      <c r="BJ1137" s="218">
        <f t="shared" si="101"/>
        <v>383901641.95538342</v>
      </c>
      <c r="BK1137" s="217">
        <f t="shared" si="104"/>
        <v>1000</v>
      </c>
    </row>
    <row r="1138" spans="8:63" s="215" customFormat="1">
      <c r="H1138" s="211"/>
      <c r="I1138" s="211"/>
      <c r="J1138" s="211"/>
      <c r="K1138" s="211"/>
      <c r="L1138" s="211"/>
      <c r="M1138" s="211"/>
      <c r="BF1138" s="215">
        <v>1089</v>
      </c>
      <c r="BG1138" s="218">
        <f t="shared" si="102"/>
        <v>34660834959.40033</v>
      </c>
      <c r="BH1138" s="215">
        <v>1089</v>
      </c>
      <c r="BI1138" s="219">
        <f t="shared" si="103"/>
        <v>1.12E-2</v>
      </c>
      <c r="BJ1138" s="218">
        <f t="shared" ref="BJ1138:BJ1201" si="105">BG1138*BI1138</f>
        <v>388201351.54528368</v>
      </c>
      <c r="BK1138" s="217">
        <f t="shared" si="104"/>
        <v>1000</v>
      </c>
    </row>
    <row r="1139" spans="8:63" s="215" customFormat="1">
      <c r="H1139" s="211"/>
      <c r="I1139" s="211"/>
      <c r="J1139" s="211"/>
      <c r="K1139" s="211"/>
      <c r="L1139" s="211"/>
      <c r="M1139" s="211"/>
      <c r="BF1139" s="215">
        <v>1090</v>
      </c>
      <c r="BG1139" s="218">
        <f t="shared" ref="BG1139:BG1202" si="106">BG1138+BJ1138+BK1139</f>
        <v>35049037310.94561</v>
      </c>
      <c r="BH1139" s="215">
        <v>1090</v>
      </c>
      <c r="BI1139" s="219">
        <f t="shared" ref="BI1139:BI1202" si="107">BI1138</f>
        <v>1.12E-2</v>
      </c>
      <c r="BJ1139" s="218">
        <f t="shared" si="105"/>
        <v>392549217.88259083</v>
      </c>
      <c r="BK1139" s="217">
        <f t="shared" ref="BK1139:BK1202" si="108">BK1138</f>
        <v>1000</v>
      </c>
    </row>
    <row r="1140" spans="8:63" s="215" customFormat="1">
      <c r="H1140" s="211"/>
      <c r="I1140" s="211"/>
      <c r="J1140" s="211"/>
      <c r="K1140" s="211"/>
      <c r="L1140" s="211"/>
      <c r="M1140" s="211"/>
      <c r="BF1140" s="215">
        <v>1091</v>
      </c>
      <c r="BG1140" s="218">
        <f t="shared" si="106"/>
        <v>35441587528.828201</v>
      </c>
      <c r="BH1140" s="215">
        <v>1091</v>
      </c>
      <c r="BI1140" s="219">
        <f t="shared" si="107"/>
        <v>1.12E-2</v>
      </c>
      <c r="BJ1140" s="218">
        <f t="shared" si="105"/>
        <v>396945780.32287586</v>
      </c>
      <c r="BK1140" s="217">
        <f t="shared" si="108"/>
        <v>1000</v>
      </c>
    </row>
    <row r="1141" spans="8:63" s="215" customFormat="1">
      <c r="H1141" s="211"/>
      <c r="I1141" s="211"/>
      <c r="J1141" s="211"/>
      <c r="K1141" s="211"/>
      <c r="L1141" s="211"/>
      <c r="M1141" s="211"/>
      <c r="BF1141" s="215">
        <v>1092</v>
      </c>
      <c r="BG1141" s="218">
        <f t="shared" si="106"/>
        <v>35838534309.151077</v>
      </c>
      <c r="BH1141" s="215">
        <v>1092</v>
      </c>
      <c r="BI1141" s="219">
        <f t="shared" si="107"/>
        <v>1.12E-2</v>
      </c>
      <c r="BJ1141" s="218">
        <f t="shared" si="105"/>
        <v>401391584.26249206</v>
      </c>
      <c r="BK1141" s="217">
        <f t="shared" si="108"/>
        <v>1000</v>
      </c>
    </row>
    <row r="1142" spans="8:63" s="215" customFormat="1">
      <c r="H1142" s="211"/>
      <c r="I1142" s="211"/>
      <c r="J1142" s="211"/>
      <c r="K1142" s="211"/>
      <c r="L1142" s="211"/>
      <c r="M1142" s="211"/>
      <c r="BF1142" s="215">
        <v>1093</v>
      </c>
      <c r="BG1142" s="218">
        <f t="shared" si="106"/>
        <v>36239926893.413567</v>
      </c>
      <c r="BH1142" s="215">
        <v>1093</v>
      </c>
      <c r="BI1142" s="219">
        <f t="shared" si="107"/>
        <v>1.12E-2</v>
      </c>
      <c r="BJ1142" s="218">
        <f t="shared" si="105"/>
        <v>405887181.20623195</v>
      </c>
      <c r="BK1142" s="217">
        <f t="shared" si="108"/>
        <v>1000</v>
      </c>
    </row>
    <row r="1143" spans="8:63" s="215" customFormat="1">
      <c r="H1143" s="211"/>
      <c r="I1143" s="211"/>
      <c r="J1143" s="211"/>
      <c r="K1143" s="211"/>
      <c r="L1143" s="211"/>
      <c r="M1143" s="211"/>
      <c r="BF1143" s="215">
        <v>1094</v>
      </c>
      <c r="BG1143" s="218">
        <f t="shared" si="106"/>
        <v>36645815074.619797</v>
      </c>
      <c r="BH1143" s="215">
        <v>1094</v>
      </c>
      <c r="BI1143" s="219">
        <f t="shared" si="107"/>
        <v>1.12E-2</v>
      </c>
      <c r="BJ1143" s="218">
        <f t="shared" si="105"/>
        <v>410433128.8357417</v>
      </c>
      <c r="BK1143" s="217">
        <f t="shared" si="108"/>
        <v>1000</v>
      </c>
    </row>
    <row r="1144" spans="8:63" s="215" customFormat="1">
      <c r="H1144" s="211"/>
      <c r="I1144" s="211"/>
      <c r="J1144" s="211"/>
      <c r="K1144" s="211"/>
      <c r="L1144" s="211"/>
      <c r="M1144" s="211"/>
      <c r="BF1144" s="215">
        <v>1095</v>
      </c>
      <c r="BG1144" s="218">
        <f t="shared" si="106"/>
        <v>37056249203.455536</v>
      </c>
      <c r="BH1144" s="215">
        <v>1095</v>
      </c>
      <c r="BI1144" s="219">
        <f t="shared" si="107"/>
        <v>1.12E-2</v>
      </c>
      <c r="BJ1144" s="218">
        <f t="shared" si="105"/>
        <v>415029991.07870197</v>
      </c>
      <c r="BK1144" s="217">
        <f t="shared" si="108"/>
        <v>1000</v>
      </c>
    </row>
    <row r="1145" spans="8:63" s="215" customFormat="1">
      <c r="H1145" s="211"/>
      <c r="I1145" s="211"/>
      <c r="J1145" s="211"/>
      <c r="K1145" s="211"/>
      <c r="L1145" s="211"/>
      <c r="M1145" s="211"/>
      <c r="BF1145" s="215">
        <v>1096</v>
      </c>
      <c r="BG1145" s="218">
        <f t="shared" si="106"/>
        <v>37471280194.534241</v>
      </c>
      <c r="BH1145" s="215">
        <v>1096</v>
      </c>
      <c r="BI1145" s="219">
        <f t="shared" si="107"/>
        <v>1.12E-2</v>
      </c>
      <c r="BJ1145" s="218">
        <f t="shared" si="105"/>
        <v>419678338.17878348</v>
      </c>
      <c r="BK1145" s="217">
        <f t="shared" si="108"/>
        <v>1000</v>
      </c>
    </row>
    <row r="1146" spans="8:63" s="215" customFormat="1">
      <c r="H1146" s="211"/>
      <c r="I1146" s="211"/>
      <c r="J1146" s="211"/>
      <c r="K1146" s="211"/>
      <c r="L1146" s="211"/>
      <c r="M1146" s="211"/>
      <c r="BF1146" s="215">
        <v>1097</v>
      </c>
      <c r="BG1146" s="218">
        <f t="shared" si="106"/>
        <v>37890959532.713028</v>
      </c>
      <c r="BH1146" s="215">
        <v>1097</v>
      </c>
      <c r="BI1146" s="219">
        <f t="shared" si="107"/>
        <v>1.12E-2</v>
      </c>
      <c r="BJ1146" s="218">
        <f t="shared" si="105"/>
        <v>424378746.76638591</v>
      </c>
      <c r="BK1146" s="217">
        <f t="shared" si="108"/>
        <v>1000</v>
      </c>
    </row>
    <row r="1147" spans="8:63" s="215" customFormat="1">
      <c r="H1147" s="211"/>
      <c r="I1147" s="211"/>
      <c r="J1147" s="211"/>
      <c r="K1147" s="211"/>
      <c r="L1147" s="211"/>
      <c r="M1147" s="211"/>
      <c r="BF1147" s="215">
        <v>1098</v>
      </c>
      <c r="BG1147" s="218">
        <f t="shared" si="106"/>
        <v>38315339279.479416</v>
      </c>
      <c r="BH1147" s="215">
        <v>1098</v>
      </c>
      <c r="BI1147" s="219">
        <f t="shared" si="107"/>
        <v>1.12E-2</v>
      </c>
      <c r="BJ1147" s="218">
        <f t="shared" si="105"/>
        <v>429131799.93016946</v>
      </c>
      <c r="BK1147" s="217">
        <f t="shared" si="108"/>
        <v>1000</v>
      </c>
    </row>
    <row r="1148" spans="8:63" s="215" customFormat="1">
      <c r="H1148" s="211"/>
      <c r="I1148" s="211"/>
      <c r="J1148" s="211"/>
      <c r="K1148" s="211"/>
      <c r="L1148" s="211"/>
      <c r="M1148" s="211"/>
      <c r="BF1148" s="215">
        <v>1099</v>
      </c>
      <c r="BG1148" s="218">
        <f t="shared" si="106"/>
        <v>38744472079.409584</v>
      </c>
      <c r="BH1148" s="215">
        <v>1099</v>
      </c>
      <c r="BI1148" s="219">
        <f t="shared" si="107"/>
        <v>1.12E-2</v>
      </c>
      <c r="BJ1148" s="218">
        <f t="shared" si="105"/>
        <v>433938087.28938735</v>
      </c>
      <c r="BK1148" s="217">
        <f t="shared" si="108"/>
        <v>1000</v>
      </c>
    </row>
    <row r="1149" spans="8:63" s="215" customFormat="1">
      <c r="H1149" s="211"/>
      <c r="I1149" s="211"/>
      <c r="J1149" s="211"/>
      <c r="K1149" s="211"/>
      <c r="L1149" s="211"/>
      <c r="M1149" s="211"/>
      <c r="BF1149" s="215">
        <v>1100</v>
      </c>
      <c r="BG1149" s="218">
        <f t="shared" si="106"/>
        <v>39178411166.698975</v>
      </c>
      <c r="BH1149" s="215">
        <v>1100</v>
      </c>
      <c r="BI1149" s="219">
        <f t="shared" si="107"/>
        <v>1.12E-2</v>
      </c>
      <c r="BJ1149" s="218">
        <f t="shared" si="105"/>
        <v>438798205.06702852</v>
      </c>
      <c r="BK1149" s="217">
        <f t="shared" si="108"/>
        <v>1000</v>
      </c>
    </row>
    <row r="1150" spans="8:63" s="215" customFormat="1">
      <c r="H1150" s="211"/>
      <c r="I1150" s="211"/>
      <c r="J1150" s="211"/>
      <c r="K1150" s="211"/>
      <c r="L1150" s="211"/>
      <c r="M1150" s="211"/>
      <c r="BF1150" s="215">
        <v>1101</v>
      </c>
      <c r="BG1150" s="218">
        <f t="shared" si="106"/>
        <v>39617210371.766006</v>
      </c>
      <c r="BH1150" s="215">
        <v>1101</v>
      </c>
      <c r="BI1150" s="219">
        <f t="shared" si="107"/>
        <v>1.12E-2</v>
      </c>
      <c r="BJ1150" s="218">
        <f t="shared" si="105"/>
        <v>443712756.16377926</v>
      </c>
      <c r="BK1150" s="217">
        <f t="shared" si="108"/>
        <v>1000</v>
      </c>
    </row>
    <row r="1151" spans="8:63" s="215" customFormat="1">
      <c r="H1151" s="211"/>
      <c r="I1151" s="211"/>
      <c r="J1151" s="211"/>
      <c r="K1151" s="211"/>
      <c r="L1151" s="211"/>
      <c r="M1151" s="211"/>
      <c r="BF1151" s="215">
        <v>1102</v>
      </c>
      <c r="BG1151" s="218">
        <f t="shared" si="106"/>
        <v>40060924127.929787</v>
      </c>
      <c r="BH1151" s="215">
        <v>1102</v>
      </c>
      <c r="BI1151" s="219">
        <f t="shared" si="107"/>
        <v>1.12E-2</v>
      </c>
      <c r="BJ1151" s="218">
        <f t="shared" si="105"/>
        <v>448682350.2328136</v>
      </c>
      <c r="BK1151" s="217">
        <f t="shared" si="108"/>
        <v>1000</v>
      </c>
    </row>
    <row r="1152" spans="8:63" s="215" customFormat="1">
      <c r="H1152" s="211"/>
      <c r="I1152" s="211"/>
      <c r="J1152" s="211"/>
      <c r="K1152" s="211"/>
      <c r="L1152" s="211"/>
      <c r="M1152" s="211"/>
      <c r="BF1152" s="215">
        <v>1103</v>
      </c>
      <c r="BG1152" s="218">
        <f t="shared" si="106"/>
        <v>40509607478.162598</v>
      </c>
      <c r="BH1152" s="215">
        <v>1103</v>
      </c>
      <c r="BI1152" s="219">
        <f t="shared" si="107"/>
        <v>1.12E-2</v>
      </c>
      <c r="BJ1152" s="218">
        <f t="shared" si="105"/>
        <v>453707603.7554211</v>
      </c>
      <c r="BK1152" s="217">
        <f t="shared" si="108"/>
        <v>1000</v>
      </c>
    </row>
    <row r="1153" spans="8:63" s="215" customFormat="1">
      <c r="H1153" s="211"/>
      <c r="I1153" s="211"/>
      <c r="J1153" s="211"/>
      <c r="K1153" s="211"/>
      <c r="L1153" s="211"/>
      <c r="M1153" s="211"/>
      <c r="BF1153" s="215">
        <v>1104</v>
      </c>
      <c r="BG1153" s="218">
        <f t="shared" si="106"/>
        <v>40963316081.918022</v>
      </c>
      <c r="BH1153" s="215">
        <v>1104</v>
      </c>
      <c r="BI1153" s="219">
        <f t="shared" si="107"/>
        <v>1.12E-2</v>
      </c>
      <c r="BJ1153" s="218">
        <f t="shared" si="105"/>
        <v>458789140.11748183</v>
      </c>
      <c r="BK1153" s="217">
        <f t="shared" si="108"/>
        <v>1000</v>
      </c>
    </row>
    <row r="1154" spans="8:63" s="215" customFormat="1">
      <c r="H1154" s="211"/>
      <c r="I1154" s="211"/>
      <c r="J1154" s="211"/>
      <c r="K1154" s="211"/>
      <c r="L1154" s="211"/>
      <c r="M1154" s="211"/>
      <c r="BF1154" s="215">
        <v>1105</v>
      </c>
      <c r="BG1154" s="218">
        <f t="shared" si="106"/>
        <v>41422106222.035507</v>
      </c>
      <c r="BH1154" s="215">
        <v>1105</v>
      </c>
      <c r="BI1154" s="219">
        <f t="shared" si="107"/>
        <v>1.12E-2</v>
      </c>
      <c r="BJ1154" s="218">
        <f t="shared" si="105"/>
        <v>463927589.68679768</v>
      </c>
      <c r="BK1154" s="217">
        <f t="shared" si="108"/>
        <v>1000</v>
      </c>
    </row>
    <row r="1155" spans="8:63" s="215" customFormat="1">
      <c r="H1155" s="211"/>
      <c r="I1155" s="211"/>
      <c r="J1155" s="211"/>
      <c r="K1155" s="211"/>
      <c r="L1155" s="211"/>
      <c r="M1155" s="211"/>
      <c r="BF1155" s="215">
        <v>1106</v>
      </c>
      <c r="BG1155" s="218">
        <f t="shared" si="106"/>
        <v>41886034811.722305</v>
      </c>
      <c r="BH1155" s="215">
        <v>1106</v>
      </c>
      <c r="BI1155" s="219">
        <f t="shared" si="107"/>
        <v>1.12E-2</v>
      </c>
      <c r="BJ1155" s="218">
        <f t="shared" si="105"/>
        <v>469123589.89128983</v>
      </c>
      <c r="BK1155" s="217">
        <f t="shared" si="108"/>
        <v>1000</v>
      </c>
    </row>
    <row r="1156" spans="8:63" s="215" customFormat="1">
      <c r="H1156" s="211"/>
      <c r="I1156" s="211"/>
      <c r="J1156" s="211"/>
      <c r="K1156" s="211"/>
      <c r="L1156" s="211"/>
      <c r="M1156" s="211"/>
      <c r="BF1156" s="215">
        <v>1107</v>
      </c>
      <c r="BG1156" s="218">
        <f t="shared" si="106"/>
        <v>42355159401.613594</v>
      </c>
      <c r="BH1156" s="215">
        <v>1107</v>
      </c>
      <c r="BI1156" s="219">
        <f t="shared" si="107"/>
        <v>1.12E-2</v>
      </c>
      <c r="BJ1156" s="218">
        <f t="shared" si="105"/>
        <v>474377785.29807222</v>
      </c>
      <c r="BK1156" s="217">
        <f t="shared" si="108"/>
        <v>1000</v>
      </c>
    </row>
    <row r="1157" spans="8:63" s="215" customFormat="1">
      <c r="H1157" s="211"/>
      <c r="I1157" s="211"/>
      <c r="J1157" s="211"/>
      <c r="K1157" s="211"/>
      <c r="L1157" s="211"/>
      <c r="M1157" s="211"/>
      <c r="BF1157" s="215">
        <v>1108</v>
      </c>
      <c r="BG1157" s="218">
        <f t="shared" si="106"/>
        <v>42829538186.911667</v>
      </c>
      <c r="BH1157" s="215">
        <v>1108</v>
      </c>
      <c r="BI1157" s="219">
        <f t="shared" si="107"/>
        <v>1.12E-2</v>
      </c>
      <c r="BJ1157" s="218">
        <f t="shared" si="105"/>
        <v>479690827.69341063</v>
      </c>
      <c r="BK1157" s="217">
        <f t="shared" si="108"/>
        <v>1000</v>
      </c>
    </row>
    <row r="1158" spans="8:63" s="215" customFormat="1">
      <c r="H1158" s="211"/>
      <c r="I1158" s="211"/>
      <c r="J1158" s="211"/>
      <c r="K1158" s="211"/>
      <c r="L1158" s="211"/>
      <c r="M1158" s="211"/>
      <c r="BF1158" s="215">
        <v>1109</v>
      </c>
      <c r="BG1158" s="218">
        <f t="shared" si="106"/>
        <v>43309230014.60508</v>
      </c>
      <c r="BH1158" s="215">
        <v>1109</v>
      </c>
      <c r="BI1158" s="219">
        <f t="shared" si="107"/>
        <v>1.12E-2</v>
      </c>
      <c r="BJ1158" s="218">
        <f t="shared" si="105"/>
        <v>485063376.1635769</v>
      </c>
      <c r="BK1158" s="217">
        <f t="shared" si="108"/>
        <v>1000</v>
      </c>
    </row>
    <row r="1159" spans="8:63" s="215" customFormat="1">
      <c r="H1159" s="211"/>
      <c r="I1159" s="211"/>
      <c r="J1159" s="211"/>
      <c r="K1159" s="211"/>
      <c r="L1159" s="211"/>
      <c r="M1159" s="211"/>
      <c r="BF1159" s="215">
        <v>1110</v>
      </c>
      <c r="BG1159" s="218">
        <f t="shared" si="106"/>
        <v>43794294390.768654</v>
      </c>
      <c r="BH1159" s="215">
        <v>1110</v>
      </c>
      <c r="BI1159" s="219">
        <f t="shared" si="107"/>
        <v>1.12E-2</v>
      </c>
      <c r="BJ1159" s="218">
        <f t="shared" si="105"/>
        <v>490496097.17660892</v>
      </c>
      <c r="BK1159" s="217">
        <f t="shared" si="108"/>
        <v>1000</v>
      </c>
    </row>
    <row r="1160" spans="8:63" s="215" customFormat="1">
      <c r="H1160" s="211"/>
      <c r="I1160" s="211"/>
      <c r="J1160" s="211"/>
      <c r="K1160" s="211"/>
      <c r="L1160" s="211"/>
      <c r="M1160" s="211"/>
      <c r="BF1160" s="215">
        <v>1111</v>
      </c>
      <c r="BG1160" s="218">
        <f t="shared" si="106"/>
        <v>44284791487.945259</v>
      </c>
      <c r="BH1160" s="215">
        <v>1111</v>
      </c>
      <c r="BI1160" s="219">
        <f t="shared" si="107"/>
        <v>1.12E-2</v>
      </c>
      <c r="BJ1160" s="218">
        <f t="shared" si="105"/>
        <v>495989664.66498691</v>
      </c>
      <c r="BK1160" s="217">
        <f t="shared" si="108"/>
        <v>1000</v>
      </c>
    </row>
    <row r="1161" spans="8:63" s="215" customFormat="1">
      <c r="H1161" s="211"/>
      <c r="I1161" s="211"/>
      <c r="J1161" s="211"/>
      <c r="K1161" s="211"/>
      <c r="L1161" s="211"/>
      <c r="M1161" s="211"/>
      <c r="BF1161" s="215">
        <v>1112</v>
      </c>
      <c r="BG1161" s="218">
        <f t="shared" si="106"/>
        <v>44780782152.610245</v>
      </c>
      <c r="BH1161" s="215">
        <v>1112</v>
      </c>
      <c r="BI1161" s="219">
        <f t="shared" si="107"/>
        <v>1.12E-2</v>
      </c>
      <c r="BJ1161" s="218">
        <f t="shared" si="105"/>
        <v>501544760.10923475</v>
      </c>
      <c r="BK1161" s="217">
        <f t="shared" si="108"/>
        <v>1000</v>
      </c>
    </row>
    <row r="1162" spans="8:63" s="215" customFormat="1">
      <c r="H1162" s="211"/>
      <c r="I1162" s="211"/>
      <c r="J1162" s="211"/>
      <c r="K1162" s="211"/>
      <c r="L1162" s="211"/>
      <c r="M1162" s="211"/>
      <c r="BF1162" s="215">
        <v>1113</v>
      </c>
      <c r="BG1162" s="218">
        <f t="shared" si="106"/>
        <v>45282327912.719482</v>
      </c>
      <c r="BH1162" s="215">
        <v>1113</v>
      </c>
      <c r="BI1162" s="219">
        <f t="shared" si="107"/>
        <v>1.12E-2</v>
      </c>
      <c r="BJ1162" s="218">
        <f t="shared" si="105"/>
        <v>507162072.62245822</v>
      </c>
      <c r="BK1162" s="217">
        <f t="shared" si="108"/>
        <v>1000</v>
      </c>
    </row>
    <row r="1163" spans="8:63" s="215" customFormat="1">
      <c r="H1163" s="211"/>
      <c r="I1163" s="211"/>
      <c r="J1163" s="211"/>
      <c r="K1163" s="211"/>
      <c r="L1163" s="211"/>
      <c r="M1163" s="211"/>
      <c r="BF1163" s="215">
        <v>1114</v>
      </c>
      <c r="BG1163" s="218">
        <f t="shared" si="106"/>
        <v>45789490985.341942</v>
      </c>
      <c r="BH1163" s="215">
        <v>1114</v>
      </c>
      <c r="BI1163" s="219">
        <f t="shared" si="107"/>
        <v>1.12E-2</v>
      </c>
      <c r="BJ1163" s="218">
        <f t="shared" si="105"/>
        <v>512842299.03582972</v>
      </c>
      <c r="BK1163" s="217">
        <f t="shared" si="108"/>
        <v>1000</v>
      </c>
    </row>
    <row r="1164" spans="8:63" s="215" customFormat="1">
      <c r="H1164" s="211"/>
      <c r="I1164" s="211"/>
      <c r="J1164" s="211"/>
      <c r="K1164" s="211"/>
      <c r="L1164" s="211"/>
      <c r="M1164" s="211"/>
      <c r="BF1164" s="215">
        <v>1115</v>
      </c>
      <c r="BG1164" s="218">
        <f t="shared" si="106"/>
        <v>46302334284.377769</v>
      </c>
      <c r="BH1164" s="215">
        <v>1115</v>
      </c>
      <c r="BI1164" s="219">
        <f t="shared" si="107"/>
        <v>1.12E-2</v>
      </c>
      <c r="BJ1164" s="218">
        <f t="shared" si="105"/>
        <v>518586143.98503101</v>
      </c>
      <c r="BK1164" s="217">
        <f t="shared" si="108"/>
        <v>1000</v>
      </c>
    </row>
    <row r="1165" spans="8:63" s="215" customFormat="1">
      <c r="H1165" s="211"/>
      <c r="I1165" s="211"/>
      <c r="J1165" s="211"/>
      <c r="K1165" s="211"/>
      <c r="L1165" s="211"/>
      <c r="M1165" s="211"/>
      <c r="BF1165" s="215">
        <v>1116</v>
      </c>
      <c r="BG1165" s="218">
        <f t="shared" si="106"/>
        <v>46820921428.362801</v>
      </c>
      <c r="BH1165" s="215">
        <v>1116</v>
      </c>
      <c r="BI1165" s="219">
        <f t="shared" si="107"/>
        <v>1.12E-2</v>
      </c>
      <c r="BJ1165" s="218">
        <f t="shared" si="105"/>
        <v>524394319.99766338</v>
      </c>
      <c r="BK1165" s="217">
        <f t="shared" si="108"/>
        <v>1000</v>
      </c>
    </row>
    <row r="1166" spans="8:63" s="215" customFormat="1">
      <c r="H1166" s="211"/>
      <c r="I1166" s="211"/>
      <c r="J1166" s="211"/>
      <c r="K1166" s="211"/>
      <c r="L1166" s="211"/>
      <c r="M1166" s="211"/>
      <c r="BF1166" s="215">
        <v>1117</v>
      </c>
      <c r="BG1166" s="218">
        <f t="shared" si="106"/>
        <v>47345316748.360466</v>
      </c>
      <c r="BH1166" s="215">
        <v>1117</v>
      </c>
      <c r="BI1166" s="219">
        <f t="shared" si="107"/>
        <v>1.12E-2</v>
      </c>
      <c r="BJ1166" s="218">
        <f t="shared" si="105"/>
        <v>530267547.5816372</v>
      </c>
      <c r="BK1166" s="217">
        <f t="shared" si="108"/>
        <v>1000</v>
      </c>
    </row>
    <row r="1167" spans="8:63" s="215" customFormat="1">
      <c r="H1167" s="211"/>
      <c r="I1167" s="211"/>
      <c r="J1167" s="211"/>
      <c r="K1167" s="211"/>
      <c r="L1167" s="211"/>
      <c r="M1167" s="211"/>
      <c r="BF1167" s="215">
        <v>1118</v>
      </c>
      <c r="BG1167" s="218">
        <f t="shared" si="106"/>
        <v>47875585295.942101</v>
      </c>
      <c r="BH1167" s="215">
        <v>1118</v>
      </c>
      <c r="BI1167" s="219">
        <f t="shared" si="107"/>
        <v>1.12E-2</v>
      </c>
      <c r="BJ1167" s="218">
        <f t="shared" si="105"/>
        <v>536206555.31455153</v>
      </c>
      <c r="BK1167" s="217">
        <f t="shared" si="108"/>
        <v>1000</v>
      </c>
    </row>
    <row r="1168" spans="8:63" s="215" customFormat="1">
      <c r="H1168" s="211"/>
      <c r="I1168" s="211"/>
      <c r="J1168" s="211"/>
      <c r="K1168" s="211"/>
      <c r="L1168" s="211"/>
      <c r="M1168" s="211"/>
      <c r="BF1168" s="215">
        <v>1119</v>
      </c>
      <c r="BG1168" s="218">
        <f t="shared" si="106"/>
        <v>48411792851.256653</v>
      </c>
      <c r="BH1168" s="215">
        <v>1119</v>
      </c>
      <c r="BI1168" s="219">
        <f t="shared" si="107"/>
        <v>1.12E-2</v>
      </c>
      <c r="BJ1168" s="218">
        <f t="shared" si="105"/>
        <v>542212079.93407452</v>
      </c>
      <c r="BK1168" s="217">
        <f t="shared" si="108"/>
        <v>1000</v>
      </c>
    </row>
    <row r="1169" spans="8:63" s="215" customFormat="1">
      <c r="H1169" s="211"/>
      <c r="I1169" s="211"/>
      <c r="J1169" s="211"/>
      <c r="K1169" s="211"/>
      <c r="L1169" s="211"/>
      <c r="M1169" s="211"/>
      <c r="BF1169" s="215">
        <v>1120</v>
      </c>
      <c r="BG1169" s="218">
        <f t="shared" si="106"/>
        <v>48954005931.190727</v>
      </c>
      <c r="BH1169" s="215">
        <v>1120</v>
      </c>
      <c r="BI1169" s="219">
        <f t="shared" si="107"/>
        <v>1.12E-2</v>
      </c>
      <c r="BJ1169" s="218">
        <f t="shared" si="105"/>
        <v>548284866.42933619</v>
      </c>
      <c r="BK1169" s="217">
        <f t="shared" si="108"/>
        <v>1000</v>
      </c>
    </row>
    <row r="1170" spans="8:63" s="215" customFormat="1">
      <c r="H1170" s="211"/>
      <c r="I1170" s="211"/>
      <c r="J1170" s="211"/>
      <c r="K1170" s="211"/>
      <c r="L1170" s="211"/>
      <c r="M1170" s="211"/>
      <c r="BF1170" s="215">
        <v>1121</v>
      </c>
      <c r="BG1170" s="218">
        <f t="shared" si="106"/>
        <v>49502291797.620064</v>
      </c>
      <c r="BH1170" s="215">
        <v>1121</v>
      </c>
      <c r="BI1170" s="219">
        <f t="shared" si="107"/>
        <v>1.12E-2</v>
      </c>
      <c r="BJ1170" s="218">
        <f t="shared" si="105"/>
        <v>554425668.13334465</v>
      </c>
      <c r="BK1170" s="217">
        <f t="shared" si="108"/>
        <v>1000</v>
      </c>
    </row>
    <row r="1171" spans="8:63" s="215" customFormat="1">
      <c r="H1171" s="211"/>
      <c r="I1171" s="211"/>
      <c r="J1171" s="211"/>
      <c r="K1171" s="211"/>
      <c r="L1171" s="211"/>
      <c r="M1171" s="211"/>
      <c r="BF1171" s="215">
        <v>1122</v>
      </c>
      <c r="BG1171" s="218">
        <f t="shared" si="106"/>
        <v>50056718465.75341</v>
      </c>
      <c r="BH1171" s="215">
        <v>1122</v>
      </c>
      <c r="BI1171" s="219">
        <f t="shared" si="107"/>
        <v>1.12E-2</v>
      </c>
      <c r="BJ1171" s="218">
        <f t="shared" si="105"/>
        <v>560635246.8164382</v>
      </c>
      <c r="BK1171" s="217">
        <f t="shared" si="108"/>
        <v>1000</v>
      </c>
    </row>
    <row r="1172" spans="8:63" s="215" customFormat="1">
      <c r="H1172" s="211"/>
      <c r="I1172" s="211"/>
      <c r="J1172" s="211"/>
      <c r="K1172" s="211"/>
      <c r="L1172" s="211"/>
      <c r="M1172" s="211"/>
      <c r="BF1172" s="215">
        <v>1123</v>
      </c>
      <c r="BG1172" s="218">
        <f t="shared" si="106"/>
        <v>50617354712.569847</v>
      </c>
      <c r="BH1172" s="215">
        <v>1123</v>
      </c>
      <c r="BI1172" s="219">
        <f t="shared" si="107"/>
        <v>1.12E-2</v>
      </c>
      <c r="BJ1172" s="218">
        <f t="shared" si="105"/>
        <v>566914372.78078222</v>
      </c>
      <c r="BK1172" s="217">
        <f t="shared" si="108"/>
        <v>1000</v>
      </c>
    </row>
    <row r="1173" spans="8:63" s="215" customFormat="1">
      <c r="H1173" s="211"/>
      <c r="I1173" s="211"/>
      <c r="J1173" s="211"/>
      <c r="K1173" s="211"/>
      <c r="L1173" s="211"/>
      <c r="M1173" s="211"/>
      <c r="BF1173" s="215">
        <v>1124</v>
      </c>
      <c r="BG1173" s="218">
        <f t="shared" si="106"/>
        <v>51184270085.350632</v>
      </c>
      <c r="BH1173" s="215">
        <v>1124</v>
      </c>
      <c r="BI1173" s="219">
        <f t="shared" si="107"/>
        <v>1.12E-2</v>
      </c>
      <c r="BJ1173" s="218">
        <f t="shared" si="105"/>
        <v>573263824.95592701</v>
      </c>
      <c r="BK1173" s="217">
        <f t="shared" si="108"/>
        <v>1000</v>
      </c>
    </row>
    <row r="1174" spans="8:63" s="215" customFormat="1">
      <c r="H1174" s="211"/>
      <c r="I1174" s="211"/>
      <c r="J1174" s="211"/>
      <c r="K1174" s="211"/>
      <c r="L1174" s="211"/>
      <c r="M1174" s="211"/>
      <c r="BF1174" s="215">
        <v>1125</v>
      </c>
      <c r="BG1174" s="218">
        <f t="shared" si="106"/>
        <v>51757534910.306557</v>
      </c>
      <c r="BH1174" s="215">
        <v>1125</v>
      </c>
      <c r="BI1174" s="219">
        <f t="shared" si="107"/>
        <v>1.12E-2</v>
      </c>
      <c r="BJ1174" s="218">
        <f t="shared" si="105"/>
        <v>579684390.99543345</v>
      </c>
      <c r="BK1174" s="217">
        <f t="shared" si="108"/>
        <v>1000</v>
      </c>
    </row>
    <row r="1175" spans="8:63" s="215" customFormat="1">
      <c r="H1175" s="211"/>
      <c r="I1175" s="211"/>
      <c r="J1175" s="211"/>
      <c r="K1175" s="211"/>
      <c r="L1175" s="211"/>
      <c r="M1175" s="211"/>
      <c r="BF1175" s="215">
        <v>1126</v>
      </c>
      <c r="BG1175" s="218">
        <f t="shared" si="106"/>
        <v>52337220301.301987</v>
      </c>
      <c r="BH1175" s="215">
        <v>1126</v>
      </c>
      <c r="BI1175" s="219">
        <f t="shared" si="107"/>
        <v>1.12E-2</v>
      </c>
      <c r="BJ1175" s="218">
        <f t="shared" si="105"/>
        <v>586176867.37458229</v>
      </c>
      <c r="BK1175" s="217">
        <f t="shared" si="108"/>
        <v>1000</v>
      </c>
    </row>
    <row r="1176" spans="8:63" s="215" customFormat="1">
      <c r="H1176" s="211"/>
      <c r="I1176" s="211"/>
      <c r="J1176" s="211"/>
      <c r="K1176" s="211"/>
      <c r="L1176" s="211"/>
      <c r="M1176" s="211"/>
      <c r="BF1176" s="215">
        <v>1127</v>
      </c>
      <c r="BG1176" s="218">
        <f t="shared" si="106"/>
        <v>52923398168.676567</v>
      </c>
      <c r="BH1176" s="215">
        <v>1127</v>
      </c>
      <c r="BI1176" s="219">
        <f t="shared" si="107"/>
        <v>1.12E-2</v>
      </c>
      <c r="BJ1176" s="218">
        <f t="shared" si="105"/>
        <v>592742059.48917758</v>
      </c>
      <c r="BK1176" s="217">
        <f t="shared" si="108"/>
        <v>1000</v>
      </c>
    </row>
    <row r="1177" spans="8:63" s="215" customFormat="1">
      <c r="H1177" s="211"/>
      <c r="I1177" s="211"/>
      <c r="J1177" s="211"/>
      <c r="K1177" s="211"/>
      <c r="L1177" s="211"/>
      <c r="M1177" s="211"/>
      <c r="BF1177" s="215">
        <v>1128</v>
      </c>
      <c r="BG1177" s="218">
        <f t="shared" si="106"/>
        <v>53516141228.165741</v>
      </c>
      <c r="BH1177" s="215">
        <v>1128</v>
      </c>
      <c r="BI1177" s="219">
        <f t="shared" si="107"/>
        <v>1.12E-2</v>
      </c>
      <c r="BJ1177" s="218">
        <f t="shared" si="105"/>
        <v>599380781.75545633</v>
      </c>
      <c r="BK1177" s="217">
        <f t="shared" si="108"/>
        <v>1000</v>
      </c>
    </row>
    <row r="1178" spans="8:63" s="215" customFormat="1">
      <c r="H1178" s="211"/>
      <c r="I1178" s="211"/>
      <c r="J1178" s="211"/>
      <c r="K1178" s="211"/>
      <c r="L1178" s="211"/>
      <c r="M1178" s="211"/>
      <c r="BF1178" s="215">
        <v>1129</v>
      </c>
      <c r="BG1178" s="218">
        <f t="shared" si="106"/>
        <v>54115523009.921196</v>
      </c>
      <c r="BH1178" s="215">
        <v>1129</v>
      </c>
      <c r="BI1178" s="219">
        <f t="shared" si="107"/>
        <v>1.12E-2</v>
      </c>
      <c r="BJ1178" s="218">
        <f t="shared" si="105"/>
        <v>606093857.71111739</v>
      </c>
      <c r="BK1178" s="217">
        <f t="shared" si="108"/>
        <v>1000</v>
      </c>
    </row>
    <row r="1179" spans="8:63" s="215" customFormat="1">
      <c r="H1179" s="211"/>
      <c r="I1179" s="211"/>
      <c r="J1179" s="211"/>
      <c r="K1179" s="211"/>
      <c r="L1179" s="211"/>
      <c r="M1179" s="211"/>
      <c r="BF1179" s="215">
        <v>1130</v>
      </c>
      <c r="BG1179" s="218">
        <f t="shared" si="106"/>
        <v>54721617867.632317</v>
      </c>
      <c r="BH1179" s="215">
        <v>1130</v>
      </c>
      <c r="BI1179" s="219">
        <f t="shared" si="107"/>
        <v>1.12E-2</v>
      </c>
      <c r="BJ1179" s="218">
        <f t="shared" si="105"/>
        <v>612882120.11748195</v>
      </c>
      <c r="BK1179" s="217">
        <f t="shared" si="108"/>
        <v>1000</v>
      </c>
    </row>
    <row r="1180" spans="8:63" s="215" customFormat="1">
      <c r="H1180" s="211"/>
      <c r="I1180" s="211"/>
      <c r="J1180" s="211"/>
      <c r="K1180" s="211"/>
      <c r="L1180" s="211"/>
      <c r="M1180" s="211"/>
      <c r="BF1180" s="215">
        <v>1131</v>
      </c>
      <c r="BG1180" s="218">
        <f t="shared" si="106"/>
        <v>55334500987.749802</v>
      </c>
      <c r="BH1180" s="215">
        <v>1131</v>
      </c>
      <c r="BI1180" s="219">
        <f t="shared" si="107"/>
        <v>1.12E-2</v>
      </c>
      <c r="BJ1180" s="218">
        <f t="shared" si="105"/>
        <v>619746411.06279778</v>
      </c>
      <c r="BK1180" s="217">
        <f t="shared" si="108"/>
        <v>1000</v>
      </c>
    </row>
    <row r="1181" spans="8:63" s="215" customFormat="1">
      <c r="H1181" s="211"/>
      <c r="I1181" s="211"/>
      <c r="J1181" s="211"/>
      <c r="K1181" s="211"/>
      <c r="L1181" s="211"/>
      <c r="M1181" s="211"/>
      <c r="BF1181" s="215">
        <v>1132</v>
      </c>
      <c r="BG1181" s="218">
        <f t="shared" si="106"/>
        <v>55954248398.812599</v>
      </c>
      <c r="BH1181" s="215">
        <v>1132</v>
      </c>
      <c r="BI1181" s="219">
        <f t="shared" si="107"/>
        <v>1.12E-2</v>
      </c>
      <c r="BJ1181" s="218">
        <f t="shared" si="105"/>
        <v>626687582.06670105</v>
      </c>
      <c r="BK1181" s="217">
        <f t="shared" si="108"/>
        <v>1000</v>
      </c>
    </row>
    <row r="1182" spans="8:63" s="215" customFormat="1">
      <c r="H1182" s="211"/>
      <c r="I1182" s="211"/>
      <c r="J1182" s="211"/>
      <c r="K1182" s="211"/>
      <c r="L1182" s="211"/>
      <c r="M1182" s="211"/>
      <c r="BF1182" s="215">
        <v>1133</v>
      </c>
      <c r="BG1182" s="218">
        <f t="shared" si="106"/>
        <v>56580936980.879303</v>
      </c>
      <c r="BH1182" s="215">
        <v>1133</v>
      </c>
      <c r="BI1182" s="219">
        <f t="shared" si="107"/>
        <v>1.12E-2</v>
      </c>
      <c r="BJ1182" s="218">
        <f t="shared" si="105"/>
        <v>633706494.18584824</v>
      </c>
      <c r="BK1182" s="217">
        <f t="shared" si="108"/>
        <v>1000</v>
      </c>
    </row>
    <row r="1183" spans="8:63" s="215" customFormat="1">
      <c r="H1183" s="211"/>
      <c r="I1183" s="211"/>
      <c r="J1183" s="211"/>
      <c r="K1183" s="211"/>
      <c r="L1183" s="211"/>
      <c r="M1183" s="211"/>
      <c r="BF1183" s="215">
        <v>1134</v>
      </c>
      <c r="BG1183" s="218">
        <f t="shared" si="106"/>
        <v>57214644475.065155</v>
      </c>
      <c r="BH1183" s="215">
        <v>1134</v>
      </c>
      <c r="BI1183" s="219">
        <f t="shared" si="107"/>
        <v>1.12E-2</v>
      </c>
      <c r="BJ1183" s="218">
        <f t="shared" si="105"/>
        <v>640804018.12072968</v>
      </c>
      <c r="BK1183" s="217">
        <f t="shared" si="108"/>
        <v>1000</v>
      </c>
    </row>
    <row r="1184" spans="8:63" s="215" customFormat="1">
      <c r="H1184" s="211"/>
      <c r="I1184" s="211"/>
      <c r="J1184" s="211"/>
      <c r="K1184" s="211"/>
      <c r="L1184" s="211"/>
      <c r="M1184" s="211"/>
      <c r="BF1184" s="215">
        <v>1135</v>
      </c>
      <c r="BG1184" s="218">
        <f t="shared" si="106"/>
        <v>57855449493.185883</v>
      </c>
      <c r="BH1184" s="215">
        <v>1135</v>
      </c>
      <c r="BI1184" s="219">
        <f t="shared" si="107"/>
        <v>1.12E-2</v>
      </c>
      <c r="BJ1184" s="218">
        <f t="shared" si="105"/>
        <v>647981034.32368183</v>
      </c>
      <c r="BK1184" s="217">
        <f t="shared" si="108"/>
        <v>1000</v>
      </c>
    </row>
    <row r="1185" spans="8:63" s="215" customFormat="1">
      <c r="H1185" s="211"/>
      <c r="I1185" s="211"/>
      <c r="J1185" s="211"/>
      <c r="K1185" s="211"/>
      <c r="L1185" s="211"/>
      <c r="M1185" s="211"/>
      <c r="BF1185" s="215">
        <v>1136</v>
      </c>
      <c r="BG1185" s="218">
        <f t="shared" si="106"/>
        <v>58503431527.509567</v>
      </c>
      <c r="BH1185" s="215">
        <v>1136</v>
      </c>
      <c r="BI1185" s="219">
        <f t="shared" si="107"/>
        <v>1.12E-2</v>
      </c>
      <c r="BJ1185" s="218">
        <f t="shared" si="105"/>
        <v>655238433.10810709</v>
      </c>
      <c r="BK1185" s="217">
        <f t="shared" si="108"/>
        <v>1000</v>
      </c>
    </row>
    <row r="1186" spans="8:63" s="215" customFormat="1">
      <c r="H1186" s="211"/>
      <c r="I1186" s="211"/>
      <c r="J1186" s="211"/>
      <c r="K1186" s="211"/>
      <c r="L1186" s="211"/>
      <c r="M1186" s="211"/>
      <c r="BF1186" s="215">
        <v>1137</v>
      </c>
      <c r="BG1186" s="218">
        <f t="shared" si="106"/>
        <v>59158670960.617676</v>
      </c>
      <c r="BH1186" s="215">
        <v>1137</v>
      </c>
      <c r="BI1186" s="219">
        <f t="shared" si="107"/>
        <v>1.12E-2</v>
      </c>
      <c r="BJ1186" s="218">
        <f t="shared" si="105"/>
        <v>662577114.75891793</v>
      </c>
      <c r="BK1186" s="217">
        <f t="shared" si="108"/>
        <v>1000</v>
      </c>
    </row>
    <row r="1187" spans="8:63" s="215" customFormat="1">
      <c r="H1187" s="211"/>
      <c r="I1187" s="211"/>
      <c r="J1187" s="211"/>
      <c r="K1187" s="211"/>
      <c r="L1187" s="211"/>
      <c r="M1187" s="211"/>
      <c r="BF1187" s="215">
        <v>1138</v>
      </c>
      <c r="BG1187" s="218">
        <f t="shared" si="106"/>
        <v>59821249075.376595</v>
      </c>
      <c r="BH1187" s="215">
        <v>1138</v>
      </c>
      <c r="BI1187" s="219">
        <f t="shared" si="107"/>
        <v>1.12E-2</v>
      </c>
      <c r="BJ1187" s="218">
        <f t="shared" si="105"/>
        <v>669997989.64421785</v>
      </c>
      <c r="BK1187" s="217">
        <f t="shared" si="108"/>
        <v>1000</v>
      </c>
    </row>
    <row r="1188" spans="8:63" s="215" customFormat="1">
      <c r="H1188" s="211"/>
      <c r="I1188" s="211"/>
      <c r="J1188" s="211"/>
      <c r="K1188" s="211"/>
      <c r="L1188" s="211"/>
      <c r="M1188" s="211"/>
      <c r="BF1188" s="215">
        <v>1139</v>
      </c>
      <c r="BG1188" s="218">
        <f t="shared" si="106"/>
        <v>60491248065.020813</v>
      </c>
      <c r="BH1188" s="215">
        <v>1139</v>
      </c>
      <c r="BI1188" s="219">
        <f t="shared" si="107"/>
        <v>1.12E-2</v>
      </c>
      <c r="BJ1188" s="218">
        <f t="shared" si="105"/>
        <v>677501978.32823312</v>
      </c>
      <c r="BK1188" s="217">
        <f t="shared" si="108"/>
        <v>1000</v>
      </c>
    </row>
    <row r="1189" spans="8:63" s="215" customFormat="1">
      <c r="H1189" s="211"/>
      <c r="I1189" s="211"/>
      <c r="J1189" s="211"/>
      <c r="K1189" s="211"/>
      <c r="L1189" s="211"/>
      <c r="M1189" s="211"/>
      <c r="BF1189" s="215">
        <v>1140</v>
      </c>
      <c r="BG1189" s="218">
        <f t="shared" si="106"/>
        <v>61168751043.349045</v>
      </c>
      <c r="BH1189" s="215">
        <v>1140</v>
      </c>
      <c r="BI1189" s="219">
        <f t="shared" si="107"/>
        <v>1.12E-2</v>
      </c>
      <c r="BJ1189" s="218">
        <f t="shared" si="105"/>
        <v>685090011.68550932</v>
      </c>
      <c r="BK1189" s="217">
        <f t="shared" si="108"/>
        <v>1000</v>
      </c>
    </row>
    <row r="1190" spans="8:63" s="215" customFormat="1">
      <c r="H1190" s="211"/>
      <c r="I1190" s="211"/>
      <c r="J1190" s="211"/>
      <c r="K1190" s="211"/>
      <c r="L1190" s="211"/>
      <c r="M1190" s="211"/>
      <c r="BF1190" s="215">
        <v>1141</v>
      </c>
      <c r="BG1190" s="218">
        <f t="shared" si="106"/>
        <v>61853842055.034554</v>
      </c>
      <c r="BH1190" s="215">
        <v>1141</v>
      </c>
      <c r="BI1190" s="219">
        <f t="shared" si="107"/>
        <v>1.12E-2</v>
      </c>
      <c r="BJ1190" s="218">
        <f t="shared" si="105"/>
        <v>692763031.01638699</v>
      </c>
      <c r="BK1190" s="217">
        <f t="shared" si="108"/>
        <v>1000</v>
      </c>
    </row>
    <row r="1191" spans="8:63" s="215" customFormat="1">
      <c r="H1191" s="211"/>
      <c r="I1191" s="211"/>
      <c r="J1191" s="211"/>
      <c r="K1191" s="211"/>
      <c r="L1191" s="211"/>
      <c r="M1191" s="211"/>
      <c r="BF1191" s="215">
        <v>1142</v>
      </c>
      <c r="BG1191" s="218">
        <f t="shared" si="106"/>
        <v>62546606086.050941</v>
      </c>
      <c r="BH1191" s="215">
        <v>1142</v>
      </c>
      <c r="BI1191" s="219">
        <f t="shared" si="107"/>
        <v>1.12E-2</v>
      </c>
      <c r="BJ1191" s="218">
        <f t="shared" si="105"/>
        <v>700521988.16377056</v>
      </c>
      <c r="BK1191" s="217">
        <f t="shared" si="108"/>
        <v>1000</v>
      </c>
    </row>
    <row r="1192" spans="8:63" s="215" customFormat="1">
      <c r="H1192" s="211"/>
      <c r="I1192" s="211"/>
      <c r="J1192" s="211"/>
      <c r="K1192" s="211"/>
      <c r="L1192" s="211"/>
      <c r="M1192" s="211"/>
      <c r="BF1192" s="215">
        <v>1143</v>
      </c>
      <c r="BG1192" s="218">
        <f t="shared" si="106"/>
        <v>63247129074.214714</v>
      </c>
      <c r="BH1192" s="215">
        <v>1143</v>
      </c>
      <c r="BI1192" s="219">
        <f t="shared" si="107"/>
        <v>1.12E-2</v>
      </c>
      <c r="BJ1192" s="218">
        <f t="shared" si="105"/>
        <v>708367845.63120484</v>
      </c>
      <c r="BK1192" s="217">
        <f t="shared" si="108"/>
        <v>1000</v>
      </c>
    </row>
    <row r="1193" spans="8:63" s="215" customFormat="1">
      <c r="H1193" s="211"/>
      <c r="I1193" s="211"/>
      <c r="J1193" s="211"/>
      <c r="K1193" s="211"/>
      <c r="L1193" s="211"/>
      <c r="M1193" s="211"/>
      <c r="BF1193" s="215">
        <v>1144</v>
      </c>
      <c r="BG1193" s="218">
        <f t="shared" si="106"/>
        <v>63955497919.845917</v>
      </c>
      <c r="BH1193" s="215">
        <v>1144</v>
      </c>
      <c r="BI1193" s="219">
        <f t="shared" si="107"/>
        <v>1.12E-2</v>
      </c>
      <c r="BJ1193" s="218">
        <f t="shared" si="105"/>
        <v>716301576.7022742</v>
      </c>
      <c r="BK1193" s="217">
        <f t="shared" si="108"/>
        <v>1000</v>
      </c>
    </row>
    <row r="1194" spans="8:63" s="215" customFormat="1">
      <c r="H1194" s="211"/>
      <c r="I1194" s="211"/>
      <c r="J1194" s="211"/>
      <c r="K1194" s="211"/>
      <c r="L1194" s="211"/>
      <c r="M1194" s="211"/>
      <c r="BF1194" s="215">
        <v>1145</v>
      </c>
      <c r="BG1194" s="218">
        <f t="shared" si="106"/>
        <v>64671800496.548187</v>
      </c>
      <c r="BH1194" s="215">
        <v>1145</v>
      </c>
      <c r="BI1194" s="219">
        <f t="shared" si="107"/>
        <v>1.12E-2</v>
      </c>
      <c r="BJ1194" s="218">
        <f t="shared" si="105"/>
        <v>724324165.56133974</v>
      </c>
      <c r="BK1194" s="217">
        <f t="shared" si="108"/>
        <v>1000</v>
      </c>
    </row>
    <row r="1195" spans="8:63" s="215" customFormat="1">
      <c r="H1195" s="211"/>
      <c r="I1195" s="211"/>
      <c r="J1195" s="211"/>
      <c r="K1195" s="211"/>
      <c r="L1195" s="211"/>
      <c r="M1195" s="211"/>
      <c r="BF1195" s="215">
        <v>1146</v>
      </c>
      <c r="BG1195" s="218">
        <f t="shared" si="106"/>
        <v>65396125662.109528</v>
      </c>
      <c r="BH1195" s="215">
        <v>1146</v>
      </c>
      <c r="BI1195" s="219">
        <f t="shared" si="107"/>
        <v>1.12E-2</v>
      </c>
      <c r="BJ1195" s="218">
        <f t="shared" si="105"/>
        <v>732436607.41562665</v>
      </c>
      <c r="BK1195" s="217">
        <f t="shared" si="108"/>
        <v>1000</v>
      </c>
    </row>
    <row r="1196" spans="8:63" s="215" customFormat="1">
      <c r="H1196" s="211"/>
      <c r="I1196" s="211"/>
      <c r="J1196" s="211"/>
      <c r="K1196" s="211"/>
      <c r="L1196" s="211"/>
      <c r="M1196" s="211"/>
      <c r="BF1196" s="215">
        <v>1147</v>
      </c>
      <c r="BG1196" s="218">
        <f t="shared" si="106"/>
        <v>66128563269.525154</v>
      </c>
      <c r="BH1196" s="215">
        <v>1147</v>
      </c>
      <c r="BI1196" s="219">
        <f t="shared" si="107"/>
        <v>1.12E-2</v>
      </c>
      <c r="BJ1196" s="218">
        <f t="shared" si="105"/>
        <v>740639908.61868167</v>
      </c>
      <c r="BK1196" s="217">
        <f t="shared" si="108"/>
        <v>1000</v>
      </c>
    </row>
    <row r="1197" spans="8:63" s="215" customFormat="1">
      <c r="H1197" s="211"/>
      <c r="I1197" s="211"/>
      <c r="J1197" s="211"/>
      <c r="K1197" s="211"/>
      <c r="L1197" s="211"/>
      <c r="M1197" s="211"/>
      <c r="BF1197" s="215">
        <v>1148</v>
      </c>
      <c r="BG1197" s="218">
        <f t="shared" si="106"/>
        <v>66869204178.143837</v>
      </c>
      <c r="BH1197" s="215">
        <v>1148</v>
      </c>
      <c r="BI1197" s="219">
        <f t="shared" si="107"/>
        <v>1.12E-2</v>
      </c>
      <c r="BJ1197" s="218">
        <f t="shared" si="105"/>
        <v>748935086.79521096</v>
      </c>
      <c r="BK1197" s="217">
        <f t="shared" si="108"/>
        <v>1000</v>
      </c>
    </row>
    <row r="1198" spans="8:63" s="215" customFormat="1">
      <c r="H1198" s="211"/>
      <c r="I1198" s="211"/>
      <c r="J1198" s="211"/>
      <c r="K1198" s="211"/>
      <c r="L1198" s="211"/>
      <c r="M1198" s="211"/>
      <c r="BF1198" s="215">
        <v>1149</v>
      </c>
      <c r="BG1198" s="218">
        <f t="shared" si="106"/>
        <v>67618140264.939049</v>
      </c>
      <c r="BH1198" s="215">
        <v>1149</v>
      </c>
      <c r="BI1198" s="219">
        <f t="shared" si="107"/>
        <v>1.12E-2</v>
      </c>
      <c r="BJ1198" s="218">
        <f t="shared" si="105"/>
        <v>757323170.96731734</v>
      </c>
      <c r="BK1198" s="217">
        <f t="shared" si="108"/>
        <v>1000</v>
      </c>
    </row>
    <row r="1199" spans="8:63" s="215" customFormat="1">
      <c r="H1199" s="211"/>
      <c r="I1199" s="211"/>
      <c r="J1199" s="211"/>
      <c r="K1199" s="211"/>
      <c r="L1199" s="211"/>
      <c r="M1199" s="211"/>
      <c r="BF1199" s="215">
        <v>1150</v>
      </c>
      <c r="BG1199" s="218">
        <f t="shared" si="106"/>
        <v>68375464435.906364</v>
      </c>
      <c r="BH1199" s="215">
        <v>1150</v>
      </c>
      <c r="BI1199" s="219">
        <f t="shared" si="107"/>
        <v>1.12E-2</v>
      </c>
      <c r="BJ1199" s="218">
        <f t="shared" si="105"/>
        <v>765805201.68215132</v>
      </c>
      <c r="BK1199" s="217">
        <f t="shared" si="108"/>
        <v>1000</v>
      </c>
    </row>
    <row r="1200" spans="8:63" s="215" customFormat="1">
      <c r="H1200" s="211"/>
      <c r="I1200" s="211"/>
      <c r="J1200" s="211"/>
      <c r="K1200" s="211"/>
      <c r="L1200" s="211"/>
      <c r="M1200" s="211"/>
      <c r="BF1200" s="215">
        <v>1151</v>
      </c>
      <c r="BG1200" s="218">
        <f t="shared" si="106"/>
        <v>69141270637.588516</v>
      </c>
      <c r="BH1200" s="215">
        <v>1151</v>
      </c>
      <c r="BI1200" s="219">
        <f t="shared" si="107"/>
        <v>1.12E-2</v>
      </c>
      <c r="BJ1200" s="218">
        <f t="shared" si="105"/>
        <v>774382231.14099133</v>
      </c>
      <c r="BK1200" s="217">
        <f t="shared" si="108"/>
        <v>1000</v>
      </c>
    </row>
    <row r="1201" spans="8:63" s="215" customFormat="1">
      <c r="H1201" s="211"/>
      <c r="I1201" s="211"/>
      <c r="J1201" s="211"/>
      <c r="K1201" s="211"/>
      <c r="L1201" s="211"/>
      <c r="M1201" s="211"/>
      <c r="BF1201" s="215">
        <v>1152</v>
      </c>
      <c r="BG1201" s="218">
        <f t="shared" si="106"/>
        <v>69915653868.729507</v>
      </c>
      <c r="BH1201" s="215">
        <v>1152</v>
      </c>
      <c r="BI1201" s="219">
        <f t="shared" si="107"/>
        <v>1.12E-2</v>
      </c>
      <c r="BJ1201" s="218">
        <f t="shared" si="105"/>
        <v>783055323.32977045</v>
      </c>
      <c r="BK1201" s="217">
        <f t="shared" si="108"/>
        <v>1000</v>
      </c>
    </row>
    <row r="1202" spans="8:63" s="215" customFormat="1">
      <c r="H1202" s="211"/>
      <c r="I1202" s="211"/>
      <c r="J1202" s="211"/>
      <c r="K1202" s="211"/>
      <c r="L1202" s="211"/>
      <c r="M1202" s="211"/>
      <c r="BF1202" s="215">
        <v>1153</v>
      </c>
      <c r="BG1202" s="218">
        <f t="shared" si="106"/>
        <v>70698710192.05928</v>
      </c>
      <c r="BH1202" s="215">
        <v>1153</v>
      </c>
      <c r="BI1202" s="219">
        <f t="shared" si="107"/>
        <v>1.12E-2</v>
      </c>
      <c r="BJ1202" s="218">
        <f t="shared" ref="BJ1202:BJ1249" si="109">BG1202*BI1202</f>
        <v>791825554.15106392</v>
      </c>
      <c r="BK1202" s="217">
        <f t="shared" si="108"/>
        <v>1000</v>
      </c>
    </row>
    <row r="1203" spans="8:63" s="215" customFormat="1">
      <c r="H1203" s="211"/>
      <c r="I1203" s="211"/>
      <c r="J1203" s="211"/>
      <c r="K1203" s="211"/>
      <c r="L1203" s="211"/>
      <c r="M1203" s="211"/>
      <c r="BF1203" s="215">
        <v>1154</v>
      </c>
      <c r="BG1203" s="218">
        <f t="shared" ref="BG1203:BG1249" si="110">BG1202+BJ1202+BK1203</f>
        <v>71490536746.210342</v>
      </c>
      <c r="BH1203" s="215">
        <v>1154</v>
      </c>
      <c r="BI1203" s="219">
        <f t="shared" ref="BI1203:BI1249" si="111">BI1202</f>
        <v>1.12E-2</v>
      </c>
      <c r="BJ1203" s="218">
        <f t="shared" si="109"/>
        <v>800694011.55755579</v>
      </c>
      <c r="BK1203" s="217">
        <f t="shared" ref="BK1203:BK1249" si="112">BK1202</f>
        <v>1000</v>
      </c>
    </row>
    <row r="1204" spans="8:63" s="215" customFormat="1">
      <c r="H1204" s="211"/>
      <c r="I1204" s="211"/>
      <c r="J1204" s="211"/>
      <c r="K1204" s="211"/>
      <c r="L1204" s="211"/>
      <c r="M1204" s="211"/>
      <c r="BF1204" s="215">
        <v>1155</v>
      </c>
      <c r="BG1204" s="218">
        <f t="shared" si="110"/>
        <v>72291231757.767899</v>
      </c>
      <c r="BH1204" s="215">
        <v>1155</v>
      </c>
      <c r="BI1204" s="219">
        <f t="shared" si="111"/>
        <v>1.12E-2</v>
      </c>
      <c r="BJ1204" s="218">
        <f t="shared" si="109"/>
        <v>809661795.68700051</v>
      </c>
      <c r="BK1204" s="217">
        <f t="shared" si="112"/>
        <v>1000</v>
      </c>
    </row>
    <row r="1205" spans="8:63" s="215" customFormat="1">
      <c r="H1205" s="211"/>
      <c r="I1205" s="211"/>
      <c r="J1205" s="211"/>
      <c r="K1205" s="211"/>
      <c r="L1205" s="211"/>
      <c r="M1205" s="211"/>
      <c r="BF1205" s="215">
        <v>1156</v>
      </c>
      <c r="BG1205" s="218">
        <f t="shared" si="110"/>
        <v>73100894553.454895</v>
      </c>
      <c r="BH1205" s="215">
        <v>1156</v>
      </c>
      <c r="BI1205" s="219">
        <f t="shared" si="111"/>
        <v>1.12E-2</v>
      </c>
      <c r="BJ1205" s="218">
        <f t="shared" si="109"/>
        <v>818730018.99869478</v>
      </c>
      <c r="BK1205" s="217">
        <f t="shared" si="112"/>
        <v>1000</v>
      </c>
    </row>
    <row r="1206" spans="8:63" s="215" customFormat="1">
      <c r="H1206" s="211"/>
      <c r="I1206" s="211"/>
      <c r="J1206" s="211"/>
      <c r="K1206" s="211"/>
      <c r="L1206" s="211"/>
      <c r="M1206" s="211"/>
      <c r="BF1206" s="215">
        <v>1157</v>
      </c>
      <c r="BG1206" s="218">
        <f t="shared" si="110"/>
        <v>73919625572.453583</v>
      </c>
      <c r="BH1206" s="215">
        <v>1157</v>
      </c>
      <c r="BI1206" s="219">
        <f t="shared" si="111"/>
        <v>1.12E-2</v>
      </c>
      <c r="BJ1206" s="218">
        <f t="shared" si="109"/>
        <v>827899806.41148007</v>
      </c>
      <c r="BK1206" s="217">
        <f t="shared" si="112"/>
        <v>1000</v>
      </c>
    </row>
    <row r="1207" spans="8:63" s="215" customFormat="1">
      <c r="H1207" s="211"/>
      <c r="I1207" s="211"/>
      <c r="J1207" s="211"/>
      <c r="K1207" s="211"/>
      <c r="L1207" s="211"/>
      <c r="M1207" s="211"/>
      <c r="BF1207" s="215">
        <v>1158</v>
      </c>
      <c r="BG1207" s="218">
        <f t="shared" si="110"/>
        <v>74747526378.865067</v>
      </c>
      <c r="BH1207" s="215">
        <v>1158</v>
      </c>
      <c r="BI1207" s="219">
        <f t="shared" si="111"/>
        <v>1.12E-2</v>
      </c>
      <c r="BJ1207" s="218">
        <f t="shared" si="109"/>
        <v>837172295.44328868</v>
      </c>
      <c r="BK1207" s="217">
        <f t="shared" si="112"/>
        <v>1000</v>
      </c>
    </row>
    <row r="1208" spans="8:63" s="215" customFormat="1">
      <c r="H1208" s="211"/>
      <c r="I1208" s="211"/>
      <c r="J1208" s="211"/>
      <c r="K1208" s="211"/>
      <c r="L1208" s="211"/>
      <c r="M1208" s="211"/>
      <c r="BF1208" s="215">
        <v>1159</v>
      </c>
      <c r="BG1208" s="218">
        <f t="shared" si="110"/>
        <v>75584699674.30835</v>
      </c>
      <c r="BH1208" s="215">
        <v>1159</v>
      </c>
      <c r="BI1208" s="219">
        <f t="shared" si="111"/>
        <v>1.12E-2</v>
      </c>
      <c r="BJ1208" s="218">
        <f t="shared" si="109"/>
        <v>846548636.35225356</v>
      </c>
      <c r="BK1208" s="217">
        <f t="shared" si="112"/>
        <v>1000</v>
      </c>
    </row>
    <row r="1209" spans="8:63" s="215" customFormat="1">
      <c r="H1209" s="211"/>
      <c r="I1209" s="211"/>
      <c r="J1209" s="211"/>
      <c r="K1209" s="211"/>
      <c r="L1209" s="211"/>
      <c r="M1209" s="211"/>
      <c r="BF1209" s="215">
        <v>1160</v>
      </c>
      <c r="BG1209" s="218">
        <f t="shared" si="110"/>
        <v>76431249310.660599</v>
      </c>
      <c r="BH1209" s="215">
        <v>1160</v>
      </c>
      <c r="BI1209" s="219">
        <f t="shared" si="111"/>
        <v>1.12E-2</v>
      </c>
      <c r="BJ1209" s="218">
        <f t="shared" si="109"/>
        <v>856029992.27939868</v>
      </c>
      <c r="BK1209" s="217">
        <f t="shared" si="112"/>
        <v>1000</v>
      </c>
    </row>
    <row r="1210" spans="8:63" s="215" customFormat="1">
      <c r="H1210" s="211"/>
      <c r="I1210" s="211"/>
      <c r="J1210" s="211"/>
      <c r="K1210" s="211"/>
      <c r="L1210" s="211"/>
      <c r="M1210" s="211"/>
      <c r="BF1210" s="215">
        <v>1161</v>
      </c>
      <c r="BG1210" s="218">
        <f t="shared" si="110"/>
        <v>77287280302.940002</v>
      </c>
      <c r="BH1210" s="215">
        <v>1161</v>
      </c>
      <c r="BI1210" s="219">
        <f t="shared" si="111"/>
        <v>1.12E-2</v>
      </c>
      <c r="BJ1210" s="218">
        <f t="shared" si="109"/>
        <v>865617539.392928</v>
      </c>
      <c r="BK1210" s="217">
        <f t="shared" si="112"/>
        <v>1000</v>
      </c>
    </row>
    <row r="1211" spans="8:63" s="215" customFormat="1">
      <c r="H1211" s="211"/>
      <c r="I1211" s="211"/>
      <c r="J1211" s="211"/>
      <c r="K1211" s="211"/>
      <c r="L1211" s="211"/>
      <c r="M1211" s="211"/>
      <c r="BF1211" s="215">
        <v>1162</v>
      </c>
      <c r="BG1211" s="218">
        <f t="shared" si="110"/>
        <v>78152898842.332932</v>
      </c>
      <c r="BH1211" s="215">
        <v>1162</v>
      </c>
      <c r="BI1211" s="219">
        <f t="shared" si="111"/>
        <v>1.12E-2</v>
      </c>
      <c r="BJ1211" s="218">
        <f t="shared" si="109"/>
        <v>875312467.03412879</v>
      </c>
      <c r="BK1211" s="217">
        <f t="shared" si="112"/>
        <v>1000</v>
      </c>
    </row>
    <row r="1212" spans="8:63" s="215" customFormat="1">
      <c r="H1212" s="211"/>
      <c r="I1212" s="211"/>
      <c r="J1212" s="211"/>
      <c r="K1212" s="211"/>
      <c r="L1212" s="211"/>
      <c r="M1212" s="211"/>
      <c r="BF1212" s="215">
        <v>1163</v>
      </c>
      <c r="BG1212" s="218">
        <f t="shared" si="110"/>
        <v>79028212309.367065</v>
      </c>
      <c r="BH1212" s="215">
        <v>1163</v>
      </c>
      <c r="BI1212" s="219">
        <f t="shared" si="111"/>
        <v>1.12E-2</v>
      </c>
      <c r="BJ1212" s="218">
        <f t="shared" si="109"/>
        <v>885115977.86491108</v>
      </c>
      <c r="BK1212" s="217">
        <f t="shared" si="112"/>
        <v>1000</v>
      </c>
    </row>
    <row r="1213" spans="8:63" s="215" customFormat="1">
      <c r="H1213" s="211"/>
      <c r="I1213" s="211"/>
      <c r="J1213" s="211"/>
      <c r="K1213" s="211"/>
      <c r="L1213" s="211"/>
      <c r="M1213" s="211"/>
      <c r="BF1213" s="215">
        <v>1164</v>
      </c>
      <c r="BG1213" s="218">
        <f t="shared" si="110"/>
        <v>79913329287.231979</v>
      </c>
      <c r="BH1213" s="215">
        <v>1164</v>
      </c>
      <c r="BI1213" s="219">
        <f t="shared" si="111"/>
        <v>1.12E-2</v>
      </c>
      <c r="BJ1213" s="218">
        <f t="shared" si="109"/>
        <v>895029288.01699817</v>
      </c>
      <c r="BK1213" s="217">
        <f t="shared" si="112"/>
        <v>1000</v>
      </c>
    </row>
    <row r="1214" spans="8:63" s="215" customFormat="1">
      <c r="H1214" s="211"/>
      <c r="I1214" s="211"/>
      <c r="J1214" s="211"/>
      <c r="K1214" s="211"/>
      <c r="L1214" s="211"/>
      <c r="M1214" s="211"/>
      <c r="BF1214" s="215">
        <v>1165</v>
      </c>
      <c r="BG1214" s="218">
        <f t="shared" si="110"/>
        <v>80808359575.248978</v>
      </c>
      <c r="BH1214" s="215">
        <v>1165</v>
      </c>
      <c r="BI1214" s="219">
        <f t="shared" si="111"/>
        <v>1.12E-2</v>
      </c>
      <c r="BJ1214" s="218">
        <f t="shared" si="109"/>
        <v>905053627.24278855</v>
      </c>
      <c r="BK1214" s="217">
        <f t="shared" si="112"/>
        <v>1000</v>
      </c>
    </row>
    <row r="1215" spans="8:63" s="215" customFormat="1">
      <c r="H1215" s="211"/>
      <c r="I1215" s="211"/>
      <c r="J1215" s="211"/>
      <c r="K1215" s="211"/>
      <c r="L1215" s="211"/>
      <c r="M1215" s="211"/>
      <c r="BF1215" s="215">
        <v>1166</v>
      </c>
      <c r="BG1215" s="218">
        <f t="shared" si="110"/>
        <v>81713414202.49176</v>
      </c>
      <c r="BH1215" s="215">
        <v>1166</v>
      </c>
      <c r="BI1215" s="219">
        <f t="shared" si="111"/>
        <v>1.12E-2</v>
      </c>
      <c r="BJ1215" s="218">
        <f t="shared" si="109"/>
        <v>915190239.06790769</v>
      </c>
      <c r="BK1215" s="217">
        <f t="shared" si="112"/>
        <v>1000</v>
      </c>
    </row>
    <row r="1216" spans="8:63" s="215" customFormat="1">
      <c r="H1216" s="211"/>
      <c r="I1216" s="211"/>
      <c r="J1216" s="211"/>
      <c r="K1216" s="211"/>
      <c r="L1216" s="211"/>
      <c r="M1216" s="211"/>
      <c r="BF1216" s="215">
        <v>1167</v>
      </c>
      <c r="BG1216" s="218">
        <f t="shared" si="110"/>
        <v>82628605441.559662</v>
      </c>
      <c r="BH1216" s="215">
        <v>1167</v>
      </c>
      <c r="BI1216" s="219">
        <f t="shared" si="111"/>
        <v>1.12E-2</v>
      </c>
      <c r="BJ1216" s="218">
        <f t="shared" si="109"/>
        <v>925440380.94546819</v>
      </c>
      <c r="BK1216" s="217">
        <f t="shared" si="112"/>
        <v>1000</v>
      </c>
    </row>
    <row r="1217" spans="8:63" s="215" customFormat="1">
      <c r="H1217" s="211"/>
      <c r="I1217" s="211"/>
      <c r="J1217" s="211"/>
      <c r="K1217" s="211"/>
      <c r="L1217" s="211"/>
      <c r="M1217" s="211"/>
      <c r="BF1217" s="215">
        <v>1168</v>
      </c>
      <c r="BG1217" s="218">
        <f t="shared" si="110"/>
        <v>83554046822.505127</v>
      </c>
      <c r="BH1217" s="215">
        <v>1168</v>
      </c>
      <c r="BI1217" s="219">
        <f t="shared" si="111"/>
        <v>1.12E-2</v>
      </c>
      <c r="BJ1217" s="218">
        <f t="shared" si="109"/>
        <v>935805324.4120574</v>
      </c>
      <c r="BK1217" s="217">
        <f t="shared" si="112"/>
        <v>1000</v>
      </c>
    </row>
    <row r="1218" spans="8:63" s="215" customFormat="1">
      <c r="H1218" s="211"/>
      <c r="I1218" s="211"/>
      <c r="J1218" s="211"/>
      <c r="K1218" s="211"/>
      <c r="L1218" s="211"/>
      <c r="M1218" s="211"/>
      <c r="BF1218" s="215">
        <v>1169</v>
      </c>
      <c r="BG1218" s="218">
        <f t="shared" si="110"/>
        <v>84489853146.917191</v>
      </c>
      <c r="BH1218" s="215">
        <v>1169</v>
      </c>
      <c r="BI1218" s="219">
        <f t="shared" si="111"/>
        <v>1.12E-2</v>
      </c>
      <c r="BJ1218" s="218">
        <f t="shared" si="109"/>
        <v>946286355.24547255</v>
      </c>
      <c r="BK1218" s="217">
        <f t="shared" si="112"/>
        <v>1000</v>
      </c>
    </row>
    <row r="1219" spans="8:63" s="215" customFormat="1">
      <c r="H1219" s="211"/>
      <c r="I1219" s="211"/>
      <c r="J1219" s="211"/>
      <c r="K1219" s="211"/>
      <c r="L1219" s="211"/>
      <c r="M1219" s="211"/>
      <c r="BF1219" s="215">
        <v>1170</v>
      </c>
      <c r="BG1219" s="218">
        <f t="shared" si="110"/>
        <v>85436140502.162659</v>
      </c>
      <c r="BH1219" s="215">
        <v>1170</v>
      </c>
      <c r="BI1219" s="219">
        <f t="shared" si="111"/>
        <v>1.12E-2</v>
      </c>
      <c r="BJ1219" s="218">
        <f t="shared" si="109"/>
        <v>956884773.6242218</v>
      </c>
      <c r="BK1219" s="217">
        <f t="shared" si="112"/>
        <v>1000</v>
      </c>
    </row>
    <row r="1220" spans="8:63" s="215" customFormat="1">
      <c r="H1220" s="211"/>
      <c r="I1220" s="211"/>
      <c r="J1220" s="211"/>
      <c r="K1220" s="211"/>
      <c r="L1220" s="211"/>
      <c r="M1220" s="211"/>
      <c r="BF1220" s="215">
        <v>1171</v>
      </c>
      <c r="BG1220" s="218">
        <f t="shared" si="110"/>
        <v>86393026275.78688</v>
      </c>
      <c r="BH1220" s="215">
        <v>1171</v>
      </c>
      <c r="BI1220" s="219">
        <f t="shared" si="111"/>
        <v>1.12E-2</v>
      </c>
      <c r="BJ1220" s="218">
        <f t="shared" si="109"/>
        <v>967601894.28881299</v>
      </c>
      <c r="BK1220" s="217">
        <f t="shared" si="112"/>
        <v>1000</v>
      </c>
    </row>
    <row r="1221" spans="8:63" s="215" customFormat="1">
      <c r="H1221" s="211"/>
      <c r="I1221" s="211"/>
      <c r="J1221" s="211"/>
      <c r="K1221" s="211"/>
      <c r="L1221" s="211"/>
      <c r="M1221" s="211"/>
      <c r="BF1221" s="215">
        <v>1172</v>
      </c>
      <c r="BG1221" s="218">
        <f t="shared" si="110"/>
        <v>87360629170.075699</v>
      </c>
      <c r="BH1221" s="215">
        <v>1172</v>
      </c>
      <c r="BI1221" s="219">
        <f t="shared" si="111"/>
        <v>1.12E-2</v>
      </c>
      <c r="BJ1221" s="218">
        <f t="shared" si="109"/>
        <v>978439046.70484781</v>
      </c>
      <c r="BK1221" s="217">
        <f t="shared" si="112"/>
        <v>1000</v>
      </c>
    </row>
    <row r="1222" spans="8:63" s="215" customFormat="1">
      <c r="H1222" s="211"/>
      <c r="I1222" s="211"/>
      <c r="J1222" s="211"/>
      <c r="K1222" s="211"/>
      <c r="L1222" s="211"/>
      <c r="M1222" s="211"/>
      <c r="BF1222" s="215">
        <v>1173</v>
      </c>
      <c r="BG1222" s="218">
        <f t="shared" si="110"/>
        <v>88339069216.780548</v>
      </c>
      <c r="BH1222" s="215">
        <v>1173</v>
      </c>
      <c r="BI1222" s="219">
        <f t="shared" si="111"/>
        <v>1.12E-2</v>
      </c>
      <c r="BJ1222" s="218">
        <f t="shared" si="109"/>
        <v>989397575.22794211</v>
      </c>
      <c r="BK1222" s="217">
        <f t="shared" si="112"/>
        <v>1000</v>
      </c>
    </row>
    <row r="1223" spans="8:63" s="215" customFormat="1">
      <c r="H1223" s="211"/>
      <c r="I1223" s="211"/>
      <c r="J1223" s="211"/>
      <c r="K1223" s="211"/>
      <c r="L1223" s="211"/>
      <c r="M1223" s="211"/>
      <c r="BF1223" s="215">
        <v>1174</v>
      </c>
      <c r="BG1223" s="218">
        <f t="shared" si="110"/>
        <v>89328467792.008484</v>
      </c>
      <c r="BH1223" s="215">
        <v>1174</v>
      </c>
      <c r="BI1223" s="219">
        <f t="shared" si="111"/>
        <v>1.12E-2</v>
      </c>
      <c r="BJ1223" s="218">
        <f t="shared" si="109"/>
        <v>1000478839.2704951</v>
      </c>
      <c r="BK1223" s="217">
        <f t="shared" si="112"/>
        <v>1000</v>
      </c>
    </row>
    <row r="1224" spans="8:63" s="215" customFormat="1">
      <c r="H1224" s="211"/>
      <c r="I1224" s="211"/>
      <c r="J1224" s="211"/>
      <c r="K1224" s="211"/>
      <c r="L1224" s="211"/>
      <c r="M1224" s="211"/>
      <c r="BF1224" s="215">
        <v>1175</v>
      </c>
      <c r="BG1224" s="218">
        <f t="shared" si="110"/>
        <v>90328947631.278976</v>
      </c>
      <c r="BH1224" s="215">
        <v>1175</v>
      </c>
      <c r="BI1224" s="219">
        <f t="shared" si="111"/>
        <v>1.12E-2</v>
      </c>
      <c r="BJ1224" s="218">
        <f t="shared" si="109"/>
        <v>1011684213.4703245</v>
      </c>
      <c r="BK1224" s="217">
        <f t="shared" si="112"/>
        <v>1000</v>
      </c>
    </row>
    <row r="1225" spans="8:63" s="215" customFormat="1">
      <c r="H1225" s="211"/>
      <c r="I1225" s="211"/>
      <c r="J1225" s="211"/>
      <c r="K1225" s="211"/>
      <c r="L1225" s="211"/>
      <c r="M1225" s="211"/>
      <c r="BF1225" s="215">
        <v>1176</v>
      </c>
      <c r="BG1225" s="218">
        <f t="shared" si="110"/>
        <v>91340632844.749298</v>
      </c>
      <c r="BH1225" s="215">
        <v>1176</v>
      </c>
      <c r="BI1225" s="219">
        <f t="shared" si="111"/>
        <v>1.12E-2</v>
      </c>
      <c r="BJ1225" s="218">
        <f t="shared" si="109"/>
        <v>1023015087.8611921</v>
      </c>
      <c r="BK1225" s="217">
        <f t="shared" si="112"/>
        <v>1000</v>
      </c>
    </row>
    <row r="1226" spans="8:63" s="215" customFormat="1">
      <c r="H1226" s="211"/>
      <c r="I1226" s="211"/>
      <c r="J1226" s="211"/>
      <c r="K1226" s="211"/>
      <c r="L1226" s="211"/>
      <c r="M1226" s="211"/>
      <c r="BF1226" s="215">
        <v>1177</v>
      </c>
      <c r="BG1226" s="218">
        <f t="shared" si="110"/>
        <v>92363648932.610489</v>
      </c>
      <c r="BH1226" s="215">
        <v>1177</v>
      </c>
      <c r="BI1226" s="219">
        <f t="shared" si="111"/>
        <v>1.12E-2</v>
      </c>
      <c r="BJ1226" s="218">
        <f t="shared" si="109"/>
        <v>1034472868.0452374</v>
      </c>
      <c r="BK1226" s="217">
        <f t="shared" si="112"/>
        <v>1000</v>
      </c>
    </row>
    <row r="1227" spans="8:63" s="215" customFormat="1">
      <c r="H1227" s="211"/>
      <c r="I1227" s="211"/>
      <c r="J1227" s="211"/>
      <c r="K1227" s="211"/>
      <c r="L1227" s="211"/>
      <c r="M1227" s="211"/>
      <c r="BF1227" s="215">
        <v>1178</v>
      </c>
      <c r="BG1227" s="218">
        <f t="shared" si="110"/>
        <v>93398122800.655731</v>
      </c>
      <c r="BH1227" s="215">
        <v>1178</v>
      </c>
      <c r="BI1227" s="219">
        <f t="shared" si="111"/>
        <v>1.12E-2</v>
      </c>
      <c r="BJ1227" s="218">
        <f t="shared" si="109"/>
        <v>1046058975.3673441</v>
      </c>
      <c r="BK1227" s="217">
        <f t="shared" si="112"/>
        <v>1000</v>
      </c>
    </row>
    <row r="1228" spans="8:63" s="215" customFormat="1">
      <c r="H1228" s="211"/>
      <c r="I1228" s="211"/>
      <c r="J1228" s="211"/>
      <c r="K1228" s="211"/>
      <c r="L1228" s="211"/>
      <c r="M1228" s="211"/>
      <c r="BF1228" s="215">
        <v>1179</v>
      </c>
      <c r="BG1228" s="218">
        <f t="shared" si="110"/>
        <v>94444182776.023071</v>
      </c>
      <c r="BH1228" s="215">
        <v>1179</v>
      </c>
      <c r="BI1228" s="219">
        <f t="shared" si="111"/>
        <v>1.12E-2</v>
      </c>
      <c r="BJ1228" s="218">
        <f t="shared" si="109"/>
        <v>1057774847.0914584</v>
      </c>
      <c r="BK1228" s="217">
        <f t="shared" si="112"/>
        <v>1000</v>
      </c>
    </row>
    <row r="1229" spans="8:63" s="215" customFormat="1">
      <c r="H1229" s="211"/>
      <c r="I1229" s="211"/>
      <c r="J1229" s="211"/>
      <c r="K1229" s="211"/>
      <c r="L1229" s="211"/>
      <c r="M1229" s="211"/>
      <c r="BF1229" s="215">
        <v>1180</v>
      </c>
      <c r="BG1229" s="218">
        <f t="shared" si="110"/>
        <v>95501958623.114532</v>
      </c>
      <c r="BH1229" s="215">
        <v>1180</v>
      </c>
      <c r="BI1229" s="219">
        <f t="shared" si="111"/>
        <v>1.12E-2</v>
      </c>
      <c r="BJ1229" s="218">
        <f t="shared" si="109"/>
        <v>1069621936.5788827</v>
      </c>
      <c r="BK1229" s="217">
        <f t="shared" si="112"/>
        <v>1000</v>
      </c>
    </row>
    <row r="1230" spans="8:63" s="215" customFormat="1">
      <c r="H1230" s="211"/>
      <c r="I1230" s="211"/>
      <c r="J1230" s="211"/>
      <c r="K1230" s="211"/>
      <c r="L1230" s="211"/>
      <c r="M1230" s="211"/>
      <c r="BF1230" s="215">
        <v>1181</v>
      </c>
      <c r="BG1230" s="218">
        <f t="shared" si="110"/>
        <v>96571581559.69342</v>
      </c>
      <c r="BH1230" s="215">
        <v>1181</v>
      </c>
      <c r="BI1230" s="219">
        <f t="shared" si="111"/>
        <v>1.12E-2</v>
      </c>
      <c r="BJ1230" s="218">
        <f t="shared" si="109"/>
        <v>1081601713.4685662</v>
      </c>
      <c r="BK1230" s="217">
        <f t="shared" si="112"/>
        <v>1000</v>
      </c>
    </row>
    <row r="1231" spans="8:63" s="215" customFormat="1">
      <c r="H1231" s="211"/>
      <c r="I1231" s="211"/>
      <c r="J1231" s="211"/>
      <c r="K1231" s="211"/>
      <c r="L1231" s="211"/>
      <c r="M1231" s="211"/>
      <c r="BF1231" s="215">
        <v>1182</v>
      </c>
      <c r="BG1231" s="218">
        <f t="shared" si="110"/>
        <v>97653184273.161987</v>
      </c>
      <c r="BH1231" s="215">
        <v>1182</v>
      </c>
      <c r="BI1231" s="219">
        <f t="shared" si="111"/>
        <v>1.12E-2</v>
      </c>
      <c r="BJ1231" s="218">
        <f t="shared" si="109"/>
        <v>1093715663.8594143</v>
      </c>
      <c r="BK1231" s="217">
        <f t="shared" si="112"/>
        <v>1000</v>
      </c>
    </row>
    <row r="1232" spans="8:63" s="215" customFormat="1">
      <c r="H1232" s="211"/>
      <c r="I1232" s="211"/>
      <c r="J1232" s="211"/>
      <c r="K1232" s="211"/>
      <c r="L1232" s="211"/>
      <c r="M1232" s="211"/>
      <c r="BF1232" s="215">
        <v>1183</v>
      </c>
      <c r="BG1232" s="218">
        <f t="shared" si="110"/>
        <v>98746900937.021408</v>
      </c>
      <c r="BH1232" s="215">
        <v>1183</v>
      </c>
      <c r="BI1232" s="219">
        <f t="shared" si="111"/>
        <v>1.12E-2</v>
      </c>
      <c r="BJ1232" s="218">
        <f t="shared" si="109"/>
        <v>1105965290.4946399</v>
      </c>
      <c r="BK1232" s="217">
        <f t="shared" si="112"/>
        <v>1000</v>
      </c>
    </row>
    <row r="1233" spans="8:63" s="215" customFormat="1">
      <c r="H1233" s="211"/>
      <c r="I1233" s="211"/>
      <c r="J1233" s="211"/>
      <c r="K1233" s="211"/>
      <c r="L1233" s="211"/>
      <c r="M1233" s="211"/>
      <c r="BF1233" s="215">
        <v>1184</v>
      </c>
      <c r="BG1233" s="218">
        <f t="shared" si="110"/>
        <v>99852867227.516052</v>
      </c>
      <c r="BH1233" s="215">
        <v>1184</v>
      </c>
      <c r="BI1233" s="219">
        <f t="shared" si="111"/>
        <v>1.12E-2</v>
      </c>
      <c r="BJ1233" s="218">
        <f t="shared" si="109"/>
        <v>1118352112.9481797</v>
      </c>
      <c r="BK1233" s="217">
        <f t="shared" si="112"/>
        <v>1000</v>
      </c>
    </row>
    <row r="1234" spans="8:63" s="215" customFormat="1">
      <c r="H1234" s="211"/>
      <c r="I1234" s="211"/>
      <c r="J1234" s="211"/>
      <c r="K1234" s="211"/>
      <c r="L1234" s="211"/>
      <c r="M1234" s="211"/>
      <c r="BF1234" s="215">
        <v>1185</v>
      </c>
      <c r="BG1234" s="218">
        <f t="shared" si="110"/>
        <v>100971220340.46423</v>
      </c>
      <c r="BH1234" s="215">
        <v>1185</v>
      </c>
      <c r="BI1234" s="219">
        <f t="shared" si="111"/>
        <v>1.12E-2</v>
      </c>
      <c r="BJ1234" s="218">
        <f t="shared" si="109"/>
        <v>1130877667.8131995</v>
      </c>
      <c r="BK1234" s="217">
        <f t="shared" si="112"/>
        <v>1000</v>
      </c>
    </row>
    <row r="1235" spans="8:63" s="215" customFormat="1">
      <c r="H1235" s="211"/>
      <c r="I1235" s="211"/>
      <c r="J1235" s="211"/>
      <c r="K1235" s="211"/>
      <c r="L1235" s="211"/>
      <c r="M1235" s="211"/>
      <c r="BF1235" s="215">
        <v>1186</v>
      </c>
      <c r="BG1235" s="218">
        <f t="shared" si="110"/>
        <v>102102099008.27744</v>
      </c>
      <c r="BH1235" s="215">
        <v>1186</v>
      </c>
      <c r="BI1235" s="219">
        <f t="shared" si="111"/>
        <v>1.12E-2</v>
      </c>
      <c r="BJ1235" s="218">
        <f t="shared" si="109"/>
        <v>1143543508.8927073</v>
      </c>
      <c r="BK1235" s="217">
        <f t="shared" si="112"/>
        <v>1000</v>
      </c>
    </row>
    <row r="1236" spans="8:63" s="215" customFormat="1">
      <c r="H1236" s="211"/>
      <c r="I1236" s="211"/>
      <c r="J1236" s="211"/>
      <c r="K1236" s="211"/>
      <c r="L1236" s="211"/>
      <c r="M1236" s="211"/>
      <c r="BF1236" s="215">
        <v>1187</v>
      </c>
      <c r="BG1236" s="218">
        <f t="shared" si="110"/>
        <v>103245643517.17014</v>
      </c>
      <c r="BH1236" s="215">
        <v>1187</v>
      </c>
      <c r="BI1236" s="219">
        <f t="shared" si="111"/>
        <v>1.12E-2</v>
      </c>
      <c r="BJ1236" s="218">
        <f t="shared" si="109"/>
        <v>1156351207.3923056</v>
      </c>
      <c r="BK1236" s="217">
        <f t="shared" si="112"/>
        <v>1000</v>
      </c>
    </row>
    <row r="1237" spans="8:63" s="215" customFormat="1">
      <c r="H1237" s="211"/>
      <c r="I1237" s="211"/>
      <c r="J1237" s="211"/>
      <c r="K1237" s="211"/>
      <c r="L1237" s="211"/>
      <c r="M1237" s="211"/>
      <c r="BF1237" s="215">
        <v>1188</v>
      </c>
      <c r="BG1237" s="218">
        <f t="shared" si="110"/>
        <v>104401995724.56244</v>
      </c>
      <c r="BH1237" s="215">
        <v>1188</v>
      </c>
      <c r="BI1237" s="219">
        <f t="shared" si="111"/>
        <v>1.12E-2</v>
      </c>
      <c r="BJ1237" s="218">
        <f t="shared" si="109"/>
        <v>1169302352.1150992</v>
      </c>
      <c r="BK1237" s="217">
        <f t="shared" si="112"/>
        <v>1000</v>
      </c>
    </row>
    <row r="1238" spans="8:63" s="215" customFormat="1">
      <c r="H1238" s="211"/>
      <c r="I1238" s="211"/>
      <c r="J1238" s="211"/>
      <c r="K1238" s="211"/>
      <c r="L1238" s="211"/>
      <c r="M1238" s="211"/>
      <c r="BF1238" s="215">
        <v>1189</v>
      </c>
      <c r="BG1238" s="218">
        <f t="shared" si="110"/>
        <v>105571299076.67754</v>
      </c>
      <c r="BH1238" s="215">
        <v>1189</v>
      </c>
      <c r="BI1238" s="219">
        <f t="shared" si="111"/>
        <v>1.12E-2</v>
      </c>
      <c r="BJ1238" s="218">
        <f t="shared" si="109"/>
        <v>1182398549.6587884</v>
      </c>
      <c r="BK1238" s="217">
        <f t="shared" si="112"/>
        <v>1000</v>
      </c>
    </row>
    <row r="1239" spans="8:63" s="215" customFormat="1">
      <c r="H1239" s="211"/>
      <c r="I1239" s="211"/>
      <c r="J1239" s="211"/>
      <c r="K1239" s="211"/>
      <c r="L1239" s="211"/>
      <c r="M1239" s="211"/>
      <c r="BF1239" s="215">
        <v>1190</v>
      </c>
      <c r="BG1239" s="218">
        <f t="shared" si="110"/>
        <v>106753698626.33632</v>
      </c>
      <c r="BH1239" s="215">
        <v>1190</v>
      </c>
      <c r="BI1239" s="219">
        <f t="shared" si="111"/>
        <v>1.12E-2</v>
      </c>
      <c r="BJ1239" s="218">
        <f t="shared" si="109"/>
        <v>1195641424.6149669</v>
      </c>
      <c r="BK1239" s="217">
        <f t="shared" si="112"/>
        <v>1000</v>
      </c>
    </row>
    <row r="1240" spans="8:63" s="215" customFormat="1">
      <c r="H1240" s="211"/>
      <c r="I1240" s="211"/>
      <c r="J1240" s="211"/>
      <c r="K1240" s="211"/>
      <c r="L1240" s="211"/>
      <c r="M1240" s="211"/>
      <c r="BF1240" s="215">
        <v>1191</v>
      </c>
      <c r="BG1240" s="218">
        <f t="shared" si="110"/>
        <v>107949341050.95128</v>
      </c>
      <c r="BH1240" s="215">
        <v>1191</v>
      </c>
      <c r="BI1240" s="219">
        <f t="shared" si="111"/>
        <v>1.12E-2</v>
      </c>
      <c r="BJ1240" s="218">
        <f t="shared" si="109"/>
        <v>1209032619.7706542</v>
      </c>
      <c r="BK1240" s="217">
        <f t="shared" si="112"/>
        <v>1000</v>
      </c>
    </row>
    <row r="1241" spans="8:63" s="215" customFormat="1">
      <c r="H1241" s="211"/>
      <c r="I1241" s="211"/>
      <c r="J1241" s="211"/>
      <c r="K1241" s="211"/>
      <c r="L1241" s="211"/>
      <c r="M1241" s="211"/>
      <c r="BF1241" s="215">
        <v>1192</v>
      </c>
      <c r="BG1241" s="218">
        <f t="shared" si="110"/>
        <v>109158374670.72194</v>
      </c>
      <c r="BH1241" s="215">
        <v>1192</v>
      </c>
      <c r="BI1241" s="219">
        <f t="shared" si="111"/>
        <v>1.12E-2</v>
      </c>
      <c r="BJ1241" s="218">
        <f t="shared" si="109"/>
        <v>1222573796.3120856</v>
      </c>
      <c r="BK1241" s="217">
        <f t="shared" si="112"/>
        <v>1000</v>
      </c>
    </row>
    <row r="1242" spans="8:63" s="215" customFormat="1">
      <c r="H1242" s="211"/>
      <c r="I1242" s="211"/>
      <c r="J1242" s="211"/>
      <c r="K1242" s="211"/>
      <c r="L1242" s="211"/>
      <c r="M1242" s="211"/>
      <c r="BF1242" s="215">
        <v>1193</v>
      </c>
      <c r="BG1242" s="218">
        <f t="shared" si="110"/>
        <v>110380949467.03403</v>
      </c>
      <c r="BH1242" s="215">
        <v>1193</v>
      </c>
      <c r="BI1242" s="219">
        <f t="shared" si="111"/>
        <v>1.12E-2</v>
      </c>
      <c r="BJ1242" s="218">
        <f t="shared" si="109"/>
        <v>1236266634.030781</v>
      </c>
      <c r="BK1242" s="217">
        <f t="shared" si="112"/>
        <v>1000</v>
      </c>
    </row>
    <row r="1243" spans="8:63" s="215" customFormat="1">
      <c r="H1243" s="211"/>
      <c r="I1243" s="211"/>
      <c r="J1243" s="211"/>
      <c r="K1243" s="211"/>
      <c r="L1243" s="211"/>
      <c r="M1243" s="211"/>
      <c r="BF1243" s="215">
        <v>1194</v>
      </c>
      <c r="BG1243" s="218">
        <f t="shared" si="110"/>
        <v>111617217101.0648</v>
      </c>
      <c r="BH1243" s="215">
        <v>1194</v>
      </c>
      <c r="BI1243" s="219">
        <f t="shared" si="111"/>
        <v>1.12E-2</v>
      </c>
      <c r="BJ1243" s="218">
        <f t="shared" si="109"/>
        <v>1250112831.5319257</v>
      </c>
      <c r="BK1243" s="217">
        <f t="shared" si="112"/>
        <v>1000</v>
      </c>
    </row>
    <row r="1244" spans="8:63" s="215" customFormat="1">
      <c r="H1244" s="211"/>
      <c r="I1244" s="211"/>
      <c r="J1244" s="211"/>
      <c r="K1244" s="211"/>
      <c r="L1244" s="211"/>
      <c r="M1244" s="211"/>
      <c r="BF1244" s="215">
        <v>1195</v>
      </c>
      <c r="BG1244" s="218">
        <f t="shared" si="110"/>
        <v>112867330932.59673</v>
      </c>
      <c r="BH1244" s="215">
        <v>1195</v>
      </c>
      <c r="BI1244" s="219">
        <f t="shared" si="111"/>
        <v>1.12E-2</v>
      </c>
      <c r="BJ1244" s="218">
        <f t="shared" si="109"/>
        <v>1264114106.4450834</v>
      </c>
      <c r="BK1244" s="217">
        <f t="shared" si="112"/>
        <v>1000</v>
      </c>
    </row>
    <row r="1245" spans="8:63" s="215" customFormat="1">
      <c r="H1245" s="211"/>
      <c r="I1245" s="211"/>
      <c r="J1245" s="211"/>
      <c r="K1245" s="211"/>
      <c r="L1245" s="211"/>
      <c r="M1245" s="211"/>
      <c r="BF1245" s="215">
        <v>1196</v>
      </c>
      <c r="BG1245" s="218">
        <f t="shared" si="110"/>
        <v>114131446039.04181</v>
      </c>
      <c r="BH1245" s="215">
        <v>1196</v>
      </c>
      <c r="BI1245" s="219">
        <f t="shared" si="111"/>
        <v>1.12E-2</v>
      </c>
      <c r="BJ1245" s="218">
        <f t="shared" si="109"/>
        <v>1278272195.6372683</v>
      </c>
      <c r="BK1245" s="217">
        <f t="shared" si="112"/>
        <v>1000</v>
      </c>
    </row>
    <row r="1246" spans="8:63" s="215" customFormat="1">
      <c r="H1246" s="211"/>
      <c r="I1246" s="211"/>
      <c r="J1246" s="211"/>
      <c r="K1246" s="211"/>
      <c r="L1246" s="211"/>
      <c r="M1246" s="211"/>
      <c r="BF1246" s="215">
        <v>1197</v>
      </c>
      <c r="BG1246" s="218">
        <f t="shared" si="110"/>
        <v>115409719234.67908</v>
      </c>
      <c r="BH1246" s="215">
        <v>1197</v>
      </c>
      <c r="BI1246" s="219">
        <f t="shared" si="111"/>
        <v>1.12E-2</v>
      </c>
      <c r="BJ1246" s="218">
        <f t="shared" si="109"/>
        <v>1292588855.4284058</v>
      </c>
      <c r="BK1246" s="217">
        <f t="shared" si="112"/>
        <v>1000</v>
      </c>
    </row>
    <row r="1247" spans="8:63" s="215" customFormat="1">
      <c r="H1247" s="211"/>
      <c r="I1247" s="211"/>
      <c r="J1247" s="211"/>
      <c r="K1247" s="211"/>
      <c r="L1247" s="211"/>
      <c r="M1247" s="211"/>
      <c r="BF1247" s="215">
        <v>1198</v>
      </c>
      <c r="BG1247" s="218">
        <f t="shared" si="110"/>
        <v>116702309090.10748</v>
      </c>
      <c r="BH1247" s="215">
        <v>1198</v>
      </c>
      <c r="BI1247" s="219">
        <f t="shared" si="111"/>
        <v>1.12E-2</v>
      </c>
      <c r="BJ1247" s="218">
        <f t="shared" si="109"/>
        <v>1307065861.8092039</v>
      </c>
      <c r="BK1247" s="217">
        <f t="shared" si="112"/>
        <v>1000</v>
      </c>
    </row>
    <row r="1248" spans="8:63" s="215" customFormat="1">
      <c r="H1248" s="211"/>
      <c r="I1248" s="211"/>
      <c r="J1248" s="211"/>
      <c r="K1248" s="211"/>
      <c r="L1248" s="211"/>
      <c r="M1248" s="211"/>
      <c r="BF1248" s="215">
        <v>1199</v>
      </c>
      <c r="BG1248" s="218">
        <f t="shared" si="110"/>
        <v>118009375951.91669</v>
      </c>
      <c r="BH1248" s="215">
        <v>1199</v>
      </c>
      <c r="BI1248" s="219">
        <f t="shared" si="111"/>
        <v>1.12E-2</v>
      </c>
      <c r="BJ1248" s="218">
        <f t="shared" si="109"/>
        <v>1321705010.6614668</v>
      </c>
      <c r="BK1248" s="217">
        <f t="shared" si="112"/>
        <v>1000</v>
      </c>
    </row>
    <row r="1249" spans="8:63" s="215" customFormat="1">
      <c r="H1249" s="211"/>
      <c r="I1249" s="211"/>
      <c r="J1249" s="211"/>
      <c r="K1249" s="211"/>
      <c r="L1249" s="211"/>
      <c r="M1249" s="211"/>
      <c r="BF1249" s="215">
        <v>1200</v>
      </c>
      <c r="BG1249" s="218">
        <f t="shared" si="110"/>
        <v>119331081962.57816</v>
      </c>
      <c r="BH1249" s="215">
        <v>1200</v>
      </c>
      <c r="BI1249" s="219">
        <f t="shared" si="111"/>
        <v>1.12E-2</v>
      </c>
      <c r="BJ1249" s="218">
        <f t="shared" si="109"/>
        <v>1336508117.9808753</v>
      </c>
      <c r="BK1249" s="217">
        <f t="shared" si="112"/>
        <v>1000</v>
      </c>
    </row>
    <row r="1250" spans="8:63" s="215" customFormat="1">
      <c r="H1250" s="211"/>
      <c r="I1250" s="211"/>
      <c r="J1250" s="211"/>
      <c r="K1250" s="211"/>
      <c r="L1250" s="211"/>
      <c r="M1250" s="211"/>
      <c r="BG1250" s="216"/>
    </row>
    <row r="1251" spans="8:63" s="215" customFormat="1">
      <c r="H1251" s="211"/>
      <c r="I1251" s="211"/>
      <c r="J1251" s="211"/>
      <c r="K1251" s="211"/>
      <c r="L1251" s="211"/>
      <c r="M1251" s="211"/>
      <c r="BG1251" s="216"/>
    </row>
    <row r="1252" spans="8:63" s="215" customFormat="1">
      <c r="H1252" s="211"/>
      <c r="I1252" s="211"/>
      <c r="J1252" s="211"/>
      <c r="K1252" s="211"/>
      <c r="L1252" s="211"/>
      <c r="M1252" s="211"/>
      <c r="BG1252" s="216"/>
    </row>
    <row r="1253" spans="8:63" s="215" customFormat="1">
      <c r="H1253" s="211"/>
      <c r="I1253" s="211"/>
      <c r="J1253" s="211"/>
      <c r="K1253" s="211"/>
      <c r="L1253" s="211"/>
      <c r="M1253" s="211"/>
      <c r="BG1253" s="216"/>
    </row>
    <row r="1254" spans="8:63" s="215" customFormat="1">
      <c r="H1254" s="211"/>
      <c r="I1254" s="211"/>
      <c r="J1254" s="211"/>
      <c r="K1254" s="211"/>
      <c r="L1254" s="211"/>
      <c r="M1254" s="211"/>
      <c r="BG1254" s="216"/>
    </row>
    <row r="1255" spans="8:63" s="215" customFormat="1">
      <c r="H1255" s="211"/>
      <c r="I1255" s="211"/>
      <c r="J1255" s="211"/>
      <c r="K1255" s="211"/>
      <c r="L1255" s="211"/>
      <c r="M1255" s="211"/>
      <c r="BG1255" s="216"/>
    </row>
    <row r="1256" spans="8:63" s="215" customFormat="1">
      <c r="H1256" s="211"/>
      <c r="I1256" s="211"/>
      <c r="J1256" s="211"/>
      <c r="K1256" s="211"/>
      <c r="L1256" s="211"/>
      <c r="M1256" s="211"/>
      <c r="BG1256" s="216"/>
    </row>
    <row r="1257" spans="8:63" s="215" customFormat="1">
      <c r="H1257" s="211"/>
      <c r="I1257" s="211"/>
      <c r="J1257" s="211"/>
      <c r="K1257" s="211"/>
      <c r="L1257" s="211"/>
      <c r="M1257" s="211"/>
      <c r="BG1257" s="216"/>
    </row>
    <row r="1258" spans="8:63" s="215" customFormat="1">
      <c r="H1258" s="211"/>
      <c r="I1258" s="211"/>
      <c r="J1258" s="211"/>
      <c r="K1258" s="211"/>
      <c r="L1258" s="211"/>
      <c r="M1258" s="211"/>
      <c r="BG1258" s="216"/>
    </row>
    <row r="1259" spans="8:63" s="215" customFormat="1">
      <c r="H1259" s="211"/>
      <c r="I1259" s="211"/>
      <c r="J1259" s="211"/>
      <c r="K1259" s="211"/>
      <c r="L1259" s="211"/>
      <c r="M1259" s="211"/>
      <c r="BG1259" s="216"/>
    </row>
    <row r="1260" spans="8:63" s="215" customFormat="1">
      <c r="H1260" s="211"/>
      <c r="I1260" s="211"/>
      <c r="J1260" s="211"/>
      <c r="K1260" s="211"/>
      <c r="L1260" s="211"/>
      <c r="M1260" s="211"/>
      <c r="BG1260" s="216"/>
    </row>
    <row r="1261" spans="8:63" s="215" customFormat="1">
      <c r="H1261" s="211"/>
      <c r="I1261" s="211"/>
      <c r="J1261" s="211"/>
      <c r="K1261" s="211"/>
      <c r="L1261" s="211"/>
      <c r="M1261" s="211"/>
      <c r="BG1261" s="216"/>
    </row>
    <row r="1262" spans="8:63" s="211" customFormat="1">
      <c r="BG1262" s="214"/>
    </row>
    <row r="1263" spans="8:63" s="211" customFormat="1">
      <c r="BG1263" s="214"/>
    </row>
    <row r="1264" spans="8:63" s="211" customFormat="1">
      <c r="BG1264" s="214"/>
    </row>
    <row r="1265" spans="59:59" s="211" customFormat="1">
      <c r="BG1265" s="214"/>
    </row>
    <row r="1266" spans="59:59" s="211" customFormat="1">
      <c r="BG1266" s="214"/>
    </row>
    <row r="1267" spans="59:59" s="211" customFormat="1">
      <c r="BG1267" s="214"/>
    </row>
    <row r="1268" spans="59:59" s="211" customFormat="1">
      <c r="BG1268" s="214"/>
    </row>
    <row r="1269" spans="59:59" s="211" customFormat="1">
      <c r="BG1269" s="214"/>
    </row>
    <row r="1270" spans="59:59" s="211" customFormat="1">
      <c r="BG1270" s="214"/>
    </row>
    <row r="1271" spans="59:59" s="211" customFormat="1">
      <c r="BG1271" s="214"/>
    </row>
    <row r="1272" spans="59:59" s="211" customFormat="1">
      <c r="BG1272" s="214"/>
    </row>
    <row r="1273" spans="59:59" s="211" customFormat="1">
      <c r="BG1273" s="214"/>
    </row>
    <row r="1274" spans="59:59" s="211" customFormat="1">
      <c r="BG1274" s="214"/>
    </row>
    <row r="1275" spans="59:59" s="211" customFormat="1">
      <c r="BG1275" s="214"/>
    </row>
    <row r="1276" spans="59:59" s="211" customFormat="1">
      <c r="BG1276" s="214"/>
    </row>
    <row r="1277" spans="59:59" s="211" customFormat="1">
      <c r="BG1277" s="214"/>
    </row>
    <row r="1278" spans="59:59" s="211" customFormat="1">
      <c r="BG1278" s="214"/>
    </row>
    <row r="1279" spans="59:59" s="211" customFormat="1">
      <c r="BG1279" s="214"/>
    </row>
    <row r="1280" spans="59:59" s="211" customFormat="1">
      <c r="BG1280" s="214"/>
    </row>
    <row r="1281" spans="59:59" s="211" customFormat="1">
      <c r="BG1281" s="214"/>
    </row>
    <row r="1282" spans="59:59" s="211" customFormat="1">
      <c r="BG1282" s="214"/>
    </row>
    <row r="1283" spans="59:59" s="211" customFormat="1">
      <c r="BG1283" s="214"/>
    </row>
    <row r="1284" spans="59:59" s="211" customFormat="1">
      <c r="BG1284" s="214"/>
    </row>
    <row r="1285" spans="59:59" s="211" customFormat="1">
      <c r="BG1285" s="214"/>
    </row>
    <row r="1286" spans="59:59" s="211" customFormat="1">
      <c r="BG1286" s="214"/>
    </row>
    <row r="1287" spans="59:59" s="211" customFormat="1">
      <c r="BG1287" s="214"/>
    </row>
    <row r="1288" spans="59:59" s="211" customFormat="1">
      <c r="BG1288" s="214"/>
    </row>
    <row r="1289" spans="59:59" s="211" customFormat="1">
      <c r="BG1289" s="214"/>
    </row>
    <row r="1290" spans="59:59" s="211" customFormat="1">
      <c r="BG1290" s="214"/>
    </row>
    <row r="1291" spans="59:59" s="211" customFormat="1">
      <c r="BG1291" s="214"/>
    </row>
    <row r="1292" spans="59:59" s="211" customFormat="1">
      <c r="BG1292" s="214"/>
    </row>
    <row r="1293" spans="59:59" s="211" customFormat="1">
      <c r="BG1293" s="214"/>
    </row>
    <row r="1294" spans="59:59" s="211" customFormat="1">
      <c r="BG1294" s="214"/>
    </row>
    <row r="1295" spans="59:59" s="211" customFormat="1">
      <c r="BG1295" s="214"/>
    </row>
    <row r="1296" spans="59:59" s="211" customFormat="1">
      <c r="BG1296" s="214"/>
    </row>
    <row r="1297" spans="9:59" s="211" customFormat="1">
      <c r="BG1297" s="214"/>
    </row>
    <row r="1298" spans="9:59" s="211" customFormat="1">
      <c r="BG1298" s="214"/>
    </row>
    <row r="1299" spans="9:59" s="211" customFormat="1">
      <c r="BG1299" s="214"/>
    </row>
    <row r="1300" spans="9:59" s="211" customFormat="1">
      <c r="BG1300" s="214"/>
    </row>
    <row r="1301" spans="9:59" s="211" customFormat="1">
      <c r="BG1301" s="214"/>
    </row>
    <row r="1302" spans="9:59" s="211" customFormat="1">
      <c r="BG1302" s="214"/>
    </row>
    <row r="1303" spans="9:59" s="211" customFormat="1">
      <c r="BG1303" s="214"/>
    </row>
    <row r="1304" spans="9:59" s="211" customFormat="1">
      <c r="BG1304" s="214"/>
    </row>
    <row r="1305" spans="9:59" s="211" customFormat="1">
      <c r="BG1305" s="214"/>
    </row>
    <row r="1306" spans="9:59" s="211" customFormat="1">
      <c r="BG1306" s="214"/>
    </row>
    <row r="1307" spans="9:59" s="211" customFormat="1">
      <c r="BG1307" s="214"/>
    </row>
    <row r="1308" spans="9:59" s="211" customFormat="1">
      <c r="BG1308" s="214"/>
    </row>
    <row r="1309" spans="9:59" s="211" customFormat="1">
      <c r="BG1309" s="214"/>
    </row>
    <row r="1310" spans="9:59" s="211" customFormat="1">
      <c r="I1310" s="213"/>
      <c r="J1310" s="213"/>
      <c r="K1310" s="213"/>
      <c r="L1310" s="213"/>
      <c r="BG1310" s="214"/>
    </row>
    <row r="1311" spans="9:59" s="211" customFormat="1">
      <c r="I1311" s="213"/>
      <c r="J1311" s="213"/>
      <c r="K1311" s="213"/>
      <c r="L1311" s="213"/>
      <c r="BG1311" s="214"/>
    </row>
    <row r="1312" spans="9:59" s="211" customFormat="1">
      <c r="I1312" s="213"/>
      <c r="J1312" s="213"/>
      <c r="K1312" s="213"/>
      <c r="L1312" s="213"/>
      <c r="BG1312" s="214"/>
    </row>
    <row r="1313" spans="9:59" s="211" customFormat="1">
      <c r="I1313" s="213"/>
      <c r="J1313" s="213"/>
      <c r="K1313" s="213"/>
      <c r="L1313" s="213"/>
      <c r="BG1313" s="214"/>
    </row>
    <row r="1314" spans="9:59" s="211" customFormat="1">
      <c r="I1314" s="213"/>
      <c r="J1314" s="213"/>
      <c r="K1314" s="213"/>
      <c r="L1314" s="213"/>
      <c r="BG1314" s="214"/>
    </row>
    <row r="1315" spans="9:59" s="211" customFormat="1">
      <c r="I1315" s="213"/>
      <c r="J1315" s="213"/>
      <c r="K1315" s="213"/>
      <c r="L1315" s="213"/>
      <c r="BG1315" s="214"/>
    </row>
    <row r="1316" spans="9:59" s="211" customFormat="1">
      <c r="I1316" s="213"/>
      <c r="J1316" s="213"/>
      <c r="K1316" s="213"/>
      <c r="L1316" s="213"/>
      <c r="BG1316" s="214"/>
    </row>
    <row r="1317" spans="9:59" s="211" customFormat="1">
      <c r="I1317" s="213"/>
      <c r="J1317" s="213"/>
      <c r="K1317" s="213"/>
      <c r="L1317" s="213"/>
      <c r="BG1317" s="214"/>
    </row>
    <row r="1318" spans="9:59" s="211" customFormat="1">
      <c r="I1318" s="213"/>
      <c r="J1318" s="213"/>
      <c r="K1318" s="213"/>
      <c r="L1318" s="213"/>
      <c r="BG1318" s="214"/>
    </row>
    <row r="1319" spans="9:59" s="211" customFormat="1">
      <c r="I1319" s="213"/>
      <c r="J1319" s="213"/>
      <c r="K1319" s="213"/>
      <c r="L1319" s="213"/>
      <c r="BG1319" s="214"/>
    </row>
    <row r="1320" spans="9:59" s="211" customFormat="1">
      <c r="I1320" s="213"/>
      <c r="J1320" s="213"/>
      <c r="K1320" s="213"/>
      <c r="L1320" s="213"/>
      <c r="BG1320" s="214"/>
    </row>
    <row r="1321" spans="9:59" s="211" customFormat="1">
      <c r="I1321" s="213"/>
      <c r="J1321" s="213"/>
      <c r="K1321" s="213"/>
      <c r="L1321" s="213"/>
      <c r="BG1321" s="214"/>
    </row>
    <row r="1322" spans="9:59" s="211" customFormat="1">
      <c r="I1322" s="213"/>
      <c r="J1322" s="213"/>
      <c r="K1322" s="213"/>
      <c r="L1322" s="213"/>
      <c r="BG1322" s="214"/>
    </row>
    <row r="1323" spans="9:59" s="211" customFormat="1">
      <c r="I1323" s="213"/>
      <c r="J1323" s="213"/>
      <c r="K1323" s="213"/>
      <c r="L1323" s="213"/>
      <c r="BG1323" s="214"/>
    </row>
    <row r="1324" spans="9:59" s="211" customFormat="1">
      <c r="I1324" s="213"/>
      <c r="J1324" s="213"/>
      <c r="K1324" s="213"/>
      <c r="L1324" s="213"/>
      <c r="BG1324" s="214"/>
    </row>
    <row r="1325" spans="9:59" s="211" customFormat="1">
      <c r="I1325" s="213"/>
      <c r="J1325" s="213"/>
      <c r="K1325" s="213"/>
      <c r="L1325" s="213"/>
      <c r="BG1325" s="214"/>
    </row>
    <row r="1326" spans="9:59" s="211" customFormat="1">
      <c r="I1326" s="213"/>
      <c r="J1326" s="213"/>
      <c r="K1326" s="213"/>
      <c r="L1326" s="213"/>
      <c r="BG1326" s="214"/>
    </row>
    <row r="1327" spans="9:59" s="211" customFormat="1">
      <c r="I1327" s="213"/>
      <c r="J1327" s="213"/>
      <c r="K1327" s="213"/>
      <c r="L1327" s="213"/>
      <c r="BG1327" s="214"/>
    </row>
    <row r="1328" spans="9:59" s="211" customFormat="1">
      <c r="I1328" s="213"/>
      <c r="J1328" s="213"/>
      <c r="K1328" s="213"/>
      <c r="L1328" s="213"/>
      <c r="BG1328" s="214"/>
    </row>
    <row r="1329" spans="9:59" s="211" customFormat="1">
      <c r="I1329" s="213"/>
      <c r="J1329" s="213"/>
      <c r="K1329" s="213"/>
      <c r="L1329" s="213"/>
      <c r="BG1329" s="214"/>
    </row>
    <row r="1330" spans="9:59" s="211" customFormat="1">
      <c r="I1330" s="213"/>
      <c r="J1330" s="213"/>
      <c r="K1330" s="213"/>
      <c r="L1330" s="213"/>
      <c r="BG1330" s="214"/>
    </row>
    <row r="1331" spans="9:59" s="211" customFormat="1">
      <c r="I1331" s="213"/>
      <c r="J1331" s="213"/>
      <c r="K1331" s="213"/>
      <c r="L1331" s="213"/>
      <c r="BG1331" s="214"/>
    </row>
    <row r="1332" spans="9:59" s="211" customFormat="1">
      <c r="I1332" s="213"/>
      <c r="J1332" s="213"/>
      <c r="K1332" s="213"/>
      <c r="L1332" s="213"/>
      <c r="BG1332" s="214"/>
    </row>
    <row r="1333" spans="9:59" s="211" customFormat="1">
      <c r="I1333" s="213"/>
      <c r="J1333" s="213"/>
      <c r="K1333" s="213"/>
      <c r="L1333" s="213"/>
      <c r="BG1333" s="214"/>
    </row>
    <row r="1334" spans="9:59" s="211" customFormat="1">
      <c r="I1334" s="213"/>
      <c r="J1334" s="213"/>
      <c r="K1334" s="213"/>
      <c r="L1334" s="213"/>
      <c r="BG1334" s="214"/>
    </row>
    <row r="1335" spans="9:59" s="211" customFormat="1">
      <c r="I1335" s="213"/>
      <c r="J1335" s="213"/>
      <c r="K1335" s="213"/>
      <c r="L1335" s="213"/>
      <c r="BG1335" s="214"/>
    </row>
    <row r="1336" spans="9:59" s="211" customFormat="1">
      <c r="I1336" s="213"/>
      <c r="J1336" s="213"/>
      <c r="K1336" s="213"/>
      <c r="L1336" s="213"/>
      <c r="BG1336" s="214"/>
    </row>
    <row r="1337" spans="9:59" s="211" customFormat="1">
      <c r="I1337" s="213"/>
      <c r="J1337" s="213"/>
      <c r="K1337" s="213"/>
      <c r="L1337" s="213"/>
      <c r="BG1337" s="214"/>
    </row>
    <row r="1338" spans="9:59" s="211" customFormat="1">
      <c r="I1338" s="213"/>
      <c r="J1338" s="213"/>
      <c r="K1338" s="213"/>
      <c r="L1338" s="213"/>
      <c r="BG1338" s="214"/>
    </row>
    <row r="1339" spans="9:59" s="211" customFormat="1">
      <c r="I1339" s="213"/>
      <c r="J1339" s="213"/>
      <c r="K1339" s="213"/>
      <c r="L1339" s="213"/>
      <c r="BG1339" s="214"/>
    </row>
    <row r="1340" spans="9:59" s="211" customFormat="1">
      <c r="I1340" s="213"/>
      <c r="J1340" s="213"/>
      <c r="K1340" s="213"/>
      <c r="L1340" s="213"/>
      <c r="BG1340" s="214"/>
    </row>
    <row r="1341" spans="9:59" s="211" customFormat="1">
      <c r="I1341" s="213"/>
      <c r="J1341" s="213"/>
      <c r="K1341" s="213"/>
      <c r="L1341" s="213"/>
      <c r="BG1341" s="214"/>
    </row>
    <row r="1342" spans="9:59" s="211" customFormat="1">
      <c r="I1342" s="213"/>
      <c r="J1342" s="213"/>
      <c r="K1342" s="213"/>
      <c r="L1342" s="213"/>
      <c r="BG1342" s="214"/>
    </row>
    <row r="1343" spans="9:59" s="211" customFormat="1">
      <c r="I1343" s="213"/>
      <c r="J1343" s="213"/>
      <c r="K1343" s="213"/>
      <c r="L1343" s="213"/>
      <c r="BG1343" s="214"/>
    </row>
    <row r="1344" spans="9:59" s="211" customFormat="1">
      <c r="I1344" s="213"/>
      <c r="J1344" s="213"/>
      <c r="K1344" s="213"/>
      <c r="L1344" s="213"/>
      <c r="BG1344" s="214"/>
    </row>
    <row r="1345" spans="9:59" s="211" customFormat="1">
      <c r="I1345" s="213"/>
      <c r="J1345" s="213"/>
      <c r="K1345" s="213"/>
      <c r="L1345" s="213"/>
      <c r="BG1345" s="214"/>
    </row>
    <row r="1346" spans="9:59" s="211" customFormat="1">
      <c r="I1346" s="213"/>
      <c r="J1346" s="213"/>
      <c r="K1346" s="213"/>
      <c r="L1346" s="213"/>
      <c r="BG1346" s="214"/>
    </row>
    <row r="1347" spans="9:59" s="211" customFormat="1">
      <c r="I1347" s="213"/>
      <c r="J1347" s="213"/>
      <c r="K1347" s="213"/>
      <c r="L1347" s="213"/>
      <c r="BG1347" s="214"/>
    </row>
    <row r="1348" spans="9:59" s="211" customFormat="1">
      <c r="I1348" s="213"/>
      <c r="J1348" s="213"/>
      <c r="K1348" s="213"/>
      <c r="L1348" s="213"/>
      <c r="BG1348" s="214"/>
    </row>
    <row r="1349" spans="9:59" s="211" customFormat="1">
      <c r="I1349" s="213"/>
      <c r="J1349" s="213"/>
      <c r="K1349" s="213"/>
      <c r="L1349" s="213"/>
      <c r="BG1349" s="214"/>
    </row>
    <row r="1350" spans="9:59" s="211" customFormat="1">
      <c r="I1350" s="213"/>
      <c r="J1350" s="213"/>
      <c r="K1350" s="213"/>
      <c r="L1350" s="213"/>
      <c r="BG1350" s="214"/>
    </row>
    <row r="1351" spans="9:59" s="211" customFormat="1">
      <c r="I1351" s="213"/>
      <c r="J1351" s="213"/>
      <c r="K1351" s="213"/>
      <c r="L1351" s="213"/>
      <c r="BG1351" s="214"/>
    </row>
    <row r="1352" spans="9:59" s="211" customFormat="1">
      <c r="I1352" s="213"/>
      <c r="J1352" s="213"/>
      <c r="K1352" s="213"/>
      <c r="L1352" s="213"/>
      <c r="BG1352" s="214"/>
    </row>
    <row r="1353" spans="9:59" s="211" customFormat="1">
      <c r="I1353" s="213"/>
      <c r="J1353" s="213"/>
      <c r="K1353" s="213"/>
      <c r="L1353" s="213"/>
      <c r="BG1353" s="214"/>
    </row>
    <row r="1354" spans="9:59" s="211" customFormat="1">
      <c r="I1354" s="213"/>
      <c r="J1354" s="213"/>
      <c r="K1354" s="213"/>
      <c r="L1354" s="213"/>
      <c r="BG1354" s="214"/>
    </row>
    <row r="1355" spans="9:59" s="211" customFormat="1">
      <c r="I1355" s="213"/>
      <c r="J1355" s="213"/>
      <c r="K1355" s="213"/>
      <c r="L1355" s="213"/>
      <c r="BG1355" s="214"/>
    </row>
    <row r="1356" spans="9:59" s="211" customFormat="1">
      <c r="I1356" s="213"/>
      <c r="J1356" s="213"/>
      <c r="K1356" s="213"/>
      <c r="L1356" s="213"/>
      <c r="BG1356" s="214"/>
    </row>
    <row r="1357" spans="9:59" s="211" customFormat="1">
      <c r="I1357" s="213"/>
      <c r="J1357" s="213"/>
      <c r="K1357" s="213"/>
      <c r="L1357" s="213"/>
      <c r="BG1357" s="214"/>
    </row>
    <row r="1358" spans="9:59" s="211" customFormat="1">
      <c r="I1358" s="213"/>
      <c r="J1358" s="213"/>
      <c r="K1358" s="213"/>
      <c r="L1358" s="213"/>
      <c r="BG1358" s="214"/>
    </row>
    <row r="1359" spans="9:59" s="211" customFormat="1">
      <c r="I1359" s="213"/>
      <c r="J1359" s="213"/>
      <c r="K1359" s="213"/>
      <c r="L1359" s="213"/>
      <c r="BG1359" s="214"/>
    </row>
    <row r="1360" spans="9:59" s="211" customFormat="1">
      <c r="I1360" s="213"/>
      <c r="J1360" s="213"/>
      <c r="K1360" s="213"/>
      <c r="L1360" s="213"/>
      <c r="BG1360" s="214"/>
    </row>
    <row r="1361" spans="9:59" s="211" customFormat="1">
      <c r="I1361" s="213"/>
      <c r="J1361" s="213"/>
      <c r="K1361" s="213"/>
      <c r="L1361" s="213"/>
      <c r="BG1361" s="214"/>
    </row>
    <row r="1362" spans="9:59" s="211" customFormat="1">
      <c r="I1362" s="213"/>
      <c r="J1362" s="213"/>
      <c r="K1362" s="213"/>
      <c r="L1362" s="213"/>
      <c r="BG1362" s="214"/>
    </row>
    <row r="1363" spans="9:59" s="211" customFormat="1">
      <c r="I1363" s="213"/>
      <c r="J1363" s="213"/>
      <c r="K1363" s="213"/>
      <c r="L1363" s="213"/>
      <c r="BG1363" s="214"/>
    </row>
    <row r="1364" spans="9:59" s="211" customFormat="1">
      <c r="I1364" s="213"/>
      <c r="J1364" s="213"/>
      <c r="K1364" s="213"/>
      <c r="L1364" s="213"/>
      <c r="BG1364" s="214"/>
    </row>
    <row r="1365" spans="9:59" s="211" customFormat="1">
      <c r="I1365" s="213"/>
      <c r="J1365" s="213"/>
      <c r="K1365" s="213"/>
      <c r="L1365" s="213"/>
      <c r="BG1365" s="214"/>
    </row>
    <row r="1366" spans="9:59" s="211" customFormat="1">
      <c r="I1366" s="213"/>
      <c r="J1366" s="213"/>
      <c r="K1366" s="213"/>
      <c r="L1366" s="213"/>
      <c r="BG1366" s="214"/>
    </row>
    <row r="1367" spans="9:59" s="211" customFormat="1">
      <c r="I1367" s="213"/>
      <c r="J1367" s="213"/>
      <c r="K1367" s="213"/>
      <c r="L1367" s="213"/>
      <c r="BG1367" s="214"/>
    </row>
    <row r="1368" spans="9:59" s="211" customFormat="1">
      <c r="I1368" s="213"/>
      <c r="J1368" s="213"/>
      <c r="K1368" s="213"/>
      <c r="L1368" s="213"/>
      <c r="BG1368" s="214"/>
    </row>
    <row r="1369" spans="9:59" s="211" customFormat="1">
      <c r="I1369" s="213"/>
      <c r="J1369" s="213"/>
      <c r="K1369" s="213"/>
      <c r="L1369" s="213"/>
      <c r="BG1369" s="214"/>
    </row>
    <row r="1370" spans="9:59" s="211" customFormat="1">
      <c r="I1370" s="213"/>
      <c r="J1370" s="213"/>
      <c r="K1370" s="213"/>
      <c r="L1370" s="213"/>
      <c r="BG1370" s="214"/>
    </row>
    <row r="1371" spans="9:59" s="211" customFormat="1">
      <c r="I1371" s="213"/>
      <c r="J1371" s="213"/>
      <c r="K1371" s="213"/>
      <c r="L1371" s="213"/>
      <c r="BG1371" s="214"/>
    </row>
    <row r="1372" spans="9:59" s="211" customFormat="1">
      <c r="I1372" s="213"/>
      <c r="J1372" s="213"/>
      <c r="K1372" s="213"/>
      <c r="L1372" s="213"/>
      <c r="BG1372" s="214"/>
    </row>
    <row r="1373" spans="9:59" s="211" customFormat="1">
      <c r="I1373" s="213"/>
      <c r="J1373" s="213"/>
      <c r="K1373" s="213"/>
      <c r="L1373" s="213"/>
      <c r="BG1373" s="214"/>
    </row>
    <row r="1374" spans="9:59" s="211" customFormat="1">
      <c r="I1374" s="213"/>
      <c r="J1374" s="213"/>
      <c r="K1374" s="213"/>
      <c r="L1374" s="213"/>
      <c r="BG1374" s="214"/>
    </row>
    <row r="1375" spans="9:59" s="211" customFormat="1">
      <c r="I1375" s="213"/>
      <c r="J1375" s="213"/>
      <c r="K1375" s="213"/>
      <c r="L1375" s="213"/>
      <c r="BG1375" s="214"/>
    </row>
    <row r="1376" spans="9:59" s="211" customFormat="1">
      <c r="I1376" s="213"/>
      <c r="J1376" s="213"/>
      <c r="K1376" s="213"/>
      <c r="L1376" s="213"/>
      <c r="BG1376" s="214"/>
    </row>
    <row r="1377" spans="9:59" s="211" customFormat="1">
      <c r="I1377" s="213"/>
      <c r="J1377" s="213"/>
      <c r="K1377" s="213"/>
      <c r="L1377" s="213"/>
      <c r="BG1377" s="214"/>
    </row>
    <row r="1378" spans="9:59" s="211" customFormat="1">
      <c r="I1378" s="213"/>
      <c r="J1378" s="213"/>
      <c r="K1378" s="213"/>
      <c r="L1378" s="213"/>
      <c r="BG1378" s="214"/>
    </row>
    <row r="1379" spans="9:59" s="211" customFormat="1">
      <c r="I1379" s="213"/>
      <c r="J1379" s="213"/>
      <c r="K1379" s="213"/>
      <c r="L1379" s="213"/>
      <c r="BG1379" s="214"/>
    </row>
    <row r="1380" spans="9:59" s="211" customFormat="1">
      <c r="I1380" s="213"/>
      <c r="J1380" s="213"/>
      <c r="K1380" s="213"/>
      <c r="L1380" s="213"/>
      <c r="BG1380" s="214"/>
    </row>
    <row r="1381" spans="9:59" s="211" customFormat="1">
      <c r="I1381" s="213"/>
      <c r="J1381" s="213"/>
      <c r="K1381" s="213"/>
      <c r="L1381" s="213"/>
      <c r="BG1381" s="214"/>
    </row>
    <row r="1382" spans="9:59" s="211" customFormat="1">
      <c r="I1382" s="213"/>
      <c r="J1382" s="213"/>
      <c r="K1382" s="213"/>
      <c r="L1382" s="213"/>
      <c r="BG1382" s="214"/>
    </row>
    <row r="1383" spans="9:59" s="211" customFormat="1">
      <c r="I1383" s="213"/>
      <c r="J1383" s="213"/>
      <c r="K1383" s="213"/>
      <c r="L1383" s="213"/>
      <c r="BG1383" s="214"/>
    </row>
    <row r="1384" spans="9:59" s="211" customFormat="1">
      <c r="I1384" s="213"/>
      <c r="J1384" s="213"/>
      <c r="K1384" s="213"/>
      <c r="L1384" s="213"/>
      <c r="BG1384" s="214"/>
    </row>
    <row r="1385" spans="9:59" s="211" customFormat="1">
      <c r="I1385" s="213"/>
      <c r="J1385" s="213"/>
      <c r="K1385" s="213"/>
      <c r="L1385" s="213"/>
      <c r="BG1385" s="214"/>
    </row>
    <row r="1386" spans="9:59" s="211" customFormat="1">
      <c r="I1386" s="213"/>
      <c r="J1386" s="213"/>
      <c r="K1386" s="213"/>
      <c r="L1386" s="213"/>
      <c r="BG1386" s="214"/>
    </row>
    <row r="1387" spans="9:59" s="211" customFormat="1">
      <c r="I1387" s="213"/>
      <c r="J1387" s="213"/>
      <c r="K1387" s="213"/>
      <c r="L1387" s="213"/>
      <c r="BG1387" s="214"/>
    </row>
    <row r="1388" spans="9:59" s="211" customFormat="1">
      <c r="I1388" s="213"/>
      <c r="J1388" s="213"/>
      <c r="K1388" s="213"/>
      <c r="L1388" s="213"/>
      <c r="BG1388" s="214"/>
    </row>
    <row r="1389" spans="9:59" s="211" customFormat="1">
      <c r="I1389" s="213"/>
      <c r="J1389" s="213"/>
      <c r="K1389" s="213"/>
      <c r="L1389" s="213"/>
      <c r="BG1389" s="214"/>
    </row>
    <row r="1390" spans="9:59" s="211" customFormat="1">
      <c r="I1390" s="213"/>
      <c r="J1390" s="213"/>
      <c r="K1390" s="213"/>
      <c r="L1390" s="213"/>
      <c r="BG1390" s="214"/>
    </row>
    <row r="1391" spans="9:59" s="211" customFormat="1">
      <c r="I1391" s="213"/>
      <c r="J1391" s="213"/>
      <c r="K1391" s="213"/>
      <c r="L1391" s="213"/>
      <c r="BG1391" s="214"/>
    </row>
    <row r="1392" spans="9:59" s="211" customFormat="1">
      <c r="I1392" s="213"/>
      <c r="J1392" s="213"/>
      <c r="K1392" s="213"/>
      <c r="L1392" s="213"/>
      <c r="BG1392" s="214"/>
    </row>
    <row r="1393" spans="9:59" s="211" customFormat="1">
      <c r="I1393" s="213"/>
      <c r="J1393" s="213"/>
      <c r="K1393" s="213"/>
      <c r="L1393" s="213"/>
      <c r="BG1393" s="214"/>
    </row>
    <row r="1394" spans="9:59" s="211" customFormat="1">
      <c r="I1394" s="213"/>
      <c r="J1394" s="213"/>
      <c r="K1394" s="213"/>
      <c r="L1394" s="213"/>
      <c r="BG1394" s="214"/>
    </row>
    <row r="1395" spans="9:59" s="211" customFormat="1">
      <c r="I1395" s="213"/>
      <c r="J1395" s="213"/>
      <c r="K1395" s="213"/>
      <c r="L1395" s="213"/>
      <c r="BG1395" s="214"/>
    </row>
    <row r="1396" spans="9:59" s="211" customFormat="1">
      <c r="I1396" s="213"/>
      <c r="J1396" s="213"/>
      <c r="K1396" s="213"/>
      <c r="L1396" s="213"/>
      <c r="BG1396" s="214"/>
    </row>
    <row r="1397" spans="9:59" s="211" customFormat="1">
      <c r="I1397" s="213"/>
      <c r="J1397" s="213"/>
      <c r="K1397" s="213"/>
      <c r="L1397" s="213"/>
      <c r="BG1397" s="214"/>
    </row>
    <row r="1398" spans="9:59" s="211" customFormat="1">
      <c r="I1398" s="213"/>
      <c r="J1398" s="213"/>
      <c r="K1398" s="213"/>
      <c r="L1398" s="213"/>
      <c r="BG1398" s="214"/>
    </row>
    <row r="1399" spans="9:59" s="211" customFormat="1">
      <c r="I1399" s="213"/>
      <c r="J1399" s="213"/>
      <c r="K1399" s="213"/>
      <c r="L1399" s="213"/>
      <c r="BG1399" s="214"/>
    </row>
    <row r="1400" spans="9:59" s="211" customFormat="1">
      <c r="I1400" s="213"/>
      <c r="J1400" s="213"/>
      <c r="K1400" s="213"/>
      <c r="L1400" s="213"/>
      <c r="BG1400" s="214"/>
    </row>
    <row r="1401" spans="9:59" s="211" customFormat="1">
      <c r="I1401" s="213"/>
      <c r="J1401" s="213"/>
      <c r="K1401" s="213"/>
      <c r="L1401" s="213"/>
      <c r="BG1401" s="214"/>
    </row>
    <row r="1402" spans="9:59" s="211" customFormat="1">
      <c r="I1402" s="213"/>
      <c r="J1402" s="213"/>
      <c r="K1402" s="213"/>
      <c r="L1402" s="213"/>
      <c r="BG1402" s="214"/>
    </row>
    <row r="1403" spans="9:59" s="211" customFormat="1">
      <c r="I1403" s="213"/>
      <c r="J1403" s="213"/>
      <c r="K1403" s="213"/>
      <c r="L1403" s="213"/>
      <c r="BG1403" s="214"/>
    </row>
    <row r="1404" spans="9:59" s="211" customFormat="1">
      <c r="I1404" s="213"/>
      <c r="J1404" s="213"/>
      <c r="K1404" s="213"/>
      <c r="L1404" s="213"/>
      <c r="BG1404" s="214"/>
    </row>
    <row r="1405" spans="9:59" s="211" customFormat="1">
      <c r="I1405" s="213"/>
      <c r="J1405" s="213"/>
      <c r="K1405" s="213"/>
      <c r="L1405" s="213"/>
      <c r="BG1405" s="214"/>
    </row>
    <row r="1406" spans="9:59" s="211" customFormat="1">
      <c r="I1406" s="213"/>
      <c r="J1406" s="213"/>
      <c r="K1406" s="213"/>
      <c r="L1406" s="213"/>
      <c r="BG1406" s="214"/>
    </row>
    <row r="1407" spans="9:59" s="211" customFormat="1">
      <c r="I1407" s="213"/>
      <c r="J1407" s="213"/>
      <c r="K1407" s="213"/>
      <c r="L1407" s="213"/>
      <c r="BG1407" s="214"/>
    </row>
    <row r="1408" spans="9:59" s="211" customFormat="1">
      <c r="I1408" s="213"/>
      <c r="J1408" s="213"/>
      <c r="K1408" s="213"/>
      <c r="L1408" s="213"/>
      <c r="BG1408" s="214"/>
    </row>
    <row r="1409" spans="9:59" s="211" customFormat="1">
      <c r="I1409" s="213"/>
      <c r="J1409" s="213"/>
      <c r="K1409" s="213"/>
      <c r="L1409" s="213"/>
      <c r="BG1409" s="214"/>
    </row>
    <row r="1410" spans="9:59" s="211" customFormat="1">
      <c r="I1410" s="213"/>
      <c r="J1410" s="213"/>
      <c r="K1410" s="213"/>
      <c r="L1410" s="213"/>
      <c r="BG1410" s="214"/>
    </row>
    <row r="1411" spans="9:59" s="211" customFormat="1">
      <c r="I1411" s="213"/>
      <c r="J1411" s="213"/>
      <c r="K1411" s="213"/>
      <c r="L1411" s="213"/>
      <c r="BG1411" s="214"/>
    </row>
    <row r="1412" spans="9:59" s="211" customFormat="1">
      <c r="I1412" s="213"/>
      <c r="J1412" s="213"/>
      <c r="K1412" s="213"/>
      <c r="L1412" s="213"/>
      <c r="BG1412" s="214"/>
    </row>
    <row r="1413" spans="9:59" s="211" customFormat="1">
      <c r="I1413" s="213"/>
      <c r="J1413" s="213"/>
      <c r="K1413" s="213"/>
      <c r="L1413" s="213"/>
      <c r="BG1413" s="214"/>
    </row>
    <row r="1414" spans="9:59" s="211" customFormat="1">
      <c r="I1414" s="213"/>
      <c r="J1414" s="213"/>
      <c r="K1414" s="213"/>
      <c r="L1414" s="213"/>
      <c r="BG1414" s="214"/>
    </row>
    <row r="1415" spans="9:59" s="211" customFormat="1">
      <c r="I1415" s="213"/>
      <c r="J1415" s="213"/>
      <c r="K1415" s="213"/>
      <c r="L1415" s="213"/>
      <c r="BG1415" s="214"/>
    </row>
    <row r="1416" spans="9:59" s="211" customFormat="1">
      <c r="I1416" s="213"/>
      <c r="J1416" s="213"/>
      <c r="K1416" s="213"/>
      <c r="L1416" s="213"/>
      <c r="BG1416" s="214"/>
    </row>
    <row r="1417" spans="9:59" s="211" customFormat="1">
      <c r="I1417" s="213"/>
      <c r="J1417" s="213"/>
      <c r="K1417" s="213"/>
      <c r="L1417" s="213"/>
      <c r="BG1417" s="214"/>
    </row>
    <row r="1418" spans="9:59" s="211" customFormat="1">
      <c r="I1418" s="213"/>
      <c r="J1418" s="213"/>
      <c r="K1418" s="213"/>
      <c r="L1418" s="213"/>
      <c r="BG1418" s="214"/>
    </row>
    <row r="1419" spans="9:59" s="211" customFormat="1">
      <c r="I1419" s="213"/>
      <c r="J1419" s="213"/>
      <c r="K1419" s="213"/>
      <c r="L1419" s="213"/>
      <c r="BG1419" s="214"/>
    </row>
    <row r="1420" spans="9:59" s="211" customFormat="1">
      <c r="I1420" s="213"/>
      <c r="J1420" s="213"/>
      <c r="K1420" s="213"/>
      <c r="L1420" s="213"/>
      <c r="BG1420" s="214"/>
    </row>
    <row r="1421" spans="9:59" s="211" customFormat="1">
      <c r="I1421" s="213"/>
      <c r="J1421" s="213"/>
      <c r="K1421" s="213"/>
      <c r="L1421" s="213"/>
      <c r="BG1421" s="214"/>
    </row>
    <row r="1422" spans="9:59" s="211" customFormat="1">
      <c r="I1422" s="213"/>
      <c r="J1422" s="213"/>
      <c r="K1422" s="213"/>
      <c r="L1422" s="213"/>
      <c r="BG1422" s="214"/>
    </row>
    <row r="1423" spans="9:59" s="211" customFormat="1">
      <c r="I1423" s="213"/>
      <c r="J1423" s="213"/>
      <c r="K1423" s="213"/>
      <c r="L1423" s="213"/>
      <c r="BG1423" s="214"/>
    </row>
    <row r="1424" spans="9:59" s="211" customFormat="1">
      <c r="I1424" s="213"/>
      <c r="J1424" s="213"/>
      <c r="K1424" s="213"/>
      <c r="L1424" s="213"/>
      <c r="BG1424" s="214"/>
    </row>
    <row r="1425" spans="9:59" s="211" customFormat="1">
      <c r="I1425" s="213"/>
      <c r="J1425" s="213"/>
      <c r="K1425" s="213"/>
      <c r="L1425" s="213"/>
      <c r="BG1425" s="214"/>
    </row>
    <row r="1426" spans="9:59" s="211" customFormat="1">
      <c r="I1426" s="213"/>
      <c r="J1426" s="213"/>
      <c r="K1426" s="213"/>
      <c r="L1426" s="213"/>
      <c r="BG1426" s="214"/>
    </row>
    <row r="1427" spans="9:59" s="211" customFormat="1">
      <c r="I1427" s="213"/>
      <c r="J1427" s="213"/>
      <c r="K1427" s="213"/>
      <c r="L1427" s="213"/>
      <c r="BG1427" s="214"/>
    </row>
    <row r="1428" spans="9:59" s="211" customFormat="1">
      <c r="I1428" s="213"/>
      <c r="J1428" s="213"/>
      <c r="K1428" s="213"/>
      <c r="L1428" s="213"/>
      <c r="BG1428" s="214"/>
    </row>
    <row r="1429" spans="9:59" s="211" customFormat="1">
      <c r="I1429" s="213"/>
      <c r="J1429" s="213"/>
      <c r="K1429" s="213"/>
      <c r="L1429" s="213"/>
      <c r="BG1429" s="214"/>
    </row>
    <row r="1430" spans="9:59" s="211" customFormat="1">
      <c r="I1430" s="213"/>
      <c r="J1430" s="213"/>
      <c r="K1430" s="213"/>
      <c r="L1430" s="213"/>
      <c r="BG1430" s="214"/>
    </row>
    <row r="1431" spans="9:59" s="211" customFormat="1">
      <c r="I1431" s="213"/>
      <c r="J1431" s="213"/>
      <c r="K1431" s="213"/>
      <c r="L1431" s="213"/>
      <c r="BG1431" s="214"/>
    </row>
    <row r="1432" spans="9:59" s="211" customFormat="1">
      <c r="I1432" s="213"/>
      <c r="J1432" s="213"/>
      <c r="K1432" s="213"/>
      <c r="L1432" s="213"/>
      <c r="BG1432" s="214"/>
    </row>
    <row r="1433" spans="9:59" s="211" customFormat="1">
      <c r="I1433" s="213"/>
      <c r="J1433" s="213"/>
      <c r="K1433" s="213"/>
      <c r="L1433" s="213"/>
      <c r="BG1433" s="214"/>
    </row>
    <row r="1434" spans="9:59" s="211" customFormat="1">
      <c r="I1434" s="213"/>
      <c r="J1434" s="213"/>
      <c r="K1434" s="213"/>
      <c r="L1434" s="213"/>
      <c r="BG1434" s="214"/>
    </row>
    <row r="1435" spans="9:59" s="211" customFormat="1">
      <c r="I1435" s="213"/>
      <c r="J1435" s="213"/>
      <c r="K1435" s="213"/>
      <c r="L1435" s="213"/>
      <c r="BG1435" s="214"/>
    </row>
    <row r="1436" spans="9:59" s="211" customFormat="1">
      <c r="I1436" s="213"/>
      <c r="J1436" s="213"/>
      <c r="K1436" s="213"/>
      <c r="L1436" s="213"/>
      <c r="BG1436" s="214"/>
    </row>
    <row r="1437" spans="9:59" s="211" customFormat="1">
      <c r="I1437" s="213"/>
      <c r="J1437" s="213"/>
      <c r="K1437" s="213"/>
      <c r="L1437" s="213"/>
      <c r="BG1437" s="214"/>
    </row>
    <row r="1438" spans="9:59" s="211" customFormat="1">
      <c r="I1438" s="213"/>
      <c r="J1438" s="213"/>
      <c r="K1438" s="213"/>
      <c r="L1438" s="213"/>
      <c r="BG1438" s="214"/>
    </row>
    <row r="1439" spans="9:59" s="211" customFormat="1">
      <c r="I1439" s="213"/>
      <c r="J1439" s="213"/>
      <c r="K1439" s="213"/>
      <c r="L1439" s="213"/>
      <c r="BG1439" s="214"/>
    </row>
    <row r="1440" spans="9:59" s="211" customFormat="1">
      <c r="I1440" s="213"/>
      <c r="J1440" s="213"/>
      <c r="K1440" s="213"/>
      <c r="L1440" s="213"/>
      <c r="BG1440" s="214"/>
    </row>
    <row r="1441" spans="9:59" s="211" customFormat="1">
      <c r="I1441" s="213"/>
      <c r="J1441" s="213"/>
      <c r="K1441" s="213"/>
      <c r="L1441" s="213"/>
      <c r="BG1441" s="214"/>
    </row>
    <row r="1442" spans="9:59" s="211" customFormat="1">
      <c r="I1442" s="213"/>
      <c r="J1442" s="213"/>
      <c r="K1442" s="213"/>
      <c r="L1442" s="213"/>
      <c r="BG1442" s="214"/>
    </row>
    <row r="1443" spans="9:59" s="211" customFormat="1">
      <c r="I1443" s="213"/>
      <c r="J1443" s="213"/>
      <c r="K1443" s="213"/>
      <c r="L1443" s="213"/>
      <c r="BG1443" s="214"/>
    </row>
    <row r="1444" spans="9:59" s="211" customFormat="1">
      <c r="I1444" s="213"/>
      <c r="J1444" s="213"/>
      <c r="K1444" s="213"/>
      <c r="L1444" s="213"/>
      <c r="BG1444" s="214"/>
    </row>
    <row r="1445" spans="9:59" s="211" customFormat="1">
      <c r="I1445" s="213"/>
      <c r="J1445" s="213"/>
      <c r="K1445" s="213"/>
      <c r="L1445" s="213"/>
      <c r="BG1445" s="214"/>
    </row>
    <row r="1446" spans="9:59" s="211" customFormat="1">
      <c r="I1446" s="213"/>
      <c r="J1446" s="213"/>
      <c r="K1446" s="213"/>
      <c r="L1446" s="213"/>
      <c r="BG1446" s="214"/>
    </row>
    <row r="1447" spans="9:59" s="211" customFormat="1">
      <c r="I1447" s="213"/>
      <c r="J1447" s="213"/>
      <c r="K1447" s="213"/>
      <c r="L1447" s="213"/>
      <c r="BG1447" s="214"/>
    </row>
    <row r="1448" spans="9:59" s="211" customFormat="1">
      <c r="I1448" s="213"/>
      <c r="J1448" s="213"/>
      <c r="K1448" s="213"/>
      <c r="L1448" s="213"/>
      <c r="BG1448" s="214"/>
    </row>
    <row r="1449" spans="9:59" s="211" customFormat="1">
      <c r="I1449" s="213"/>
      <c r="J1449" s="213"/>
      <c r="K1449" s="213"/>
      <c r="L1449" s="213"/>
      <c r="BG1449" s="214"/>
    </row>
    <row r="1450" spans="9:59" s="211" customFormat="1">
      <c r="I1450" s="213"/>
      <c r="J1450" s="213"/>
      <c r="K1450" s="213"/>
      <c r="L1450" s="213"/>
      <c r="BG1450" s="214"/>
    </row>
    <row r="1451" spans="9:59" s="211" customFormat="1">
      <c r="I1451" s="213"/>
      <c r="J1451" s="213"/>
      <c r="K1451" s="213"/>
      <c r="L1451" s="213"/>
      <c r="BG1451" s="214"/>
    </row>
    <row r="1452" spans="9:59" s="211" customFormat="1">
      <c r="I1452" s="213"/>
      <c r="J1452" s="213"/>
      <c r="K1452" s="213"/>
      <c r="L1452" s="213"/>
      <c r="BG1452" s="214"/>
    </row>
    <row r="1453" spans="9:59" s="211" customFormat="1">
      <c r="I1453" s="213"/>
      <c r="J1453" s="213"/>
      <c r="K1453" s="213"/>
      <c r="L1453" s="213"/>
      <c r="BG1453" s="214"/>
    </row>
    <row r="1454" spans="9:59" s="211" customFormat="1">
      <c r="I1454" s="213"/>
      <c r="J1454" s="213"/>
      <c r="K1454" s="213"/>
      <c r="L1454" s="213"/>
      <c r="BG1454" s="214"/>
    </row>
    <row r="1455" spans="9:59" s="211" customFormat="1">
      <c r="I1455" s="213"/>
      <c r="J1455" s="213"/>
      <c r="K1455" s="213"/>
      <c r="L1455" s="213"/>
      <c r="BG1455" s="214"/>
    </row>
    <row r="1456" spans="9:59" s="211" customFormat="1">
      <c r="I1456" s="213"/>
      <c r="J1456" s="213"/>
      <c r="K1456" s="213"/>
      <c r="L1456" s="213"/>
      <c r="BG1456" s="214"/>
    </row>
    <row r="1457" spans="9:59" s="211" customFormat="1">
      <c r="I1457" s="213"/>
      <c r="J1457" s="213"/>
      <c r="K1457" s="213"/>
      <c r="L1457" s="213"/>
      <c r="BG1457" s="214"/>
    </row>
    <row r="1458" spans="9:59" s="211" customFormat="1">
      <c r="I1458" s="213"/>
      <c r="J1458" s="213"/>
      <c r="K1458" s="213"/>
      <c r="L1458" s="213"/>
      <c r="BG1458" s="214"/>
    </row>
    <row r="1459" spans="9:59" s="211" customFormat="1">
      <c r="I1459" s="213"/>
      <c r="J1459" s="213"/>
      <c r="K1459" s="213"/>
      <c r="L1459" s="213"/>
      <c r="BG1459" s="214"/>
    </row>
    <row r="1460" spans="9:59" s="211" customFormat="1">
      <c r="I1460" s="213"/>
      <c r="J1460" s="213"/>
      <c r="K1460" s="213"/>
      <c r="L1460" s="213"/>
      <c r="BG1460" s="214"/>
    </row>
    <row r="1461" spans="9:59" s="211" customFormat="1">
      <c r="I1461" s="213"/>
      <c r="J1461" s="213"/>
      <c r="K1461" s="213"/>
      <c r="L1461" s="213"/>
      <c r="BG1461" s="214"/>
    </row>
    <row r="1462" spans="9:59" s="211" customFormat="1">
      <c r="I1462" s="213"/>
      <c r="J1462" s="213"/>
      <c r="K1462" s="213"/>
      <c r="L1462" s="213"/>
      <c r="BG1462" s="214"/>
    </row>
    <row r="1463" spans="9:59" s="211" customFormat="1">
      <c r="I1463" s="213"/>
      <c r="J1463" s="213"/>
      <c r="K1463" s="213"/>
      <c r="L1463" s="213"/>
      <c r="BG1463" s="214"/>
    </row>
    <row r="1464" spans="9:59" s="211" customFormat="1">
      <c r="I1464" s="213"/>
      <c r="J1464" s="213"/>
      <c r="K1464" s="213"/>
      <c r="L1464" s="213"/>
      <c r="BG1464" s="214"/>
    </row>
    <row r="1465" spans="9:59" s="211" customFormat="1">
      <c r="I1465" s="213"/>
      <c r="J1465" s="213"/>
      <c r="K1465" s="213"/>
      <c r="L1465" s="213"/>
      <c r="BG1465" s="214"/>
    </row>
    <row r="1466" spans="9:59" s="211" customFormat="1">
      <c r="I1466" s="213"/>
      <c r="J1466" s="213"/>
      <c r="K1466" s="213"/>
      <c r="L1466" s="213"/>
      <c r="BG1466" s="214"/>
    </row>
    <row r="1467" spans="9:59" s="211" customFormat="1">
      <c r="I1467" s="213"/>
      <c r="J1467" s="213"/>
      <c r="K1467" s="213"/>
      <c r="L1467" s="213"/>
      <c r="BG1467" s="214"/>
    </row>
    <row r="1468" spans="9:59" s="211" customFormat="1">
      <c r="I1468" s="213"/>
      <c r="J1468" s="213"/>
      <c r="K1468" s="213"/>
      <c r="L1468" s="213"/>
      <c r="BG1468" s="214"/>
    </row>
    <row r="1469" spans="9:59" s="211" customFormat="1">
      <c r="I1469" s="213"/>
      <c r="J1469" s="213"/>
      <c r="K1469" s="213"/>
      <c r="L1469" s="213"/>
      <c r="BG1469" s="214"/>
    </row>
    <row r="1470" spans="9:59" s="211" customFormat="1">
      <c r="I1470" s="213"/>
      <c r="J1470" s="213"/>
      <c r="K1470" s="213"/>
      <c r="L1470" s="213"/>
      <c r="BG1470" s="214"/>
    </row>
    <row r="1471" spans="9:59" s="211" customFormat="1">
      <c r="I1471" s="213"/>
      <c r="J1471" s="213"/>
      <c r="K1471" s="213"/>
      <c r="L1471" s="213"/>
      <c r="BG1471" s="214"/>
    </row>
    <row r="1472" spans="9:59" s="211" customFormat="1">
      <c r="I1472" s="213"/>
      <c r="J1472" s="213"/>
      <c r="K1472" s="213"/>
      <c r="L1472" s="213"/>
      <c r="BG1472" s="214"/>
    </row>
    <row r="1473" spans="9:59" s="211" customFormat="1">
      <c r="I1473" s="213"/>
      <c r="J1473" s="213"/>
      <c r="K1473" s="213"/>
      <c r="L1473" s="213"/>
      <c r="BG1473" s="214"/>
    </row>
    <row r="1474" spans="9:59" s="211" customFormat="1">
      <c r="I1474" s="213"/>
      <c r="J1474" s="213"/>
      <c r="K1474" s="213"/>
      <c r="L1474" s="213"/>
      <c r="BG1474" s="214"/>
    </row>
    <row r="1475" spans="9:59" s="211" customFormat="1">
      <c r="I1475" s="213"/>
      <c r="J1475" s="213"/>
      <c r="K1475" s="213"/>
      <c r="L1475" s="213"/>
      <c r="BG1475" s="214"/>
    </row>
    <row r="1476" spans="9:59" s="211" customFormat="1">
      <c r="I1476" s="213"/>
      <c r="J1476" s="213"/>
      <c r="K1476" s="213"/>
      <c r="L1476" s="213"/>
      <c r="BG1476" s="214"/>
    </row>
    <row r="1477" spans="9:59" s="211" customFormat="1">
      <c r="I1477" s="213"/>
      <c r="J1477" s="213"/>
      <c r="K1477" s="213"/>
      <c r="L1477" s="213"/>
      <c r="BG1477" s="214"/>
    </row>
    <row r="1478" spans="9:59" s="211" customFormat="1">
      <c r="I1478" s="213"/>
      <c r="J1478" s="213"/>
      <c r="K1478" s="213"/>
      <c r="L1478" s="213"/>
      <c r="BG1478" s="214"/>
    </row>
    <row r="1479" spans="9:59" s="211" customFormat="1">
      <c r="I1479" s="213"/>
      <c r="J1479" s="213"/>
      <c r="K1479" s="213"/>
      <c r="L1479" s="213"/>
      <c r="BG1479" s="214"/>
    </row>
    <row r="1480" spans="9:59" s="211" customFormat="1">
      <c r="I1480" s="213"/>
      <c r="J1480" s="213"/>
      <c r="K1480" s="213"/>
      <c r="L1480" s="213"/>
      <c r="BG1480" s="214"/>
    </row>
    <row r="1481" spans="9:59" s="211" customFormat="1">
      <c r="I1481" s="213"/>
      <c r="J1481" s="213"/>
      <c r="K1481" s="213"/>
      <c r="L1481" s="213"/>
      <c r="BG1481" s="214"/>
    </row>
    <row r="1482" spans="9:59" s="211" customFormat="1">
      <c r="I1482" s="213"/>
      <c r="J1482" s="213"/>
      <c r="K1482" s="213"/>
      <c r="L1482" s="213"/>
      <c r="BG1482" s="214"/>
    </row>
    <row r="1483" spans="9:59" s="211" customFormat="1">
      <c r="I1483" s="213"/>
      <c r="J1483" s="213"/>
      <c r="K1483" s="213"/>
      <c r="L1483" s="213"/>
      <c r="BG1483" s="214"/>
    </row>
    <row r="1484" spans="9:59" s="211" customFormat="1">
      <c r="I1484" s="213"/>
      <c r="J1484" s="213"/>
      <c r="K1484" s="213"/>
      <c r="L1484" s="213"/>
      <c r="BG1484" s="214"/>
    </row>
    <row r="1485" spans="9:59" s="211" customFormat="1">
      <c r="I1485" s="213"/>
      <c r="J1485" s="213"/>
      <c r="K1485" s="213"/>
      <c r="L1485" s="213"/>
      <c r="BG1485" s="214"/>
    </row>
    <row r="1486" spans="9:59" s="211" customFormat="1">
      <c r="I1486" s="213"/>
      <c r="J1486" s="213"/>
      <c r="K1486" s="213"/>
      <c r="L1486" s="213"/>
      <c r="BG1486" s="214"/>
    </row>
    <row r="1487" spans="9:59" s="211" customFormat="1">
      <c r="I1487" s="213"/>
      <c r="J1487" s="213"/>
      <c r="K1487" s="213"/>
      <c r="L1487" s="213"/>
      <c r="BG1487" s="214"/>
    </row>
    <row r="1488" spans="9:59" s="211" customFormat="1">
      <c r="I1488" s="213"/>
      <c r="J1488" s="213"/>
      <c r="K1488" s="213"/>
      <c r="L1488" s="213"/>
      <c r="BG1488" s="214"/>
    </row>
    <row r="1489" spans="9:59" s="211" customFormat="1">
      <c r="I1489" s="213"/>
      <c r="J1489" s="213"/>
      <c r="K1489" s="213"/>
      <c r="L1489" s="213"/>
      <c r="BG1489" s="214"/>
    </row>
    <row r="1490" spans="9:59" s="211" customFormat="1">
      <c r="I1490" s="213"/>
      <c r="J1490" s="213"/>
      <c r="K1490" s="213"/>
      <c r="L1490" s="213"/>
      <c r="BG1490" s="214"/>
    </row>
    <row r="1491" spans="9:59" s="211" customFormat="1">
      <c r="I1491" s="213"/>
      <c r="J1491" s="213"/>
      <c r="K1491" s="213"/>
      <c r="L1491" s="213"/>
      <c r="BG1491" s="214"/>
    </row>
    <row r="1492" spans="9:59" s="211" customFormat="1">
      <c r="I1492" s="213"/>
      <c r="J1492" s="213"/>
      <c r="K1492" s="213"/>
      <c r="L1492" s="213"/>
      <c r="BG1492" s="214"/>
    </row>
    <row r="1493" spans="9:59" s="211" customFormat="1">
      <c r="I1493" s="213"/>
      <c r="J1493" s="213"/>
      <c r="K1493" s="213"/>
      <c r="L1493" s="213"/>
      <c r="BG1493" s="214"/>
    </row>
    <row r="1494" spans="9:59" s="211" customFormat="1">
      <c r="I1494" s="213"/>
      <c r="J1494" s="213"/>
      <c r="K1494" s="213"/>
      <c r="L1494" s="213"/>
      <c r="BG1494" s="214"/>
    </row>
    <row r="1495" spans="9:59" s="211" customFormat="1">
      <c r="I1495" s="213"/>
      <c r="J1495" s="213"/>
      <c r="K1495" s="213"/>
      <c r="L1495" s="213"/>
      <c r="BG1495" s="214"/>
    </row>
    <row r="1496" spans="9:59" s="211" customFormat="1">
      <c r="I1496" s="213"/>
      <c r="J1496" s="213"/>
      <c r="K1496" s="213"/>
      <c r="L1496" s="213"/>
      <c r="BG1496" s="214"/>
    </row>
    <row r="1497" spans="9:59" s="211" customFormat="1">
      <c r="I1497" s="213"/>
      <c r="J1497" s="213"/>
      <c r="K1497" s="213"/>
      <c r="L1497" s="213"/>
      <c r="BG1497" s="214"/>
    </row>
    <row r="1498" spans="9:59" s="211" customFormat="1">
      <c r="I1498" s="213"/>
      <c r="J1498" s="213"/>
      <c r="K1498" s="213"/>
      <c r="L1498" s="213"/>
      <c r="BG1498" s="214"/>
    </row>
    <row r="1499" spans="9:59" s="211" customFormat="1">
      <c r="I1499" s="213"/>
      <c r="J1499" s="213"/>
      <c r="K1499" s="213"/>
      <c r="L1499" s="213"/>
      <c r="BG1499" s="214"/>
    </row>
    <row r="1500" spans="9:59" s="211" customFormat="1">
      <c r="I1500" s="213"/>
      <c r="J1500" s="213"/>
      <c r="K1500" s="213"/>
      <c r="L1500" s="213"/>
      <c r="BG1500" s="214"/>
    </row>
    <row r="1501" spans="9:59" s="211" customFormat="1">
      <c r="I1501" s="213"/>
      <c r="J1501" s="213"/>
      <c r="K1501" s="213"/>
      <c r="L1501" s="213"/>
      <c r="BG1501" s="214"/>
    </row>
    <row r="1502" spans="9:59" s="211" customFormat="1">
      <c r="I1502" s="213"/>
      <c r="J1502" s="213"/>
      <c r="K1502" s="213"/>
      <c r="L1502" s="213"/>
      <c r="BG1502" s="214"/>
    </row>
    <row r="1503" spans="9:59" s="211" customFormat="1">
      <c r="I1503" s="213"/>
      <c r="J1503" s="213"/>
      <c r="K1503" s="213"/>
      <c r="L1503" s="213"/>
      <c r="BG1503" s="214"/>
    </row>
    <row r="1504" spans="9:59" s="211" customFormat="1">
      <c r="I1504" s="213"/>
      <c r="J1504" s="213"/>
      <c r="K1504" s="213"/>
      <c r="L1504" s="213"/>
      <c r="BG1504" s="214"/>
    </row>
    <row r="1505" spans="9:59" s="211" customFormat="1">
      <c r="I1505" s="213"/>
      <c r="J1505" s="213"/>
      <c r="K1505" s="213"/>
      <c r="L1505" s="213"/>
      <c r="BG1505" s="214"/>
    </row>
    <row r="1506" spans="9:59" s="211" customFormat="1">
      <c r="I1506" s="213"/>
      <c r="J1506" s="213"/>
      <c r="K1506" s="213"/>
      <c r="L1506" s="213"/>
      <c r="BG1506" s="214"/>
    </row>
    <row r="1507" spans="9:59" s="211" customFormat="1">
      <c r="I1507" s="213"/>
      <c r="J1507" s="213"/>
      <c r="K1507" s="213"/>
      <c r="L1507" s="213"/>
      <c r="BG1507" s="214"/>
    </row>
    <row r="1508" spans="9:59" s="211" customFormat="1">
      <c r="I1508" s="213"/>
      <c r="J1508" s="213"/>
      <c r="K1508" s="213"/>
      <c r="L1508" s="213"/>
      <c r="BG1508" s="214"/>
    </row>
    <row r="1509" spans="9:59" s="211" customFormat="1">
      <c r="I1509" s="213"/>
      <c r="J1509" s="213"/>
      <c r="K1509" s="213"/>
      <c r="L1509" s="213"/>
      <c r="BG1509" s="214"/>
    </row>
    <row r="1510" spans="9:59" s="211" customFormat="1">
      <c r="I1510" s="213"/>
      <c r="J1510" s="213"/>
      <c r="K1510" s="213"/>
      <c r="L1510" s="213"/>
      <c r="BG1510" s="214"/>
    </row>
    <row r="1511" spans="9:59" s="211" customFormat="1">
      <c r="I1511" s="213"/>
      <c r="J1511" s="213"/>
      <c r="K1511" s="213"/>
      <c r="L1511" s="213"/>
      <c r="BG1511" s="214"/>
    </row>
    <row r="1512" spans="9:59" s="211" customFormat="1">
      <c r="I1512" s="213"/>
      <c r="J1512" s="213"/>
      <c r="K1512" s="213"/>
      <c r="L1512" s="213"/>
      <c r="BG1512" s="214"/>
    </row>
    <row r="1513" spans="9:59" s="211" customFormat="1">
      <c r="I1513" s="213"/>
      <c r="J1513" s="213"/>
      <c r="K1513" s="213"/>
      <c r="L1513" s="213"/>
      <c r="BG1513" s="214"/>
    </row>
    <row r="1514" spans="9:59" s="211" customFormat="1">
      <c r="I1514" s="213"/>
      <c r="J1514" s="213"/>
      <c r="K1514" s="213"/>
      <c r="L1514" s="213"/>
      <c r="BG1514" s="214"/>
    </row>
    <row r="1515" spans="9:59" s="211" customFormat="1">
      <c r="I1515" s="213"/>
      <c r="J1515" s="213"/>
      <c r="K1515" s="213"/>
      <c r="L1515" s="213"/>
      <c r="BG1515" s="214"/>
    </row>
    <row r="1516" spans="9:59" s="211" customFormat="1">
      <c r="I1516" s="213"/>
      <c r="J1516" s="213"/>
      <c r="K1516" s="213"/>
      <c r="L1516" s="213"/>
      <c r="BG1516" s="214"/>
    </row>
    <row r="1517" spans="9:59" s="211" customFormat="1">
      <c r="I1517" s="213"/>
      <c r="J1517" s="213"/>
      <c r="K1517" s="213"/>
      <c r="L1517" s="213"/>
      <c r="BG1517" s="214"/>
    </row>
    <row r="1518" spans="9:59" s="211" customFormat="1">
      <c r="I1518" s="213"/>
      <c r="J1518" s="213"/>
      <c r="K1518" s="213"/>
      <c r="L1518" s="213"/>
      <c r="BG1518" s="214"/>
    </row>
    <row r="1519" spans="9:59" s="211" customFormat="1">
      <c r="I1519" s="213"/>
      <c r="J1519" s="213"/>
      <c r="K1519" s="213"/>
      <c r="L1519" s="213"/>
      <c r="BG1519" s="214"/>
    </row>
    <row r="1520" spans="9:59" s="211" customFormat="1">
      <c r="I1520" s="213"/>
      <c r="J1520" s="213"/>
      <c r="K1520" s="213"/>
      <c r="L1520" s="213"/>
      <c r="BG1520" s="214"/>
    </row>
    <row r="1521" spans="9:59" s="211" customFormat="1">
      <c r="I1521" s="213"/>
      <c r="J1521" s="213"/>
      <c r="K1521" s="213"/>
      <c r="L1521" s="213"/>
      <c r="BG1521" s="214"/>
    </row>
    <row r="1522" spans="9:59" s="211" customFormat="1">
      <c r="I1522" s="213"/>
      <c r="J1522" s="213"/>
      <c r="K1522" s="213"/>
      <c r="L1522" s="213"/>
      <c r="BG1522" s="214"/>
    </row>
    <row r="1523" spans="9:59" s="211" customFormat="1">
      <c r="I1523" s="213"/>
      <c r="J1523" s="213"/>
      <c r="K1523" s="213"/>
      <c r="L1523" s="213"/>
      <c r="BG1523" s="214"/>
    </row>
    <row r="1524" spans="9:59" s="211" customFormat="1">
      <c r="I1524" s="213"/>
      <c r="J1524" s="213"/>
      <c r="K1524" s="213"/>
      <c r="L1524" s="213"/>
      <c r="BG1524" s="214"/>
    </row>
    <row r="1525" spans="9:59" s="211" customFormat="1">
      <c r="I1525" s="213"/>
      <c r="J1525" s="213"/>
      <c r="K1525" s="213"/>
      <c r="L1525" s="213"/>
      <c r="BG1525" s="214"/>
    </row>
    <row r="1526" spans="9:59" s="211" customFormat="1">
      <c r="I1526" s="213"/>
      <c r="J1526" s="213"/>
      <c r="K1526" s="213"/>
      <c r="L1526" s="213"/>
      <c r="BG1526" s="214"/>
    </row>
    <row r="1527" spans="9:59" s="211" customFormat="1">
      <c r="I1527" s="213"/>
      <c r="J1527" s="213"/>
      <c r="K1527" s="213"/>
      <c r="L1527" s="213"/>
      <c r="BG1527" s="214"/>
    </row>
    <row r="1528" spans="9:59" s="211" customFormat="1">
      <c r="I1528" s="213"/>
      <c r="J1528" s="213"/>
      <c r="K1528" s="213"/>
      <c r="L1528" s="213"/>
      <c r="BG1528" s="214"/>
    </row>
    <row r="1529" spans="9:59" s="211" customFormat="1">
      <c r="I1529" s="213"/>
      <c r="J1529" s="213"/>
      <c r="K1529" s="213"/>
      <c r="L1529" s="213"/>
      <c r="BG1529" s="214"/>
    </row>
    <row r="1530" spans="9:59" s="211" customFormat="1">
      <c r="I1530" s="213"/>
      <c r="J1530" s="213"/>
      <c r="K1530" s="213"/>
      <c r="L1530" s="213"/>
      <c r="BG1530" s="214"/>
    </row>
    <row r="1531" spans="9:59" s="211" customFormat="1">
      <c r="I1531" s="213"/>
      <c r="J1531" s="213"/>
      <c r="K1531" s="213"/>
      <c r="L1531" s="213"/>
      <c r="BG1531" s="214"/>
    </row>
    <row r="1532" spans="9:59" s="211" customFormat="1">
      <c r="I1532" s="213"/>
      <c r="J1532" s="213"/>
      <c r="K1532" s="213"/>
      <c r="L1532" s="213"/>
      <c r="BG1532" s="214"/>
    </row>
    <row r="1533" spans="9:59" s="211" customFormat="1">
      <c r="I1533" s="213"/>
      <c r="J1533" s="213"/>
      <c r="K1533" s="213"/>
      <c r="L1533" s="213"/>
      <c r="BG1533" s="214"/>
    </row>
    <row r="1534" spans="9:59" s="211" customFormat="1">
      <c r="I1534" s="213"/>
      <c r="J1534" s="213"/>
      <c r="K1534" s="213"/>
      <c r="L1534" s="213"/>
      <c r="BG1534" s="214"/>
    </row>
    <row r="1535" spans="9:59" s="211" customFormat="1">
      <c r="I1535" s="213"/>
      <c r="J1535" s="213"/>
      <c r="K1535" s="213"/>
      <c r="L1535" s="213"/>
      <c r="BG1535" s="214"/>
    </row>
    <row r="1536" spans="9:59" s="211" customFormat="1">
      <c r="I1536" s="213"/>
      <c r="J1536" s="213"/>
      <c r="K1536" s="213"/>
      <c r="L1536" s="213"/>
      <c r="BG1536" s="214"/>
    </row>
    <row r="1537" spans="9:59" s="211" customFormat="1">
      <c r="I1537" s="213"/>
      <c r="J1537" s="213"/>
      <c r="K1537" s="213"/>
      <c r="L1537" s="213"/>
      <c r="BG1537" s="214"/>
    </row>
    <row r="1538" spans="9:59" s="211" customFormat="1">
      <c r="I1538" s="213"/>
      <c r="J1538" s="213"/>
      <c r="K1538" s="213"/>
      <c r="L1538" s="213"/>
      <c r="BG1538" s="214"/>
    </row>
    <row r="1539" spans="9:59" s="211" customFormat="1">
      <c r="I1539" s="213"/>
      <c r="J1539" s="213"/>
      <c r="K1539" s="213"/>
      <c r="L1539" s="213"/>
      <c r="BG1539" s="214"/>
    </row>
    <row r="1540" spans="9:59" s="211" customFormat="1">
      <c r="I1540" s="213"/>
      <c r="J1540" s="213"/>
      <c r="K1540" s="213"/>
      <c r="L1540" s="213"/>
      <c r="BG1540" s="214"/>
    </row>
    <row r="1541" spans="9:59" s="211" customFormat="1">
      <c r="I1541" s="213"/>
      <c r="J1541" s="213"/>
      <c r="K1541" s="213"/>
      <c r="L1541" s="213"/>
      <c r="BG1541" s="214"/>
    </row>
    <row r="1542" spans="9:59" s="211" customFormat="1">
      <c r="I1542" s="213"/>
      <c r="J1542" s="213"/>
      <c r="K1542" s="213"/>
      <c r="L1542" s="213"/>
      <c r="BG1542" s="214"/>
    </row>
    <row r="1543" spans="9:59" s="211" customFormat="1">
      <c r="I1543" s="213"/>
      <c r="J1543" s="213"/>
      <c r="K1543" s="213"/>
      <c r="L1543" s="213"/>
      <c r="BG1543" s="214"/>
    </row>
    <row r="1544" spans="9:59" s="211" customFormat="1">
      <c r="I1544" s="213"/>
      <c r="J1544" s="213"/>
      <c r="K1544" s="213"/>
      <c r="L1544" s="213"/>
      <c r="BG1544" s="214"/>
    </row>
    <row r="1545" spans="9:59" s="211" customFormat="1">
      <c r="I1545" s="213"/>
      <c r="J1545" s="213"/>
      <c r="K1545" s="213"/>
      <c r="L1545" s="213"/>
      <c r="BG1545" s="214"/>
    </row>
    <row r="1546" spans="9:59" s="211" customFormat="1">
      <c r="I1546" s="213"/>
      <c r="J1546" s="213"/>
      <c r="K1546" s="213"/>
      <c r="L1546" s="213"/>
      <c r="BG1546" s="214"/>
    </row>
    <row r="1547" spans="9:59" s="211" customFormat="1">
      <c r="I1547" s="213"/>
      <c r="J1547" s="213"/>
      <c r="K1547" s="213"/>
      <c r="L1547" s="213"/>
      <c r="BG1547" s="214"/>
    </row>
    <row r="1548" spans="9:59" s="211" customFormat="1">
      <c r="I1548" s="213"/>
      <c r="J1548" s="213"/>
      <c r="K1548" s="213"/>
      <c r="L1548" s="213"/>
      <c r="BG1548" s="214"/>
    </row>
    <row r="1549" spans="9:59" s="211" customFormat="1">
      <c r="I1549" s="213"/>
      <c r="J1549" s="213"/>
      <c r="K1549" s="213"/>
      <c r="L1549" s="213"/>
      <c r="BG1549" s="214"/>
    </row>
    <row r="1550" spans="9:59" s="211" customFormat="1">
      <c r="I1550" s="213"/>
      <c r="J1550" s="213"/>
      <c r="K1550" s="213"/>
      <c r="L1550" s="213"/>
      <c r="BG1550" s="214"/>
    </row>
    <row r="1551" spans="9:59" s="211" customFormat="1">
      <c r="I1551" s="213"/>
      <c r="J1551" s="213"/>
      <c r="K1551" s="213"/>
      <c r="L1551" s="213"/>
      <c r="BG1551" s="214"/>
    </row>
    <row r="1552" spans="9:59" s="211" customFormat="1">
      <c r="I1552" s="213"/>
      <c r="J1552" s="213"/>
      <c r="K1552" s="213"/>
      <c r="L1552" s="213"/>
      <c r="BG1552" s="214"/>
    </row>
    <row r="1553" spans="9:59" s="211" customFormat="1">
      <c r="I1553" s="213"/>
      <c r="J1553" s="213"/>
      <c r="K1553" s="213"/>
      <c r="L1553" s="213"/>
      <c r="BG1553" s="214"/>
    </row>
    <row r="1554" spans="9:59" s="211" customFormat="1">
      <c r="I1554" s="213"/>
      <c r="J1554" s="213"/>
      <c r="K1554" s="213"/>
      <c r="L1554" s="213"/>
      <c r="BG1554" s="214"/>
    </row>
    <row r="1555" spans="9:59" s="211" customFormat="1">
      <c r="I1555" s="213"/>
      <c r="J1555" s="213"/>
      <c r="K1555" s="213"/>
      <c r="L1555" s="213"/>
      <c r="BG1555" s="214"/>
    </row>
    <row r="1556" spans="9:59" s="211" customFormat="1">
      <c r="I1556" s="213"/>
      <c r="J1556" s="213"/>
      <c r="K1556" s="213"/>
      <c r="L1556" s="213"/>
      <c r="BG1556" s="214"/>
    </row>
    <row r="1557" spans="9:59" s="211" customFormat="1">
      <c r="I1557" s="213"/>
      <c r="J1557" s="213"/>
      <c r="K1557" s="213"/>
      <c r="L1557" s="213"/>
      <c r="BG1557" s="214"/>
    </row>
    <row r="1558" spans="9:59" s="211" customFormat="1">
      <c r="I1558" s="213"/>
      <c r="J1558" s="213"/>
      <c r="K1558" s="213"/>
      <c r="L1558" s="213"/>
      <c r="BG1558" s="214"/>
    </row>
    <row r="1559" spans="9:59" s="211" customFormat="1">
      <c r="I1559" s="213"/>
      <c r="J1559" s="213"/>
      <c r="K1559" s="213"/>
      <c r="L1559" s="213"/>
      <c r="BG1559" s="214"/>
    </row>
    <row r="1560" spans="9:59" s="211" customFormat="1">
      <c r="I1560" s="213"/>
      <c r="J1560" s="213"/>
      <c r="K1560" s="213"/>
      <c r="L1560" s="213"/>
      <c r="BG1560" s="214"/>
    </row>
    <row r="1561" spans="9:59" s="211" customFormat="1">
      <c r="I1561" s="213"/>
      <c r="J1561" s="213"/>
      <c r="K1561" s="213"/>
      <c r="L1561" s="213"/>
      <c r="BG1561" s="214"/>
    </row>
    <row r="1562" spans="9:59" s="211" customFormat="1">
      <c r="I1562" s="213"/>
      <c r="J1562" s="213"/>
      <c r="K1562" s="213"/>
      <c r="L1562" s="213"/>
      <c r="BG1562" s="214"/>
    </row>
    <row r="1563" spans="9:59" s="211" customFormat="1">
      <c r="I1563" s="213"/>
      <c r="J1563" s="213"/>
      <c r="K1563" s="213"/>
      <c r="L1563" s="213"/>
      <c r="BG1563" s="214"/>
    </row>
    <row r="1564" spans="9:59" s="211" customFormat="1">
      <c r="I1564" s="213"/>
      <c r="J1564" s="213"/>
      <c r="K1564" s="213"/>
      <c r="L1564" s="213"/>
      <c r="BG1564" s="214"/>
    </row>
    <row r="1565" spans="9:59" s="211" customFormat="1">
      <c r="I1565" s="213"/>
      <c r="J1565" s="213"/>
      <c r="K1565" s="213"/>
      <c r="L1565" s="213"/>
      <c r="BG1565" s="214"/>
    </row>
    <row r="1566" spans="9:59" s="211" customFormat="1">
      <c r="I1566" s="213"/>
      <c r="J1566" s="213"/>
      <c r="K1566" s="213"/>
      <c r="L1566" s="213"/>
      <c r="BG1566" s="214"/>
    </row>
    <row r="1567" spans="9:59" s="211" customFormat="1">
      <c r="I1567" s="213"/>
      <c r="J1567" s="213"/>
      <c r="K1567" s="213"/>
      <c r="L1567" s="213"/>
      <c r="BG1567" s="214"/>
    </row>
    <row r="1568" spans="9:59" s="211" customFormat="1">
      <c r="I1568" s="213"/>
      <c r="J1568" s="213"/>
      <c r="K1568" s="213"/>
      <c r="L1568" s="213"/>
      <c r="BG1568" s="214"/>
    </row>
    <row r="1569" spans="9:59" s="211" customFormat="1">
      <c r="I1569" s="213"/>
      <c r="J1569" s="213"/>
      <c r="K1569" s="213"/>
      <c r="L1569" s="213"/>
      <c r="BG1569" s="214"/>
    </row>
    <row r="1570" spans="9:59" s="211" customFormat="1">
      <c r="I1570" s="213"/>
      <c r="J1570" s="213"/>
      <c r="K1570" s="213"/>
      <c r="L1570" s="213"/>
      <c r="BG1570" s="214"/>
    </row>
    <row r="1571" spans="9:59" s="211" customFormat="1">
      <c r="I1571" s="213"/>
      <c r="J1571" s="213"/>
      <c r="K1571" s="213"/>
      <c r="L1571" s="213"/>
      <c r="BG1571" s="214"/>
    </row>
    <row r="1572" spans="9:59" s="211" customFormat="1">
      <c r="I1572" s="213"/>
      <c r="J1572" s="213"/>
      <c r="K1572" s="213"/>
      <c r="L1572" s="213"/>
      <c r="BG1572" s="214"/>
    </row>
    <row r="1573" spans="9:59" s="211" customFormat="1">
      <c r="I1573" s="213"/>
      <c r="J1573" s="213"/>
      <c r="K1573" s="213"/>
      <c r="L1573" s="213"/>
      <c r="BG1573" s="214"/>
    </row>
    <row r="1574" spans="9:59" s="211" customFormat="1">
      <c r="I1574" s="213"/>
      <c r="J1574" s="213"/>
      <c r="K1574" s="213"/>
      <c r="L1574" s="213"/>
      <c r="BG1574" s="214"/>
    </row>
    <row r="1575" spans="9:59" s="211" customFormat="1">
      <c r="I1575" s="213"/>
      <c r="J1575" s="213"/>
      <c r="K1575" s="213"/>
      <c r="L1575" s="213"/>
      <c r="BG1575" s="214"/>
    </row>
    <row r="1576" spans="9:59" s="211" customFormat="1">
      <c r="I1576" s="213"/>
      <c r="J1576" s="213"/>
      <c r="K1576" s="213"/>
      <c r="L1576" s="213"/>
      <c r="BG1576" s="214"/>
    </row>
    <row r="1577" spans="9:59" s="211" customFormat="1">
      <c r="I1577" s="213"/>
      <c r="J1577" s="213"/>
      <c r="K1577" s="213"/>
      <c r="L1577" s="213"/>
      <c r="BG1577" s="214"/>
    </row>
  </sheetData>
  <mergeCells count="146">
    <mergeCell ref="BA2:BD2"/>
    <mergeCell ref="BA21:BA24"/>
    <mergeCell ref="BB21:BB22"/>
    <mergeCell ref="BC21:BC22"/>
    <mergeCell ref="BD21:BD22"/>
    <mergeCell ref="BB23:BB24"/>
    <mergeCell ref="BC23:BC24"/>
    <mergeCell ref="AO21:AO24"/>
    <mergeCell ref="AP21:AP22"/>
    <mergeCell ref="AQ21:AQ22"/>
    <mergeCell ref="AR21:AR22"/>
    <mergeCell ref="AP23:AP24"/>
    <mergeCell ref="AQ23:AQ24"/>
    <mergeCell ref="AS2:AV2"/>
    <mergeCell ref="AW2:AZ2"/>
    <mergeCell ref="AO2:AR2"/>
    <mergeCell ref="BC25:BD25"/>
    <mergeCell ref="AU25:AV25"/>
    <mergeCell ref="AY25:AZ25"/>
    <mergeCell ref="AM23:AM24"/>
    <mergeCell ref="AK21:AK24"/>
    <mergeCell ref="AL21:AL22"/>
    <mergeCell ref="AM21:AM22"/>
    <mergeCell ref="AI21:AI22"/>
    <mergeCell ref="AJ21:AJ22"/>
    <mergeCell ref="AQ25:AR25"/>
    <mergeCell ref="AS21:AS24"/>
    <mergeCell ref="AT21:AT22"/>
    <mergeCell ref="AU21:AU22"/>
    <mergeCell ref="AV21:AV22"/>
    <mergeCell ref="AW21:AW24"/>
    <mergeCell ref="AX21:AX22"/>
    <mergeCell ref="AT23:AT24"/>
    <mergeCell ref="AU23:AU24"/>
    <mergeCell ref="AV23:AV24"/>
    <mergeCell ref="AX23:AX24"/>
    <mergeCell ref="AY23:AY24"/>
    <mergeCell ref="AZ23:AZ24"/>
    <mergeCell ref="AY21:AY22"/>
    <mergeCell ref="AZ21:AZ22"/>
    <mergeCell ref="AE25:AF25"/>
    <mergeCell ref="U21:U24"/>
    <mergeCell ref="V21:V22"/>
    <mergeCell ref="W21:W22"/>
    <mergeCell ref="X21:X22"/>
    <mergeCell ref="Y21:Y24"/>
    <mergeCell ref="AI25:AJ25"/>
    <mergeCell ref="AM25:AN25"/>
    <mergeCell ref="AC2:AF2"/>
    <mergeCell ref="AC21:AC24"/>
    <mergeCell ref="AD21:AD22"/>
    <mergeCell ref="AE21:AE22"/>
    <mergeCell ref="AF21:AF22"/>
    <mergeCell ref="AG2:AJ2"/>
    <mergeCell ref="AK2:AN2"/>
    <mergeCell ref="AG21:AG24"/>
    <mergeCell ref="AN23:AN24"/>
    <mergeCell ref="AH23:AH24"/>
    <mergeCell ref="AH21:AH22"/>
    <mergeCell ref="U2:X2"/>
    <mergeCell ref="Y2:AB2"/>
    <mergeCell ref="AJ23:AJ24"/>
    <mergeCell ref="AL23:AL24"/>
    <mergeCell ref="AD23:AD24"/>
    <mergeCell ref="M2:P2"/>
    <mergeCell ref="M21:M24"/>
    <mergeCell ref="N21:N22"/>
    <mergeCell ref="O21:O22"/>
    <mergeCell ref="P21:P22"/>
    <mergeCell ref="N23:N24"/>
    <mergeCell ref="O23:O24"/>
    <mergeCell ref="P23:P24"/>
    <mergeCell ref="AB21:AB22"/>
    <mergeCell ref="AE23:AE24"/>
    <mergeCell ref="AF23:AF24"/>
    <mergeCell ref="AB23:AB24"/>
    <mergeCell ref="Q2:T2"/>
    <mergeCell ref="Q21:Q24"/>
    <mergeCell ref="R21:R22"/>
    <mergeCell ref="S21:S22"/>
    <mergeCell ref="T21:T22"/>
    <mergeCell ref="R23:R24"/>
    <mergeCell ref="S23:S24"/>
    <mergeCell ref="T23:T24"/>
    <mergeCell ref="AK27:AL29"/>
    <mergeCell ref="AO27:AP29"/>
    <mergeCell ref="J21:J22"/>
    <mergeCell ref="I21:I24"/>
    <mergeCell ref="J23:J24"/>
    <mergeCell ref="L23:L24"/>
    <mergeCell ref="BH17:BI17"/>
    <mergeCell ref="B12:B19"/>
    <mergeCell ref="D12:D19"/>
    <mergeCell ref="F12:F19"/>
    <mergeCell ref="K23:K24"/>
    <mergeCell ref="L21:L22"/>
    <mergeCell ref="Z21:Z22"/>
    <mergeCell ref="AA21:AA22"/>
    <mergeCell ref="K21:K22"/>
    <mergeCell ref="V23:V24"/>
    <mergeCell ref="W23:W24"/>
    <mergeCell ref="X23:X24"/>
    <mergeCell ref="Z23:Z24"/>
    <mergeCell ref="AA23:AA24"/>
    <mergeCell ref="BD23:BD24"/>
    <mergeCell ref="AR23:AR24"/>
    <mergeCell ref="AN21:AN22"/>
    <mergeCell ref="AI23:AI24"/>
    <mergeCell ref="X51:Y51"/>
    <mergeCell ref="Y32:Y33"/>
    <mergeCell ref="AS27:AT29"/>
    <mergeCell ref="AW27:AX29"/>
    <mergeCell ref="BA27:BB29"/>
    <mergeCell ref="BG2:BO2"/>
    <mergeCell ref="I2:L2"/>
    <mergeCell ref="B4:B11"/>
    <mergeCell ref="D4:D11"/>
    <mergeCell ref="F4:F11"/>
    <mergeCell ref="M27:N29"/>
    <mergeCell ref="Q27:R29"/>
    <mergeCell ref="U27:V29"/>
    <mergeCell ref="Y27:Z29"/>
    <mergeCell ref="AC27:AD29"/>
    <mergeCell ref="BF21:BG22"/>
    <mergeCell ref="BF23:BG24"/>
    <mergeCell ref="C3:D3"/>
    <mergeCell ref="E3:F3"/>
    <mergeCell ref="E4:E11"/>
    <mergeCell ref="E12:E19"/>
    <mergeCell ref="C12:C19"/>
    <mergeCell ref="C4:C11"/>
    <mergeCell ref="AG27:AH29"/>
    <mergeCell ref="Z32:Z33"/>
    <mergeCell ref="AA32:AA33"/>
    <mergeCell ref="C24:D24"/>
    <mergeCell ref="C23:D23"/>
    <mergeCell ref="C26:D26"/>
    <mergeCell ref="C25:D25"/>
    <mergeCell ref="V32:V33"/>
    <mergeCell ref="W32:W33"/>
    <mergeCell ref="X32:X33"/>
    <mergeCell ref="O25:P25"/>
    <mergeCell ref="K25:L25"/>
    <mergeCell ref="W25:X25"/>
    <mergeCell ref="AA25:AB25"/>
    <mergeCell ref="S25:T25"/>
  </mergeCells>
  <conditionalFormatting sqref="I2:I17 L3:L21 J3:K17 M2:M17 P3:P21 N3:O17 G4:H19 M18:O19 Q2:Q17 R3:S17 Q18:S19 U2:U21 T3:T21 Y2:Y21 V3:X21 AC2:AC21 Z3:AB21 AG2:AG21 AD3:AF21 AK2:AK21 AH3:AJ21 AO2:AO21 AL3:AN21 AS2:AS21 AP3:AR21 AW2:AW21 AT3:AV21 BA2:BA21 AX3:AZ21 I18:K19 BB3:BE21 R35:R49">
    <cfRule type="expression" dxfId="83" priority="8">
      <formula>G2=0</formula>
    </cfRule>
  </conditionalFormatting>
  <conditionalFormatting sqref="S35:S49">
    <cfRule type="expression" dxfId="82" priority="4">
      <formula>$S35=1</formula>
    </cfRule>
    <cfRule type="expression" dxfId="81" priority="5">
      <formula>$S35=2</formula>
    </cfRule>
    <cfRule type="expression" dxfId="80" priority="6">
      <formula>$S35=3</formula>
    </cfRule>
  </conditionalFormatting>
  <conditionalFormatting sqref="S36 S39 S42 S45 S48">
    <cfRule type="expression" dxfId="79" priority="1">
      <formula>$S36=1</formula>
    </cfRule>
    <cfRule type="expression" dxfId="78" priority="2">
      <formula>$S36=2</formula>
    </cfRule>
    <cfRule type="expression" dxfId="77" priority="3">
      <formula>$S36=3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ignoredErrors>
    <ignoredError sqref="L30:L31" formulaRange="1"/>
    <ignoredError sqref="BF23 BK21:BK31" evalError="1"/>
  </ignoredErrors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P262"/>
  <sheetViews>
    <sheetView zoomScale="80" zoomScaleNormal="80" workbookViewId="0">
      <pane xSplit="8" ySplit="3" topLeftCell="BQ7" activePane="bottomRight" state="frozenSplit"/>
      <selection pane="topRight" activeCell="C1" sqref="C1"/>
      <selection pane="bottomLeft" activeCell="A27" sqref="A27"/>
      <selection pane="bottomRight" activeCell="BX26" sqref="BX26"/>
    </sheetView>
  </sheetViews>
  <sheetFormatPr defaultRowHeight="15"/>
  <cols>
    <col min="1" max="1" width="9.140625" style="719"/>
    <col min="2" max="2" width="18.5703125" style="275" bestFit="1" customWidth="1"/>
    <col min="3" max="3" width="16.42578125" style="275" bestFit="1" customWidth="1"/>
    <col min="4" max="4" width="5.7109375" style="275" bestFit="1" customWidth="1"/>
    <col min="5" max="5" width="16.42578125" style="275" bestFit="1" customWidth="1"/>
    <col min="6" max="6" width="10.140625" style="275" bestFit="1" customWidth="1"/>
    <col min="7" max="7" width="4.140625" style="275" bestFit="1" customWidth="1"/>
    <col min="8" max="8" width="10" style="275" customWidth="1"/>
    <col min="9" max="9" width="10.7109375" style="275" bestFit="1" customWidth="1"/>
    <col min="10" max="10" width="9.42578125" style="275" customWidth="1"/>
    <col min="11" max="11" width="10.7109375" style="1" bestFit="1" customWidth="1"/>
    <col min="12" max="12" width="9.7109375" style="1" bestFit="1" customWidth="1"/>
    <col min="13" max="13" width="10.7109375" style="1" bestFit="1" customWidth="1"/>
    <col min="14" max="14" width="12" style="169" bestFit="1" customWidth="1"/>
    <col min="15" max="15" width="15" style="169" bestFit="1" customWidth="1"/>
    <col min="16" max="16" width="3.140625" style="1" customWidth="1"/>
    <col min="17" max="17" width="9.28515625" style="1" customWidth="1"/>
    <col min="18" max="18" width="10.85546875" style="1" bestFit="1" customWidth="1"/>
    <col min="19" max="19" width="11" style="169" bestFit="1" customWidth="1"/>
    <col min="20" max="20" width="12.42578125" style="169" bestFit="1" customWidth="1"/>
    <col min="21" max="21" width="7.85546875" style="1" bestFit="1" customWidth="1"/>
    <col min="22" max="22" width="10.85546875" style="1" bestFit="1" customWidth="1"/>
    <col min="23" max="23" width="9.7109375" style="1" bestFit="1" customWidth="1"/>
    <col min="24" max="24" width="12.85546875" style="169" bestFit="1" customWidth="1"/>
    <col min="25" max="25" width="15" style="169" bestFit="1" customWidth="1"/>
    <col min="26" max="26" width="2.5703125" style="1" customWidth="1"/>
    <col min="27" max="27" width="9.5703125" style="1" bestFit="1" customWidth="1"/>
    <col min="28" max="28" width="12.42578125" style="1" bestFit="1" customWidth="1"/>
    <col min="29" max="29" width="12.42578125" style="169" bestFit="1" customWidth="1"/>
    <col min="30" max="30" width="14.5703125" style="169" bestFit="1" customWidth="1"/>
    <col min="31" max="31" width="11.28515625" style="1" bestFit="1" customWidth="1"/>
    <col min="32" max="32" width="9.85546875" style="1" bestFit="1" customWidth="1"/>
    <col min="33" max="33" width="10.7109375" style="1" bestFit="1" customWidth="1"/>
    <col min="34" max="34" width="13.5703125" style="169" bestFit="1" customWidth="1"/>
    <col min="35" max="35" width="15" style="169" bestFit="1" customWidth="1"/>
    <col min="36" max="36" width="9.85546875" style="275" bestFit="1" customWidth="1"/>
    <col min="37" max="38" width="9.28515625" style="275" bestFit="1" customWidth="1"/>
    <col min="39" max="39" width="9.85546875" style="275" bestFit="1" customWidth="1"/>
    <col min="40" max="40" width="10.85546875" style="275" bestFit="1" customWidth="1"/>
    <col min="41" max="41" width="10.5703125" style="275" bestFit="1" customWidth="1"/>
    <col min="42" max="44" width="9.28515625" style="275" bestFit="1" customWidth="1"/>
    <col min="45" max="45" width="9.140625" style="275"/>
    <col min="46" max="46" width="9.28515625" style="275" bestFit="1" customWidth="1"/>
    <col min="47" max="49" width="13" style="275" bestFit="1" customWidth="1"/>
    <col min="50" max="50" width="14.28515625" style="275" bestFit="1" customWidth="1"/>
    <col min="51" max="51" width="13" style="275" bestFit="1" customWidth="1"/>
    <col min="52" max="52" width="10.28515625" style="275" bestFit="1" customWidth="1"/>
    <col min="53" max="53" width="13" style="275" bestFit="1" customWidth="1"/>
    <col min="54" max="54" width="10.28515625" style="275" bestFit="1" customWidth="1"/>
    <col min="55" max="55" width="11.28515625" style="275" bestFit="1" customWidth="1"/>
    <col min="56" max="56" width="9.5703125" style="275" bestFit="1" customWidth="1"/>
    <col min="57" max="57" width="13" style="275" bestFit="1" customWidth="1"/>
    <col min="58" max="58" width="13.140625" style="275" bestFit="1" customWidth="1"/>
    <col min="59" max="59" width="14.28515625" style="275" bestFit="1" customWidth="1"/>
    <col min="60" max="60" width="13.140625" style="275" bestFit="1" customWidth="1"/>
    <col min="61" max="61" width="13" style="275" bestFit="1" customWidth="1"/>
    <col min="62" max="62" width="9.140625" style="275"/>
    <col min="63" max="63" width="13" style="275" bestFit="1" customWidth="1"/>
    <col min="64" max="64" width="9.140625" style="275"/>
    <col min="65" max="65" width="11.42578125" style="275" bestFit="1" customWidth="1"/>
    <col min="66" max="66" width="9.140625" style="275"/>
    <col min="67" max="67" width="13" style="275" bestFit="1" customWidth="1"/>
    <col min="68" max="68" width="9.140625" style="275"/>
    <col min="69" max="69" width="13" style="275" bestFit="1" customWidth="1"/>
    <col min="70" max="70" width="9.140625" style="275"/>
    <col min="71" max="71" width="11.42578125" style="275" bestFit="1" customWidth="1"/>
    <col min="72" max="72" width="9.28515625" style="275" bestFit="1" customWidth="1"/>
    <col min="73" max="73" width="13" style="275" bestFit="1" customWidth="1"/>
    <col min="74" max="74" width="9.140625" style="275"/>
    <col min="75" max="75" width="13" style="275" bestFit="1" customWidth="1"/>
    <col min="76" max="76" width="9.140625" style="275"/>
    <col min="77" max="77" width="13" style="275" bestFit="1" customWidth="1"/>
    <col min="78" max="78" width="9.28515625" style="275" bestFit="1" customWidth="1"/>
    <col min="79" max="80" width="9.140625" style="275"/>
    <col min="81" max="81" width="12.28515625" style="719" bestFit="1" customWidth="1"/>
    <col min="82" max="122" width="9.140625" style="719"/>
    <col min="123" max="16384" width="9.140625" style="1"/>
  </cols>
  <sheetData>
    <row r="1" spans="1:122" s="719" customFormat="1" ht="15.75" thickBot="1">
      <c r="N1" s="721"/>
      <c r="O1" s="721"/>
      <c r="S1" s="721"/>
      <c r="T1" s="721"/>
      <c r="X1" s="721"/>
      <c r="Y1" s="721"/>
      <c r="AC1" s="721"/>
      <c r="AD1" s="721"/>
      <c r="AH1" s="721"/>
      <c r="AI1" s="721"/>
    </row>
    <row r="2" spans="1:122" s="642" customFormat="1" ht="15.75">
      <c r="A2" s="720"/>
      <c r="B2" s="1066" t="s">
        <v>227</v>
      </c>
      <c r="C2" s="1067"/>
      <c r="D2" s="1067"/>
      <c r="E2" s="1067"/>
      <c r="F2" s="1067"/>
      <c r="G2" s="1067"/>
      <c r="H2" s="1068"/>
      <c r="I2" s="1027" t="s">
        <v>226</v>
      </c>
      <c r="J2" s="1028"/>
      <c r="K2" s="1028"/>
      <c r="L2" s="1028"/>
      <c r="M2" s="1028"/>
      <c r="N2" s="1029"/>
      <c r="O2" s="1027" t="s">
        <v>225</v>
      </c>
      <c r="P2" s="1028"/>
      <c r="Q2" s="1028"/>
      <c r="R2" s="1028"/>
      <c r="S2" s="1028"/>
      <c r="T2" s="1029"/>
      <c r="U2" s="1027" t="s">
        <v>224</v>
      </c>
      <c r="V2" s="1028"/>
      <c r="W2" s="1028"/>
      <c r="X2" s="1028"/>
      <c r="Y2" s="1028"/>
      <c r="Z2" s="1029"/>
      <c r="AA2" s="1027" t="s">
        <v>223</v>
      </c>
      <c r="AB2" s="1028"/>
      <c r="AC2" s="1028"/>
      <c r="AD2" s="1028"/>
      <c r="AE2" s="1028"/>
      <c r="AF2" s="1029"/>
      <c r="AG2" s="1027" t="s">
        <v>222</v>
      </c>
      <c r="AH2" s="1028"/>
      <c r="AI2" s="1028"/>
      <c r="AJ2" s="1028"/>
      <c r="AK2" s="1028"/>
      <c r="AL2" s="1029"/>
      <c r="AM2" s="1027" t="s">
        <v>221</v>
      </c>
      <c r="AN2" s="1028"/>
      <c r="AO2" s="1028"/>
      <c r="AP2" s="1028"/>
      <c r="AQ2" s="1028"/>
      <c r="AR2" s="1029"/>
      <c r="AS2" s="1027" t="s">
        <v>220</v>
      </c>
      <c r="AT2" s="1028"/>
      <c r="AU2" s="1028"/>
      <c r="AV2" s="1028"/>
      <c r="AW2" s="1028"/>
      <c r="AX2" s="1029"/>
      <c r="AY2" s="1027" t="s">
        <v>219</v>
      </c>
      <c r="AZ2" s="1028"/>
      <c r="BA2" s="1028"/>
      <c r="BB2" s="1028"/>
      <c r="BC2" s="1028"/>
      <c r="BD2" s="1029"/>
      <c r="BE2" s="1027" t="s">
        <v>218</v>
      </c>
      <c r="BF2" s="1028"/>
      <c r="BG2" s="1028"/>
      <c r="BH2" s="1028"/>
      <c r="BI2" s="1028"/>
      <c r="BJ2" s="1029"/>
      <c r="BK2" s="1027" t="s">
        <v>217</v>
      </c>
      <c r="BL2" s="1028"/>
      <c r="BM2" s="1028"/>
      <c r="BN2" s="1028"/>
      <c r="BO2" s="1028"/>
      <c r="BP2" s="1029"/>
      <c r="BQ2" s="1027" t="s">
        <v>216</v>
      </c>
      <c r="BR2" s="1028"/>
      <c r="BS2" s="1028"/>
      <c r="BT2" s="1028"/>
      <c r="BU2" s="1028"/>
      <c r="BV2" s="1029"/>
      <c r="BW2" s="1027" t="s">
        <v>215</v>
      </c>
      <c r="BX2" s="1028"/>
      <c r="BY2" s="1028"/>
      <c r="BZ2" s="1028"/>
      <c r="CA2" s="1028"/>
      <c r="CB2" s="1029"/>
      <c r="CC2" s="720"/>
      <c r="CD2" s="720"/>
      <c r="CE2" s="720"/>
      <c r="CF2" s="720"/>
      <c r="CG2" s="720"/>
      <c r="CH2" s="720"/>
      <c r="CI2" s="720"/>
      <c r="CJ2" s="720"/>
      <c r="CK2" s="720"/>
      <c r="CL2" s="720"/>
      <c r="CM2" s="720"/>
      <c r="CN2" s="720"/>
      <c r="CO2" s="720"/>
      <c r="CP2" s="720"/>
      <c r="CQ2" s="720"/>
      <c r="CR2" s="720"/>
      <c r="CS2" s="720"/>
      <c r="CT2" s="720"/>
      <c r="CU2" s="720"/>
      <c r="CV2" s="720"/>
      <c r="CW2" s="720"/>
      <c r="CX2" s="720"/>
      <c r="CY2" s="720"/>
      <c r="CZ2" s="720"/>
      <c r="DA2" s="720"/>
      <c r="DB2" s="720"/>
      <c r="DC2" s="720"/>
      <c r="DD2" s="720"/>
      <c r="DE2" s="720"/>
      <c r="DF2" s="720"/>
      <c r="DG2" s="720"/>
      <c r="DH2" s="720"/>
      <c r="DI2" s="720"/>
      <c r="DJ2" s="720"/>
      <c r="DK2" s="720"/>
      <c r="DL2" s="720"/>
      <c r="DM2" s="720"/>
      <c r="DN2" s="720"/>
      <c r="DO2" s="720"/>
      <c r="DP2" s="720"/>
      <c r="DQ2" s="720"/>
      <c r="DR2" s="720"/>
    </row>
    <row r="3" spans="1:122" s="642" customFormat="1" ht="15.75">
      <c r="A3" s="720"/>
      <c r="B3" s="669" t="s">
        <v>213</v>
      </c>
      <c r="C3" s="1075" t="s">
        <v>212</v>
      </c>
      <c r="D3" s="1076"/>
      <c r="E3" s="1075" t="s">
        <v>211</v>
      </c>
      <c r="F3" s="1076"/>
      <c r="G3" s="670" t="s">
        <v>210</v>
      </c>
      <c r="H3" s="671" t="s">
        <v>209</v>
      </c>
      <c r="I3" s="679" t="s">
        <v>1</v>
      </c>
      <c r="J3" s="680" t="s">
        <v>208</v>
      </c>
      <c r="K3" s="667" t="s">
        <v>206</v>
      </c>
      <c r="L3" s="681" t="s">
        <v>207</v>
      </c>
      <c r="M3" s="667" t="s">
        <v>610</v>
      </c>
      <c r="N3" s="668" t="s">
        <v>609</v>
      </c>
      <c r="O3" s="679" t="s">
        <v>1</v>
      </c>
      <c r="P3" s="680" t="s">
        <v>208</v>
      </c>
      <c r="Q3" s="667" t="s">
        <v>206</v>
      </c>
      <c r="R3" s="681" t="s">
        <v>207</v>
      </c>
      <c r="S3" s="667" t="s">
        <v>610</v>
      </c>
      <c r="T3" s="668" t="s">
        <v>609</v>
      </c>
      <c r="U3" s="679" t="s">
        <v>1</v>
      </c>
      <c r="V3" s="680" t="s">
        <v>208</v>
      </c>
      <c r="W3" s="667" t="s">
        <v>206</v>
      </c>
      <c r="X3" s="681" t="s">
        <v>207</v>
      </c>
      <c r="Y3" s="667" t="s">
        <v>610</v>
      </c>
      <c r="Z3" s="668" t="s">
        <v>609</v>
      </c>
      <c r="AA3" s="679" t="s">
        <v>1</v>
      </c>
      <c r="AB3" s="680" t="s">
        <v>208</v>
      </c>
      <c r="AC3" s="667" t="s">
        <v>206</v>
      </c>
      <c r="AD3" s="681" t="s">
        <v>207</v>
      </c>
      <c r="AE3" s="667" t="s">
        <v>610</v>
      </c>
      <c r="AF3" s="668" t="s">
        <v>609</v>
      </c>
      <c r="AG3" s="679" t="s">
        <v>1</v>
      </c>
      <c r="AH3" s="680" t="s">
        <v>208</v>
      </c>
      <c r="AI3" s="667" t="s">
        <v>206</v>
      </c>
      <c r="AJ3" s="681" t="s">
        <v>207</v>
      </c>
      <c r="AK3" s="667" t="s">
        <v>610</v>
      </c>
      <c r="AL3" s="668" t="s">
        <v>609</v>
      </c>
      <c r="AM3" s="679" t="s">
        <v>1</v>
      </c>
      <c r="AN3" s="680" t="s">
        <v>208</v>
      </c>
      <c r="AO3" s="667" t="s">
        <v>206</v>
      </c>
      <c r="AP3" s="681" t="s">
        <v>207</v>
      </c>
      <c r="AQ3" s="667" t="s">
        <v>610</v>
      </c>
      <c r="AR3" s="668" t="s">
        <v>609</v>
      </c>
      <c r="AS3" s="679" t="s">
        <v>1</v>
      </c>
      <c r="AT3" s="680" t="s">
        <v>208</v>
      </c>
      <c r="AU3" s="667" t="s">
        <v>206</v>
      </c>
      <c r="AV3" s="681" t="s">
        <v>207</v>
      </c>
      <c r="AW3" s="667" t="s">
        <v>610</v>
      </c>
      <c r="AX3" s="668" t="s">
        <v>609</v>
      </c>
      <c r="AY3" s="679" t="s">
        <v>1</v>
      </c>
      <c r="AZ3" s="680" t="s">
        <v>208</v>
      </c>
      <c r="BA3" s="667" t="s">
        <v>206</v>
      </c>
      <c r="BB3" s="681" t="s">
        <v>207</v>
      </c>
      <c r="BC3" s="667" t="s">
        <v>610</v>
      </c>
      <c r="BD3" s="668" t="s">
        <v>609</v>
      </c>
      <c r="BE3" s="679" t="s">
        <v>1</v>
      </c>
      <c r="BF3" s="680" t="s">
        <v>208</v>
      </c>
      <c r="BG3" s="667" t="s">
        <v>206</v>
      </c>
      <c r="BH3" s="681" t="s">
        <v>207</v>
      </c>
      <c r="BI3" s="667" t="s">
        <v>610</v>
      </c>
      <c r="BJ3" s="668" t="s">
        <v>609</v>
      </c>
      <c r="BK3" s="679" t="s">
        <v>1</v>
      </c>
      <c r="BL3" s="680" t="s">
        <v>208</v>
      </c>
      <c r="BM3" s="667" t="s">
        <v>206</v>
      </c>
      <c r="BN3" s="681" t="s">
        <v>207</v>
      </c>
      <c r="BO3" s="667" t="s">
        <v>610</v>
      </c>
      <c r="BP3" s="668" t="s">
        <v>609</v>
      </c>
      <c r="BQ3" s="679" t="s">
        <v>1</v>
      </c>
      <c r="BR3" s="680" t="s">
        <v>208</v>
      </c>
      <c r="BS3" s="667" t="s">
        <v>206</v>
      </c>
      <c r="BT3" s="681" t="s">
        <v>207</v>
      </c>
      <c r="BU3" s="667" t="s">
        <v>610</v>
      </c>
      <c r="BV3" s="668" t="s">
        <v>609</v>
      </c>
      <c r="BW3" s="679" t="s">
        <v>1</v>
      </c>
      <c r="BX3" s="680" t="s">
        <v>208</v>
      </c>
      <c r="BY3" s="667" t="s">
        <v>206</v>
      </c>
      <c r="BZ3" s="681" t="s">
        <v>207</v>
      </c>
      <c r="CA3" s="667" t="s">
        <v>610</v>
      </c>
      <c r="CB3" s="668" t="s">
        <v>609</v>
      </c>
      <c r="CC3" s="720"/>
      <c r="CD3" s="720"/>
      <c r="CE3" s="720"/>
      <c r="CF3" s="720"/>
      <c r="CG3" s="720"/>
      <c r="CH3" s="720"/>
      <c r="CI3" s="720"/>
      <c r="CJ3" s="720"/>
      <c r="CK3" s="720"/>
      <c r="CL3" s="720"/>
      <c r="CM3" s="720"/>
      <c r="CN3" s="720"/>
      <c r="CO3" s="720"/>
      <c r="CP3" s="720"/>
      <c r="CQ3" s="720"/>
      <c r="CR3" s="720"/>
      <c r="CS3" s="720"/>
      <c r="CT3" s="720"/>
      <c r="CU3" s="720"/>
      <c r="CV3" s="720"/>
      <c r="CW3" s="720"/>
      <c r="CX3" s="720"/>
      <c r="CY3" s="720"/>
      <c r="CZ3" s="720"/>
      <c r="DA3" s="720"/>
      <c r="DB3" s="720"/>
      <c r="DC3" s="720"/>
      <c r="DD3" s="720"/>
      <c r="DE3" s="720"/>
      <c r="DF3" s="720"/>
      <c r="DG3" s="720"/>
      <c r="DH3" s="720"/>
      <c r="DI3" s="720"/>
      <c r="DJ3" s="720"/>
      <c r="DK3" s="720"/>
      <c r="DL3" s="720"/>
      <c r="DM3" s="720"/>
      <c r="DN3" s="720"/>
      <c r="DO3" s="720"/>
      <c r="DP3" s="720"/>
      <c r="DQ3" s="720"/>
      <c r="DR3" s="720"/>
    </row>
    <row r="4" spans="1:122" s="642" customFormat="1" ht="15.75">
      <c r="A4" s="720"/>
      <c r="B4" s="1124" t="str">
        <f>L71</f>
        <v>FUNDO DE TIJOLO</v>
      </c>
      <c r="C4" s="1077">
        <f>SUM(G4:G8)</f>
        <v>103</v>
      </c>
      <c r="D4" s="1052">
        <f>C4/C24</f>
        <v>8.259823576583801E-2</v>
      </c>
      <c r="E4" s="1080"/>
      <c r="F4" s="1052"/>
      <c r="G4" s="670">
        <f>M86</f>
        <v>1</v>
      </c>
      <c r="H4" s="671" t="str">
        <f>L72</f>
        <v>MXRF11</v>
      </c>
      <c r="I4" s="1039"/>
      <c r="J4" s="692">
        <v>15</v>
      </c>
      <c r="K4" s="693">
        <v>1.5</v>
      </c>
      <c r="L4" s="682">
        <f>K4/J4</f>
        <v>0.1</v>
      </c>
      <c r="M4" s="683">
        <f>K4/$E31</f>
        <v>-7499.9999997510258</v>
      </c>
      <c r="N4" s="684" t="e">
        <f>M32</f>
        <v>#DIV/0!</v>
      </c>
      <c r="O4" s="1039"/>
      <c r="P4" s="692">
        <v>15</v>
      </c>
      <c r="Q4" s="693">
        <v>1.65</v>
      </c>
      <c r="R4" s="682">
        <f>Q4/P4</f>
        <v>0.11</v>
      </c>
      <c r="S4" s="683">
        <f>Q4/$E31</f>
        <v>-8249.9999997261275</v>
      </c>
      <c r="T4" s="684" t="e">
        <f>S32</f>
        <v>#DIV/0!</v>
      </c>
      <c r="U4" s="1039"/>
      <c r="V4" s="692">
        <v>15</v>
      </c>
      <c r="W4" s="693">
        <v>1.8</v>
      </c>
      <c r="X4" s="682">
        <f>W4/V4</f>
        <v>0.12000000000000001</v>
      </c>
      <c r="Y4" s="683">
        <f>W4/$E31</f>
        <v>-8999.999999701231</v>
      </c>
      <c r="Z4" s="684" t="e">
        <f>Y32</f>
        <v>#DIV/0!</v>
      </c>
      <c r="AA4" s="1039"/>
      <c r="AB4" s="692">
        <v>15</v>
      </c>
      <c r="AC4" s="693">
        <v>1.8</v>
      </c>
      <c r="AD4" s="682">
        <f>AC4/AB4</f>
        <v>0.12000000000000001</v>
      </c>
      <c r="AE4" s="683">
        <f>AC4/$E31</f>
        <v>-8999.999999701231</v>
      </c>
      <c r="AF4" s="684" t="e">
        <f>AE32</f>
        <v>#DIV/0!</v>
      </c>
      <c r="AG4" s="1039"/>
      <c r="AH4" s="692">
        <v>15</v>
      </c>
      <c r="AI4" s="693">
        <v>1.8</v>
      </c>
      <c r="AJ4" s="682">
        <f>AI4/AH4</f>
        <v>0.12000000000000001</v>
      </c>
      <c r="AK4" s="683">
        <f>AI4/$E31</f>
        <v>-8999.999999701231</v>
      </c>
      <c r="AL4" s="684" t="e">
        <f>AK32</f>
        <v>#DIV/0!</v>
      </c>
      <c r="AM4" s="1039"/>
      <c r="AN4" s="692">
        <v>15</v>
      </c>
      <c r="AO4" s="693">
        <v>1.8</v>
      </c>
      <c r="AP4" s="682">
        <f>AO4/AN4</f>
        <v>0.12000000000000001</v>
      </c>
      <c r="AQ4" s="683">
        <f>AO4/$E31</f>
        <v>-8999.999999701231</v>
      </c>
      <c r="AR4" s="684" t="e">
        <f>AQ32</f>
        <v>#DIV/0!</v>
      </c>
      <c r="AS4" s="1039"/>
      <c r="AT4" s="692">
        <v>15</v>
      </c>
      <c r="AU4" s="693">
        <v>1.8</v>
      </c>
      <c r="AV4" s="682">
        <f>AU4/AT4</f>
        <v>0.12000000000000001</v>
      </c>
      <c r="AW4" s="683">
        <f>AU4/$E31</f>
        <v>-8999.999999701231</v>
      </c>
      <c r="AX4" s="684" t="e">
        <f>AW32</f>
        <v>#DIV/0!</v>
      </c>
      <c r="AY4" s="691">
        <v>14</v>
      </c>
      <c r="AZ4" s="692">
        <v>15</v>
      </c>
      <c r="BA4" s="693">
        <v>1.8</v>
      </c>
      <c r="BB4" s="682">
        <f>BA4/AZ4</f>
        <v>0.12000000000000001</v>
      </c>
      <c r="BC4" s="683">
        <v>1.21E-2</v>
      </c>
      <c r="BD4" s="684">
        <f>BC32</f>
        <v>1.1204481792717085E-2</v>
      </c>
      <c r="BE4" s="691">
        <v>15</v>
      </c>
      <c r="BF4" s="692">
        <v>18</v>
      </c>
      <c r="BG4" s="693">
        <v>1.98</v>
      </c>
      <c r="BH4" s="682">
        <f>BG4/BF4</f>
        <v>0.11</v>
      </c>
      <c r="BI4" s="683">
        <v>1.11E-2</v>
      </c>
      <c r="BJ4" s="684">
        <f>BI32</f>
        <v>1.0027347310847767E-2</v>
      </c>
      <c r="BK4" s="691">
        <v>16</v>
      </c>
      <c r="BL4" s="692">
        <v>18</v>
      </c>
      <c r="BM4" s="693">
        <f>BN32*BL4</f>
        <v>1.98</v>
      </c>
      <c r="BN4" s="682">
        <f>BM4/BL4</f>
        <v>0.11</v>
      </c>
      <c r="BO4" s="683">
        <v>1.11E-2</v>
      </c>
      <c r="BP4" s="684">
        <f>BO32</f>
        <v>9.9277978339350186E-3</v>
      </c>
      <c r="BQ4" s="1123"/>
      <c r="BR4" s="1130"/>
      <c r="BS4" s="1130"/>
      <c r="BT4" s="1130"/>
      <c r="BU4" s="1084"/>
      <c r="BV4" s="684"/>
      <c r="BW4" s="1131"/>
      <c r="BX4" s="1132"/>
      <c r="BY4" s="1132"/>
      <c r="BZ4" s="1132"/>
      <c r="CA4" s="1133"/>
      <c r="CB4" s="684"/>
      <c r="CC4" s="720"/>
      <c r="CD4" s="720"/>
      <c r="CE4" s="720"/>
      <c r="CF4" s="720"/>
      <c r="CG4" s="720"/>
      <c r="CH4" s="720"/>
      <c r="CI4" s="720"/>
      <c r="CJ4" s="720"/>
      <c r="CK4" s="720"/>
      <c r="CL4" s="720"/>
      <c r="CM4" s="720"/>
      <c r="CN4" s="720"/>
      <c r="CO4" s="720"/>
      <c r="CP4" s="720"/>
      <c r="CQ4" s="720"/>
      <c r="CR4" s="720"/>
      <c r="CS4" s="720"/>
      <c r="CT4" s="720"/>
      <c r="CU4" s="720"/>
      <c r="CV4" s="720"/>
      <c r="CW4" s="720"/>
      <c r="CX4" s="720"/>
      <c r="CY4" s="720"/>
      <c r="CZ4" s="720"/>
      <c r="DA4" s="720"/>
      <c r="DB4" s="720"/>
      <c r="DC4" s="720"/>
      <c r="DD4" s="720"/>
      <c r="DE4" s="720"/>
      <c r="DF4" s="720"/>
      <c r="DG4" s="720"/>
      <c r="DH4" s="720"/>
      <c r="DI4" s="720"/>
      <c r="DJ4" s="720"/>
      <c r="DK4" s="720"/>
      <c r="DL4" s="720"/>
      <c r="DM4" s="720"/>
      <c r="DN4" s="720"/>
      <c r="DO4" s="720"/>
      <c r="DP4" s="720"/>
      <c r="DQ4" s="720"/>
      <c r="DR4" s="720"/>
    </row>
    <row r="5" spans="1:122" s="642" customFormat="1" ht="15.75">
      <c r="A5" s="720"/>
      <c r="B5" s="1121"/>
      <c r="C5" s="1078"/>
      <c r="D5" s="1015"/>
      <c r="E5" s="1081"/>
      <c r="F5" s="1015"/>
      <c r="G5" s="670">
        <f>R86</f>
        <v>1</v>
      </c>
      <c r="H5" s="671" t="str">
        <f>Q72</f>
        <v>BIME11</v>
      </c>
      <c r="I5" s="1053"/>
      <c r="J5" s="692">
        <v>10</v>
      </c>
      <c r="K5" s="693">
        <v>0.7</v>
      </c>
      <c r="L5" s="682">
        <f t="shared" ref="L5:L15" si="0">K5/J5</f>
        <v>6.9999999999999993E-2</v>
      </c>
      <c r="M5" s="683">
        <f t="shared" ref="M5:M8" si="1">K5/$E32</f>
        <v>-291.6666666656194</v>
      </c>
      <c r="N5" s="684" t="e">
        <f t="shared" ref="N5:N7" si="2">M33</f>
        <v>#DIV/0!</v>
      </c>
      <c r="O5" s="1063"/>
      <c r="P5" s="692">
        <v>10</v>
      </c>
      <c r="Q5" s="693">
        <v>0.8</v>
      </c>
      <c r="R5" s="682">
        <f t="shared" ref="R5:R8" si="3">Q5/P5</f>
        <v>0.08</v>
      </c>
      <c r="S5" s="683">
        <f t="shared" ref="S5:S8" si="4">Q5/$E32</f>
        <v>-333.33333333213648</v>
      </c>
      <c r="T5" s="684" t="e">
        <f t="shared" ref="T5:T7" si="5">S33</f>
        <v>#DIV/0!</v>
      </c>
      <c r="U5" s="1053"/>
      <c r="V5" s="692">
        <v>10</v>
      </c>
      <c r="W5" s="693">
        <v>0.8</v>
      </c>
      <c r="X5" s="682">
        <f t="shared" ref="X5:X8" si="6">W5/V5</f>
        <v>0.08</v>
      </c>
      <c r="Y5" s="683">
        <f t="shared" ref="Y5:Y8" si="7">W5/$E32</f>
        <v>-333.33333333213648</v>
      </c>
      <c r="Z5" s="684" t="e">
        <f t="shared" ref="Z5:Z7" si="8">Y33</f>
        <v>#DIV/0!</v>
      </c>
      <c r="AA5" s="1063"/>
      <c r="AB5" s="692">
        <v>35</v>
      </c>
      <c r="AC5" s="693">
        <v>3.15</v>
      </c>
      <c r="AD5" s="682">
        <f t="shared" ref="AD5:AD8" si="9">AC5/AB5</f>
        <v>0.09</v>
      </c>
      <c r="AE5" s="683">
        <f t="shared" ref="AE5:AE8" si="10">AC5/$E32</f>
        <v>-1312.4999999952872</v>
      </c>
      <c r="AF5" s="684" t="e">
        <f t="shared" ref="AF5:AF7" si="11">AE33</f>
        <v>#DIV/0!</v>
      </c>
      <c r="AG5" s="1063"/>
      <c r="AH5" s="692">
        <v>35</v>
      </c>
      <c r="AI5" s="693">
        <v>3.15</v>
      </c>
      <c r="AJ5" s="682">
        <f t="shared" ref="AJ5:AJ8" si="12">AI5/AH5</f>
        <v>0.09</v>
      </c>
      <c r="AK5" s="683">
        <f t="shared" ref="AK5:AK8" si="13">AI5/$E32</f>
        <v>-1312.4999999952872</v>
      </c>
      <c r="AL5" s="684" t="e">
        <f t="shared" ref="AL5:AL7" si="14">AK33</f>
        <v>#DIV/0!</v>
      </c>
      <c r="AM5" s="1063"/>
      <c r="AN5" s="692">
        <v>96</v>
      </c>
      <c r="AO5" s="693">
        <v>8.64</v>
      </c>
      <c r="AP5" s="682">
        <f t="shared" ref="AP5:AP8" si="15">AO5/AN5</f>
        <v>9.0000000000000011E-2</v>
      </c>
      <c r="AQ5" s="683">
        <f t="shared" ref="AQ5:AQ8" si="16">AO5/$E32</f>
        <v>-3599.9999999870743</v>
      </c>
      <c r="AR5" s="684" t="e">
        <f t="shared" ref="AR5:AR7" si="17">AQ33</f>
        <v>#DIV/0!</v>
      </c>
      <c r="AS5" s="1063"/>
      <c r="AT5" s="692">
        <v>111</v>
      </c>
      <c r="AU5" s="693">
        <v>8.8800000000000008</v>
      </c>
      <c r="AV5" s="682">
        <f t="shared" ref="AV5:AV8" si="18">AU5/AT5</f>
        <v>0.08</v>
      </c>
      <c r="AW5" s="683">
        <f t="shared" ref="AW5:AW8" si="19">AU5/$E32</f>
        <v>-3699.999999986715</v>
      </c>
      <c r="AX5" s="684" t="e">
        <f t="shared" ref="AX5:AX7" si="20">AW33</f>
        <v>#DIV/0!</v>
      </c>
      <c r="AY5" s="691">
        <v>14</v>
      </c>
      <c r="AZ5" s="692">
        <v>112</v>
      </c>
      <c r="BA5" s="693">
        <v>8.9600000000000009</v>
      </c>
      <c r="BB5" s="682">
        <f t="shared" ref="BB5:BB8" si="21">BA5/AZ5</f>
        <v>0.08</v>
      </c>
      <c r="BC5" s="683">
        <v>1.09E-2</v>
      </c>
      <c r="BD5" s="684">
        <f t="shared" ref="BD5:BD7" si="22">BC33</f>
        <v>1.0152284263959392E-2</v>
      </c>
      <c r="BE5" s="691">
        <v>15</v>
      </c>
      <c r="BF5" s="692">
        <v>112</v>
      </c>
      <c r="BG5" s="693">
        <v>8.9600000000000009</v>
      </c>
      <c r="BH5" s="682">
        <f t="shared" ref="BH5:BH8" si="23">BG5/BF5</f>
        <v>0.08</v>
      </c>
      <c r="BI5" s="683">
        <v>1.09E-2</v>
      </c>
      <c r="BJ5" s="684">
        <f t="shared" ref="BJ5:BJ7" si="24">BI33</f>
        <v>1.0568031704095112E-2</v>
      </c>
      <c r="BK5" s="691">
        <v>16</v>
      </c>
      <c r="BL5" s="692">
        <v>112</v>
      </c>
      <c r="BM5" s="693">
        <v>8.9600000000000009</v>
      </c>
      <c r="BN5" s="682">
        <f t="shared" ref="BN5:BN8" si="25">BM5/BL5</f>
        <v>0.08</v>
      </c>
      <c r="BO5" s="683">
        <v>1.09E-2</v>
      </c>
      <c r="BP5" s="684">
        <f t="shared" ref="BP5:BP7" si="26">BO33</f>
        <v>1.0738255033557046E-2</v>
      </c>
      <c r="BQ5" s="691">
        <v>16</v>
      </c>
      <c r="BR5" s="692">
        <v>112</v>
      </c>
      <c r="BS5" s="693">
        <v>8.9600000000000009</v>
      </c>
      <c r="BT5" s="682">
        <f t="shared" ref="BT5:BT8" si="27">BS5/BR5</f>
        <v>0.08</v>
      </c>
      <c r="BU5" s="683">
        <v>1.09E-2</v>
      </c>
      <c r="BV5" s="684">
        <v>1.09E-2</v>
      </c>
      <c r="BW5" s="1131"/>
      <c r="BX5" s="1132"/>
      <c r="BY5" s="1132"/>
      <c r="BZ5" s="1132"/>
      <c r="CA5" s="1133"/>
      <c r="CB5" s="684"/>
      <c r="CC5" s="720"/>
      <c r="CD5" s="720"/>
      <c r="CE5" s="720"/>
      <c r="CF5" s="720"/>
      <c r="CG5" s="720"/>
      <c r="CH5" s="720"/>
      <c r="CI5" s="720"/>
      <c r="CJ5" s="720"/>
      <c r="CK5" s="720"/>
      <c r="CL5" s="720"/>
      <c r="CM5" s="720"/>
      <c r="CN5" s="720"/>
      <c r="CO5" s="720"/>
      <c r="CP5" s="720"/>
      <c r="CQ5" s="720"/>
      <c r="CR5" s="720"/>
      <c r="CS5" s="720"/>
      <c r="CT5" s="720"/>
      <c r="CU5" s="720"/>
      <c r="CV5" s="720"/>
      <c r="CW5" s="720"/>
      <c r="CX5" s="720"/>
      <c r="CY5" s="720"/>
      <c r="CZ5" s="720"/>
      <c r="DA5" s="720"/>
      <c r="DB5" s="720"/>
      <c r="DC5" s="720"/>
      <c r="DD5" s="720"/>
      <c r="DE5" s="720"/>
      <c r="DF5" s="720"/>
      <c r="DG5" s="720"/>
      <c r="DH5" s="720"/>
      <c r="DI5" s="720"/>
      <c r="DJ5" s="720"/>
      <c r="DK5" s="720"/>
      <c r="DL5" s="720"/>
      <c r="DM5" s="720"/>
      <c r="DN5" s="720"/>
      <c r="DO5" s="720"/>
      <c r="DP5" s="720"/>
      <c r="DQ5" s="720"/>
      <c r="DR5" s="720"/>
    </row>
    <row r="6" spans="1:122" s="642" customFormat="1" ht="15.75">
      <c r="A6" s="720"/>
      <c r="B6" s="1121"/>
      <c r="C6" s="1078"/>
      <c r="D6" s="1015"/>
      <c r="E6" s="1081"/>
      <c r="F6" s="1015"/>
      <c r="G6" s="670">
        <f>W86</f>
        <v>18</v>
      </c>
      <c r="H6" s="671" t="str">
        <f>V72</f>
        <v>TGAR11</v>
      </c>
      <c r="I6" s="1054"/>
      <c r="J6" s="1055"/>
      <c r="K6" s="1045"/>
      <c r="L6" s="682" t="e">
        <f t="shared" si="0"/>
        <v>#DIV/0!</v>
      </c>
      <c r="M6" s="683">
        <f t="shared" si="1"/>
        <v>0</v>
      </c>
      <c r="N6" s="684" t="e">
        <f t="shared" si="2"/>
        <v>#DIV/0!</v>
      </c>
      <c r="O6" s="1063"/>
      <c r="P6" s="1064"/>
      <c r="Q6" s="1045"/>
      <c r="R6" s="682" t="e">
        <f t="shared" si="3"/>
        <v>#DIV/0!</v>
      </c>
      <c r="S6" s="683">
        <f t="shared" si="4"/>
        <v>0</v>
      </c>
      <c r="T6" s="684" t="e">
        <f t="shared" si="5"/>
        <v>#DIV/0!</v>
      </c>
      <c r="U6" s="1054"/>
      <c r="V6" s="1055"/>
      <c r="W6" s="1045"/>
      <c r="X6" s="682" t="e">
        <f t="shared" si="6"/>
        <v>#DIV/0!</v>
      </c>
      <c r="Y6" s="683">
        <f t="shared" si="7"/>
        <v>0</v>
      </c>
      <c r="Z6" s="684" t="e">
        <f t="shared" si="8"/>
        <v>#DIV/0!</v>
      </c>
      <c r="AA6" s="1063"/>
      <c r="AB6" s="814"/>
      <c r="AC6" s="815"/>
      <c r="AD6" s="682" t="e">
        <f t="shared" si="9"/>
        <v>#DIV/0!</v>
      </c>
      <c r="AE6" s="683">
        <f t="shared" si="10"/>
        <v>0</v>
      </c>
      <c r="AF6" s="684" t="e">
        <f t="shared" si="11"/>
        <v>#DIV/0!</v>
      </c>
      <c r="AG6" s="1063"/>
      <c r="AH6" s="692">
        <v>1</v>
      </c>
      <c r="AI6" s="693">
        <v>1.35</v>
      </c>
      <c r="AJ6" s="682">
        <f t="shared" si="12"/>
        <v>1.35</v>
      </c>
      <c r="AK6" s="683">
        <f t="shared" si="13"/>
        <v>6.3284611995012249E-4</v>
      </c>
      <c r="AL6" s="684" t="e">
        <f t="shared" si="14"/>
        <v>#DIV/0!</v>
      </c>
      <c r="AM6" s="1063"/>
      <c r="AN6" s="692">
        <v>1</v>
      </c>
      <c r="AO6" s="693">
        <v>1.36</v>
      </c>
      <c r="AP6" s="682">
        <f t="shared" si="15"/>
        <v>1.36</v>
      </c>
      <c r="AQ6" s="683">
        <f t="shared" si="16"/>
        <v>6.3753386898678999E-4</v>
      </c>
      <c r="AR6" s="684" t="e">
        <f t="shared" si="17"/>
        <v>#DIV/0!</v>
      </c>
      <c r="AS6" s="1063"/>
      <c r="AT6" s="692">
        <v>6</v>
      </c>
      <c r="AU6" s="693">
        <v>8.2799999999999994</v>
      </c>
      <c r="AV6" s="682">
        <f t="shared" si="18"/>
        <v>1.38</v>
      </c>
      <c r="AW6" s="683">
        <f t="shared" si="19"/>
        <v>3.8814562023607507E-3</v>
      </c>
      <c r="AX6" s="684" t="e">
        <f t="shared" si="20"/>
        <v>#DIV/0!</v>
      </c>
      <c r="AY6" s="691">
        <v>14</v>
      </c>
      <c r="AZ6" s="692">
        <v>7</v>
      </c>
      <c r="BA6" s="693">
        <v>9.8000000000000007</v>
      </c>
      <c r="BB6" s="682">
        <f t="shared" si="21"/>
        <v>1.4000000000000001</v>
      </c>
      <c r="BC6" s="683">
        <v>1.17E-2</v>
      </c>
      <c r="BD6" s="684">
        <f t="shared" si="22"/>
        <v>1.1382113821138211E-2</v>
      </c>
      <c r="BE6" s="691">
        <v>15</v>
      </c>
      <c r="BF6" s="692">
        <v>7</v>
      </c>
      <c r="BG6" s="693">
        <v>9.94</v>
      </c>
      <c r="BH6" s="682">
        <f t="shared" si="23"/>
        <v>1.42</v>
      </c>
      <c r="BI6" s="683">
        <v>1.1900000000000001E-2</v>
      </c>
      <c r="BJ6" s="684">
        <f t="shared" si="24"/>
        <v>1.1585216610916211E-2</v>
      </c>
      <c r="BK6" s="691">
        <v>16</v>
      </c>
      <c r="BL6" s="692">
        <v>7</v>
      </c>
      <c r="BM6" s="693">
        <f>BL6*BN34</f>
        <v>10.01</v>
      </c>
      <c r="BN6" s="682">
        <f t="shared" si="25"/>
        <v>1.43</v>
      </c>
      <c r="BO6" s="683">
        <v>1.2E-2</v>
      </c>
      <c r="BP6" s="684">
        <f t="shared" si="26"/>
        <v>1.1180609851446442E-2</v>
      </c>
      <c r="BQ6" s="691">
        <v>16</v>
      </c>
      <c r="BR6" s="692">
        <v>7</v>
      </c>
      <c r="BS6" s="693">
        <v>10.15</v>
      </c>
      <c r="BT6" s="682">
        <f t="shared" si="27"/>
        <v>1.45</v>
      </c>
      <c r="BU6" s="683">
        <v>1.2200000000000001E-2</v>
      </c>
      <c r="BV6" s="684">
        <f t="shared" ref="BV6:BV7" si="28">BU34</f>
        <v>1.2049193950473658E-2</v>
      </c>
      <c r="BW6" s="691">
        <v>14</v>
      </c>
      <c r="BX6" s="692">
        <v>7</v>
      </c>
      <c r="BY6" s="693">
        <v>10.01</v>
      </c>
      <c r="BZ6" s="682">
        <f t="shared" ref="BZ6:BZ8" si="29">BY6/BX6</f>
        <v>1.43</v>
      </c>
      <c r="CA6" s="683">
        <v>1.2E-2</v>
      </c>
      <c r="CB6" s="684">
        <f t="shared" ref="CB6:CB7" si="30">CA34</f>
        <v>1.1828935395814377E-2</v>
      </c>
      <c r="CC6" s="720"/>
      <c r="CD6" s="720"/>
      <c r="CE6" s="720"/>
      <c r="CF6" s="720"/>
      <c r="CG6" s="720"/>
      <c r="CH6" s="720"/>
      <c r="CI6" s="720"/>
      <c r="CJ6" s="720"/>
      <c r="CK6" s="720"/>
      <c r="CL6" s="720"/>
      <c r="CM6" s="720"/>
      <c r="CN6" s="720"/>
      <c r="CO6" s="720"/>
      <c r="CP6" s="720"/>
      <c r="CQ6" s="720"/>
      <c r="CR6" s="720"/>
      <c r="CS6" s="720"/>
      <c r="CT6" s="720"/>
      <c r="CU6" s="720"/>
      <c r="CV6" s="720"/>
      <c r="CW6" s="720"/>
      <c r="CX6" s="720"/>
      <c r="CY6" s="720"/>
      <c r="CZ6" s="720"/>
      <c r="DA6" s="720"/>
      <c r="DB6" s="720"/>
      <c r="DC6" s="720"/>
      <c r="DD6" s="720"/>
      <c r="DE6" s="720"/>
      <c r="DF6" s="720"/>
      <c r="DG6" s="720"/>
      <c r="DH6" s="720"/>
      <c r="DI6" s="720"/>
      <c r="DJ6" s="720"/>
      <c r="DK6" s="720"/>
      <c r="DL6" s="720"/>
      <c r="DM6" s="720"/>
      <c r="DN6" s="720"/>
      <c r="DO6" s="720"/>
      <c r="DP6" s="720"/>
      <c r="DQ6" s="720"/>
      <c r="DR6" s="720"/>
    </row>
    <row r="7" spans="1:122" s="642" customFormat="1" ht="15.75">
      <c r="A7" s="720"/>
      <c r="B7" s="1121"/>
      <c r="C7" s="1078"/>
      <c r="D7" s="1015"/>
      <c r="E7" s="1081"/>
      <c r="F7" s="1015"/>
      <c r="G7" s="670">
        <f>AB86</f>
        <v>26</v>
      </c>
      <c r="H7" s="671" t="str">
        <f>AA72</f>
        <v>OURE11</v>
      </c>
      <c r="I7" s="1056"/>
      <c r="J7" s="1057"/>
      <c r="K7" s="1058"/>
      <c r="L7" s="682" t="e">
        <f t="shared" si="0"/>
        <v>#DIV/0!</v>
      </c>
      <c r="M7" s="683">
        <f t="shared" si="1"/>
        <v>0</v>
      </c>
      <c r="N7" s="684" t="e">
        <f t="shared" si="2"/>
        <v>#DIV/0!</v>
      </c>
      <c r="O7" s="1063"/>
      <c r="P7" s="1065"/>
      <c r="Q7" s="1061"/>
      <c r="R7" s="682" t="e">
        <f t="shared" si="3"/>
        <v>#DIV/0!</v>
      </c>
      <c r="S7" s="683">
        <f t="shared" si="4"/>
        <v>0</v>
      </c>
      <c r="T7" s="684" t="e">
        <f t="shared" si="5"/>
        <v>#DIV/0!</v>
      </c>
      <c r="U7" s="1059"/>
      <c r="V7" s="1060"/>
      <c r="W7" s="1061"/>
      <c r="X7" s="682" t="e">
        <f t="shared" si="6"/>
        <v>#DIV/0!</v>
      </c>
      <c r="Y7" s="683">
        <f t="shared" si="7"/>
        <v>0</v>
      </c>
      <c r="Z7" s="684" t="e">
        <f t="shared" si="8"/>
        <v>#DIV/0!</v>
      </c>
      <c r="AA7" s="1063"/>
      <c r="AB7" s="813"/>
      <c r="AC7" s="693">
        <f>0.7+0.92+3.55+1.8+0.74+1.34</f>
        <v>9.0500000000000007</v>
      </c>
      <c r="AD7" s="682" t="e">
        <f t="shared" si="9"/>
        <v>#DIV/0!</v>
      </c>
      <c r="AE7" s="683">
        <f t="shared" si="10"/>
        <v>4.7740376753337872E-3</v>
      </c>
      <c r="AF7" s="684" t="e">
        <f t="shared" si="11"/>
        <v>#DIV/0!</v>
      </c>
      <c r="AG7" s="1063"/>
      <c r="AH7" s="1083"/>
      <c r="AI7" s="1084"/>
      <c r="AJ7" s="682" t="e">
        <f t="shared" si="12"/>
        <v>#DIV/0!</v>
      </c>
      <c r="AK7" s="683">
        <f t="shared" si="13"/>
        <v>0</v>
      </c>
      <c r="AL7" s="684" t="e">
        <f t="shared" si="14"/>
        <v>#DIV/0!</v>
      </c>
      <c r="AM7" s="1063"/>
      <c r="AN7" s="1083"/>
      <c r="AO7" s="1084"/>
      <c r="AP7" s="682" t="e">
        <f t="shared" si="15"/>
        <v>#DIV/0!</v>
      </c>
      <c r="AQ7" s="683">
        <f t="shared" si="16"/>
        <v>0</v>
      </c>
      <c r="AR7" s="684" t="e">
        <f t="shared" si="17"/>
        <v>#DIV/0!</v>
      </c>
      <c r="AS7" s="1063"/>
      <c r="AT7" s="1083"/>
      <c r="AU7" s="1084"/>
      <c r="AV7" s="682" t="e">
        <f t="shared" si="18"/>
        <v>#DIV/0!</v>
      </c>
      <c r="AW7" s="683">
        <f t="shared" si="19"/>
        <v>0</v>
      </c>
      <c r="AX7" s="684" t="e">
        <f t="shared" si="20"/>
        <v>#DIV/0!</v>
      </c>
      <c r="AY7" s="691">
        <v>21</v>
      </c>
      <c r="AZ7" s="692">
        <v>1</v>
      </c>
      <c r="BA7" s="693">
        <v>0.8</v>
      </c>
      <c r="BB7" s="682">
        <f t="shared" si="21"/>
        <v>0.8</v>
      </c>
      <c r="BC7" s="683">
        <v>9.5999999999999992E-3</v>
      </c>
      <c r="BD7" s="684">
        <f t="shared" si="22"/>
        <v>9.4495629577132072E-3</v>
      </c>
      <c r="BE7" s="691">
        <v>22</v>
      </c>
      <c r="BF7" s="692">
        <v>1</v>
      </c>
      <c r="BG7" s="693">
        <v>0.8</v>
      </c>
      <c r="BH7" s="682">
        <f t="shared" si="23"/>
        <v>0.8</v>
      </c>
      <c r="BI7" s="683">
        <v>9.5999999999999992E-3</v>
      </c>
      <c r="BJ7" s="684">
        <f t="shared" si="24"/>
        <v>9.7370983446932822E-3</v>
      </c>
      <c r="BK7" s="691">
        <v>23</v>
      </c>
      <c r="BL7" s="692">
        <v>1</v>
      </c>
      <c r="BM7" s="693">
        <v>0.8</v>
      </c>
      <c r="BN7" s="682">
        <f t="shared" si="25"/>
        <v>0.8</v>
      </c>
      <c r="BO7" s="683">
        <v>9.5999999999999992E-3</v>
      </c>
      <c r="BP7" s="684">
        <f t="shared" si="26"/>
        <v>1.032258064516129E-2</v>
      </c>
      <c r="BQ7" s="691">
        <v>23</v>
      </c>
      <c r="BR7" s="692">
        <v>1</v>
      </c>
      <c r="BS7" s="693">
        <v>0.8</v>
      </c>
      <c r="BT7" s="682">
        <f t="shared" si="27"/>
        <v>0.8</v>
      </c>
      <c r="BU7" s="683">
        <v>9.5999999999999992E-3</v>
      </c>
      <c r="BV7" s="684">
        <f t="shared" si="28"/>
        <v>1.053740779768177E-2</v>
      </c>
      <c r="BW7" s="691">
        <v>21</v>
      </c>
      <c r="BX7" s="692">
        <v>1</v>
      </c>
      <c r="BY7" s="693">
        <v>0.8</v>
      </c>
      <c r="BZ7" s="682">
        <f t="shared" si="29"/>
        <v>0.8</v>
      </c>
      <c r="CA7" s="683">
        <v>9.5999999999999992E-3</v>
      </c>
      <c r="CB7" s="684">
        <f t="shared" si="30"/>
        <v>1.0961907371882707E-2</v>
      </c>
      <c r="CC7" s="720"/>
      <c r="CD7" s="720"/>
      <c r="CE7" s="720"/>
      <c r="CF7" s="720"/>
      <c r="CG7" s="720"/>
      <c r="CH7" s="720"/>
      <c r="CI7" s="720"/>
      <c r="CJ7" s="720"/>
      <c r="CK7" s="720"/>
      <c r="CL7" s="720"/>
      <c r="CM7" s="720"/>
      <c r="CN7" s="720"/>
      <c r="CO7" s="720"/>
      <c r="CP7" s="720"/>
      <c r="CQ7" s="720"/>
      <c r="CR7" s="720"/>
      <c r="CS7" s="720"/>
      <c r="CT7" s="720"/>
      <c r="CU7" s="720"/>
      <c r="CV7" s="720"/>
      <c r="CW7" s="720"/>
      <c r="CX7" s="720"/>
      <c r="CY7" s="720"/>
      <c r="CZ7" s="720"/>
      <c r="DA7" s="720"/>
      <c r="DB7" s="720"/>
      <c r="DC7" s="720"/>
      <c r="DD7" s="720"/>
      <c r="DE7" s="720"/>
      <c r="DF7" s="720"/>
      <c r="DG7" s="720"/>
      <c r="DH7" s="720"/>
      <c r="DI7" s="720"/>
      <c r="DJ7" s="720"/>
      <c r="DK7" s="720"/>
      <c r="DL7" s="720"/>
      <c r="DM7" s="720"/>
      <c r="DN7" s="720"/>
      <c r="DO7" s="720"/>
      <c r="DP7" s="720"/>
      <c r="DQ7" s="720"/>
      <c r="DR7" s="720"/>
    </row>
    <row r="8" spans="1:122" s="642" customFormat="1" ht="15.75">
      <c r="A8" s="720"/>
      <c r="B8" s="1121"/>
      <c r="C8" s="1078"/>
      <c r="D8" s="1015"/>
      <c r="E8" s="1081"/>
      <c r="F8" s="1015"/>
      <c r="G8" s="670">
        <f>AG86</f>
        <v>57</v>
      </c>
      <c r="H8" s="671" t="str">
        <f>AF72</f>
        <v>AIEC11</v>
      </c>
      <c r="I8" s="1059"/>
      <c r="J8" s="1060"/>
      <c r="K8" s="1061"/>
      <c r="L8" s="682" t="e">
        <f t="shared" si="0"/>
        <v>#DIV/0!</v>
      </c>
      <c r="M8" s="683">
        <f t="shared" si="1"/>
        <v>0</v>
      </c>
      <c r="N8" s="684" t="e">
        <f>M36</f>
        <v>#DIV/0!</v>
      </c>
      <c r="O8" s="1053"/>
      <c r="P8" s="692"/>
      <c r="Q8" s="693">
        <f>0.75+0.94+0.75+1.8+0.74</f>
        <v>4.9800000000000004</v>
      </c>
      <c r="R8" s="682" t="e">
        <f t="shared" si="3"/>
        <v>#DIV/0!</v>
      </c>
      <c r="S8" s="683">
        <f t="shared" si="4"/>
        <v>1.5299351160047187E-3</v>
      </c>
      <c r="T8" s="684" t="e">
        <f>S36</f>
        <v>#DIV/0!</v>
      </c>
      <c r="U8" s="1123"/>
      <c r="V8" s="1084"/>
      <c r="W8" s="693">
        <f>0.75+0.92+0.76+1.8+0.74</f>
        <v>4.97</v>
      </c>
      <c r="X8" s="682" t="e">
        <f t="shared" si="6"/>
        <v>#DIV/0!</v>
      </c>
      <c r="Y8" s="683">
        <f t="shared" si="7"/>
        <v>1.5268629571372392E-3</v>
      </c>
      <c r="Z8" s="684" t="e">
        <f>Y36</f>
        <v>#DIV/0!</v>
      </c>
      <c r="AA8" s="1053"/>
      <c r="AB8" s="692">
        <v>2</v>
      </c>
      <c r="AC8" s="693">
        <v>1.52</v>
      </c>
      <c r="AD8" s="682">
        <f t="shared" si="9"/>
        <v>0.76</v>
      </c>
      <c r="AE8" s="683">
        <f t="shared" si="10"/>
        <v>4.669681478568619E-4</v>
      </c>
      <c r="AF8" s="684" t="e">
        <f>AE36</f>
        <v>#DIV/0!</v>
      </c>
      <c r="AG8" s="1053"/>
      <c r="AH8" s="692">
        <v>2</v>
      </c>
      <c r="AI8" s="693">
        <v>1.54</v>
      </c>
      <c r="AJ8" s="682">
        <f t="shared" si="12"/>
        <v>0.77</v>
      </c>
      <c r="AK8" s="683">
        <f t="shared" si="13"/>
        <v>4.7311246559182061E-4</v>
      </c>
      <c r="AL8" s="684" t="e">
        <f>AK36</f>
        <v>#DIV/0!</v>
      </c>
      <c r="AM8" s="1053"/>
      <c r="AN8" s="692">
        <v>7</v>
      </c>
      <c r="AO8" s="693">
        <v>5.46</v>
      </c>
      <c r="AP8" s="682">
        <f t="shared" si="15"/>
        <v>0.78</v>
      </c>
      <c r="AQ8" s="683">
        <f t="shared" si="16"/>
        <v>1.6773987416437276E-3</v>
      </c>
      <c r="AR8" s="684" t="e">
        <f>AQ36</f>
        <v>#DIV/0!</v>
      </c>
      <c r="AS8" s="1053"/>
      <c r="AT8" s="692">
        <v>15</v>
      </c>
      <c r="AU8" s="693">
        <v>11.7</v>
      </c>
      <c r="AV8" s="682">
        <f t="shared" si="18"/>
        <v>0.77999999999999992</v>
      </c>
      <c r="AW8" s="683">
        <f t="shared" si="19"/>
        <v>3.5944258749508449E-3</v>
      </c>
      <c r="AX8" s="684" t="e">
        <f>AW36</f>
        <v>#DIV/0!</v>
      </c>
      <c r="AY8" s="691">
        <v>8</v>
      </c>
      <c r="AZ8" s="692">
        <v>15</v>
      </c>
      <c r="BA8" s="693">
        <v>11.4</v>
      </c>
      <c r="BB8" s="682">
        <f t="shared" si="21"/>
        <v>0.76</v>
      </c>
      <c r="BC8" s="683">
        <v>1.21E-2</v>
      </c>
      <c r="BD8" s="684">
        <f>BC36</f>
        <v>1.0618974430627358E-2</v>
      </c>
      <c r="BE8" s="691">
        <v>11</v>
      </c>
      <c r="BF8" s="692">
        <v>15</v>
      </c>
      <c r="BG8" s="693">
        <v>11.4</v>
      </c>
      <c r="BH8" s="682">
        <f t="shared" si="23"/>
        <v>0.76</v>
      </c>
      <c r="BI8" s="683">
        <v>1.21E-2</v>
      </c>
      <c r="BJ8" s="684">
        <f>BI36</f>
        <v>1.1148599090509021E-2</v>
      </c>
      <c r="BK8" s="691">
        <v>9</v>
      </c>
      <c r="BL8" s="692">
        <v>15</v>
      </c>
      <c r="BM8" s="693">
        <f>BL8*BN36</f>
        <v>11.4</v>
      </c>
      <c r="BN8" s="682">
        <f t="shared" si="25"/>
        <v>0.76</v>
      </c>
      <c r="BO8" s="683">
        <v>1.21E-2</v>
      </c>
      <c r="BP8" s="684">
        <f>BO36</f>
        <v>1.155366372757677E-2</v>
      </c>
      <c r="BQ8" s="691">
        <v>9</v>
      </c>
      <c r="BR8" s="692">
        <v>15</v>
      </c>
      <c r="BS8" s="693">
        <v>11.4</v>
      </c>
      <c r="BT8" s="682">
        <f t="shared" si="27"/>
        <v>0.76</v>
      </c>
      <c r="BU8" s="683">
        <v>1.21E-2</v>
      </c>
      <c r="BV8" s="684">
        <f>BU36</f>
        <v>1.317157712305026E-2</v>
      </c>
      <c r="BW8" s="691">
        <v>8</v>
      </c>
      <c r="BX8" s="692">
        <v>15</v>
      </c>
      <c r="BY8" s="693">
        <v>11.7</v>
      </c>
      <c r="BZ8" s="682">
        <f t="shared" si="29"/>
        <v>0.77999999999999992</v>
      </c>
      <c r="CA8" s="683">
        <v>1.24E-2</v>
      </c>
      <c r="CB8" s="684">
        <f>CA36</f>
        <v>1.3928571428571429E-2</v>
      </c>
      <c r="CC8" s="720"/>
      <c r="CD8" s="720"/>
      <c r="CE8" s="720"/>
      <c r="CF8" s="720"/>
      <c r="CG8" s="720"/>
      <c r="CH8" s="720"/>
      <c r="CI8" s="720"/>
      <c r="CJ8" s="720"/>
      <c r="CK8" s="720"/>
      <c r="CL8" s="720"/>
      <c r="CM8" s="720"/>
      <c r="CN8" s="720"/>
      <c r="CO8" s="720"/>
      <c r="CP8" s="720"/>
      <c r="CQ8" s="720"/>
      <c r="CR8" s="720"/>
      <c r="CS8" s="720"/>
      <c r="CT8" s="720"/>
      <c r="CU8" s="720"/>
      <c r="CV8" s="720"/>
      <c r="CW8" s="720"/>
      <c r="CX8" s="720"/>
      <c r="CY8" s="720"/>
      <c r="CZ8" s="720"/>
      <c r="DA8" s="720"/>
      <c r="DB8" s="720"/>
      <c r="DC8" s="720"/>
      <c r="DD8" s="720"/>
      <c r="DE8" s="720"/>
      <c r="DF8" s="720"/>
      <c r="DG8" s="720"/>
      <c r="DH8" s="720"/>
      <c r="DI8" s="720"/>
      <c r="DJ8" s="720"/>
      <c r="DK8" s="720"/>
      <c r="DL8" s="720"/>
      <c r="DM8" s="720"/>
      <c r="DN8" s="720"/>
      <c r="DO8" s="720"/>
      <c r="DP8" s="720"/>
      <c r="DQ8" s="720"/>
      <c r="DR8" s="720"/>
    </row>
    <row r="9" spans="1:122" s="642" customFormat="1" ht="16.5" thickBot="1">
      <c r="A9" s="720"/>
      <c r="B9" s="1122"/>
      <c r="C9" s="1079"/>
      <c r="D9" s="1016"/>
      <c r="E9" s="1082"/>
      <c r="F9" s="1016"/>
      <c r="G9" s="1041" t="s">
        <v>620</v>
      </c>
      <c r="H9" s="1042"/>
      <c r="I9" s="1037">
        <f>SUM(J4:J8)</f>
        <v>25</v>
      </c>
      <c r="J9" s="1038"/>
      <c r="K9" s="685">
        <f>SUM(K4:K8)+0.9+0.89+0.58+0.92+0.74+0.68</f>
        <v>6.91</v>
      </c>
      <c r="L9" s="685" t="e">
        <f>SUM(L4:L8)</f>
        <v>#DIV/0!</v>
      </c>
      <c r="M9" s="1033"/>
      <c r="N9" s="1034"/>
      <c r="O9" s="1037">
        <f>SUM(P4:P8)</f>
        <v>25</v>
      </c>
      <c r="P9" s="1038"/>
      <c r="Q9" s="685">
        <f>SUM(Q4:Q8)</f>
        <v>7.4300000000000006</v>
      </c>
      <c r="R9" s="685" t="e">
        <f>SUM(R4:R8)</f>
        <v>#DIV/0!</v>
      </c>
      <c r="S9" s="1033"/>
      <c r="T9" s="1034"/>
      <c r="U9" s="1037">
        <f>SUM(V4:V8)</f>
        <v>25</v>
      </c>
      <c r="V9" s="1038"/>
      <c r="W9" s="685">
        <f>SUM(W4:W8)</f>
        <v>7.57</v>
      </c>
      <c r="X9" s="685" t="e">
        <f>SUM(X4:X8)</f>
        <v>#DIV/0!</v>
      </c>
      <c r="Y9" s="1033"/>
      <c r="Z9" s="1034"/>
      <c r="AA9" s="1037">
        <f>SUM(AB4:AB8)</f>
        <v>52</v>
      </c>
      <c r="AB9" s="1038"/>
      <c r="AC9" s="685">
        <f>SUM(AC4:AC8)</f>
        <v>15.52</v>
      </c>
      <c r="AD9" s="685" t="e">
        <f>SUM(AD4:AD8)</f>
        <v>#DIV/0!</v>
      </c>
      <c r="AE9" s="1033"/>
      <c r="AF9" s="1034"/>
      <c r="AG9" s="1037">
        <f>SUM(AH4:AH8)</f>
        <v>53</v>
      </c>
      <c r="AH9" s="1038"/>
      <c r="AI9" s="685">
        <f>SUM(AI4:AI8)</f>
        <v>7.8400000000000007</v>
      </c>
      <c r="AJ9" s="685" t="e">
        <f>SUM(AJ4:AJ8)</f>
        <v>#DIV/0!</v>
      </c>
      <c r="AK9" s="1033"/>
      <c r="AL9" s="1034"/>
      <c r="AM9" s="1037">
        <f>SUM(AN4:AN8)</f>
        <v>119</v>
      </c>
      <c r="AN9" s="1038"/>
      <c r="AO9" s="685">
        <f>SUM(AO4:AO8)</f>
        <v>17.260000000000002</v>
      </c>
      <c r="AP9" s="685" t="e">
        <f>SUM(AP4:AP8)</f>
        <v>#DIV/0!</v>
      </c>
      <c r="AQ9" s="1033"/>
      <c r="AR9" s="1034"/>
      <c r="AS9" s="1037">
        <f>SUM(AT4:AT8)</f>
        <v>147</v>
      </c>
      <c r="AT9" s="1038"/>
      <c r="AU9" s="685">
        <f>SUM(AU4:AU8)</f>
        <v>30.66</v>
      </c>
      <c r="AV9" s="685" t="e">
        <f>SUM(AV4:AV8)</f>
        <v>#DIV/0!</v>
      </c>
      <c r="AW9" s="1033"/>
      <c r="AX9" s="1034"/>
      <c r="AY9" s="1037">
        <f>SUM(AZ4:AZ8)</f>
        <v>150</v>
      </c>
      <c r="AZ9" s="1038"/>
      <c r="BA9" s="685">
        <f>SUM(BA4:BA8)</f>
        <v>32.760000000000005</v>
      </c>
      <c r="BB9" s="685">
        <f>SUM(BB4:BB8)</f>
        <v>3.16</v>
      </c>
      <c r="BC9" s="1033"/>
      <c r="BD9" s="1034"/>
      <c r="BE9" s="1037">
        <f>SUM(BF4:BF8)</f>
        <v>153</v>
      </c>
      <c r="BF9" s="1038"/>
      <c r="BG9" s="685">
        <f>SUM(BG4:BG8)</f>
        <v>33.080000000000005</v>
      </c>
      <c r="BH9" s="685">
        <f>SUM(BH4:BH8)</f>
        <v>3.17</v>
      </c>
      <c r="BI9" s="1033"/>
      <c r="BJ9" s="1034"/>
      <c r="BK9" s="1037">
        <f>SUM(BL4:BL8)</f>
        <v>153</v>
      </c>
      <c r="BL9" s="1038"/>
      <c r="BM9" s="685">
        <f>SUM(BM4:BM8)</f>
        <v>33.150000000000006</v>
      </c>
      <c r="BN9" s="685">
        <f>SUM(BN4:BN8)</f>
        <v>3.1799999999999997</v>
      </c>
      <c r="BO9" s="1033"/>
      <c r="BP9" s="1034"/>
      <c r="BQ9" s="1037">
        <f>SUM(BR4:BR8)</f>
        <v>135</v>
      </c>
      <c r="BR9" s="1038"/>
      <c r="BS9" s="685">
        <f>SUM(BS4:BS8)</f>
        <v>31.310000000000002</v>
      </c>
      <c r="BT9" s="685">
        <f>SUM(BT4:BT8)</f>
        <v>3.09</v>
      </c>
      <c r="BU9" s="1033"/>
      <c r="BV9" s="1034"/>
      <c r="BW9" s="1037">
        <f>SUM(BX4:BX8)</f>
        <v>23</v>
      </c>
      <c r="BX9" s="1038"/>
      <c r="BY9" s="685">
        <f>SUM(BY4:BY8)</f>
        <v>22.509999999999998</v>
      </c>
      <c r="BZ9" s="685">
        <f>SUM(BZ4:BZ8)</f>
        <v>3.01</v>
      </c>
      <c r="CA9" s="1033"/>
      <c r="CB9" s="1034"/>
      <c r="CC9" s="720"/>
      <c r="CD9" s="720"/>
      <c r="CE9" s="720"/>
      <c r="CF9" s="720"/>
      <c r="CG9" s="720"/>
      <c r="CH9" s="720"/>
      <c r="CI9" s="720"/>
      <c r="CJ9" s="720"/>
      <c r="CK9" s="720"/>
      <c r="CL9" s="720"/>
      <c r="CM9" s="720"/>
      <c r="CN9" s="720"/>
      <c r="CO9" s="720"/>
      <c r="CP9" s="720"/>
      <c r="CQ9" s="720"/>
      <c r="CR9" s="720"/>
      <c r="CS9" s="720"/>
      <c r="CT9" s="720"/>
      <c r="CU9" s="720"/>
      <c r="CV9" s="720"/>
      <c r="CW9" s="720"/>
      <c r="CX9" s="720"/>
      <c r="CY9" s="720"/>
      <c r="CZ9" s="720"/>
      <c r="DA9" s="720"/>
      <c r="DB9" s="720"/>
      <c r="DC9" s="720"/>
      <c r="DD9" s="720"/>
      <c r="DE9" s="720"/>
      <c r="DF9" s="720"/>
      <c r="DG9" s="720"/>
      <c r="DH9" s="720"/>
      <c r="DI9" s="720"/>
      <c r="DJ9" s="720"/>
      <c r="DK9" s="720"/>
      <c r="DL9" s="720"/>
      <c r="DM9" s="720"/>
      <c r="DN9" s="720"/>
      <c r="DO9" s="720"/>
      <c r="DP9" s="720"/>
      <c r="DQ9" s="720"/>
      <c r="DR9" s="720"/>
    </row>
    <row r="10" spans="1:122" s="642" customFormat="1" ht="15.75" customHeight="1">
      <c r="A10" s="720"/>
      <c r="B10" s="1072" t="str">
        <f>L90</f>
        <v>FUNDO DE PAPEL</v>
      </c>
      <c r="C10" s="1069">
        <f>SUM(G10:G15)</f>
        <v>1035</v>
      </c>
      <c r="D10" s="1046">
        <f>C10/C24</f>
        <v>0.82999198075380909</v>
      </c>
      <c r="E10" s="1049"/>
      <c r="F10" s="1046"/>
      <c r="G10" s="672">
        <f>M105</f>
        <v>81</v>
      </c>
      <c r="H10" s="673" t="str">
        <f>L91</f>
        <v>RZAK11</v>
      </c>
      <c r="I10" s="1062"/>
      <c r="J10" s="694">
        <v>1</v>
      </c>
      <c r="K10" s="695">
        <v>1.4</v>
      </c>
      <c r="L10" s="686">
        <f t="shared" si="0"/>
        <v>1.4</v>
      </c>
      <c r="M10" s="683">
        <f t="shared" ref="M10:M15" si="31">K10/$E36</f>
        <v>1.9487506420437381E-4</v>
      </c>
      <c r="N10" s="687" t="e">
        <f>M37</f>
        <v>#DIV/0!</v>
      </c>
      <c r="O10" s="1062"/>
      <c r="P10" s="694">
        <v>1</v>
      </c>
      <c r="Q10" s="695">
        <v>1.2</v>
      </c>
      <c r="R10" s="686">
        <f t="shared" ref="R10:R15" si="32">Q10/P10</f>
        <v>1.2</v>
      </c>
      <c r="S10" s="683">
        <f t="shared" ref="S10:S15" si="33">Q10/$E36</f>
        <v>1.6703576931803471E-4</v>
      </c>
      <c r="T10" s="687" t="e">
        <f>S37</f>
        <v>#DIV/0!</v>
      </c>
      <c r="U10" s="1062"/>
      <c r="V10" s="694">
        <v>4</v>
      </c>
      <c r="W10" s="695">
        <v>4.8</v>
      </c>
      <c r="X10" s="686">
        <f t="shared" ref="X10:X15" si="34">W10/V10</f>
        <v>1.2</v>
      </c>
      <c r="Y10" s="683">
        <f t="shared" ref="Y10:Y15" si="35">W10/$E36</f>
        <v>6.6814307727213883E-4</v>
      </c>
      <c r="Z10" s="687" t="e">
        <f>Y37</f>
        <v>#DIV/0!</v>
      </c>
      <c r="AA10" s="1062"/>
      <c r="AB10" s="694">
        <v>4</v>
      </c>
      <c r="AC10" s="695">
        <v>4.8</v>
      </c>
      <c r="AD10" s="686">
        <f t="shared" ref="AD10:AD15" si="36">AC10/AB10</f>
        <v>1.2</v>
      </c>
      <c r="AE10" s="683">
        <f t="shared" ref="AE10:AE15" si="37">AC10/$E36</f>
        <v>6.6814307727213883E-4</v>
      </c>
      <c r="AF10" s="687" t="e">
        <f>AE37</f>
        <v>#DIV/0!</v>
      </c>
      <c r="AG10" s="1062"/>
      <c r="AH10" s="694">
        <v>4</v>
      </c>
      <c r="AI10" s="695">
        <v>5.2</v>
      </c>
      <c r="AJ10" s="686">
        <f t="shared" ref="AJ10:AJ15" si="38">AI10/AH10</f>
        <v>1.3</v>
      </c>
      <c r="AK10" s="683">
        <f t="shared" ref="AK10:AK15" si="39">AI10/$E36</f>
        <v>7.2382166704481709E-4</v>
      </c>
      <c r="AL10" s="687" t="e">
        <f>AK37</f>
        <v>#DIV/0!</v>
      </c>
      <c r="AM10" s="1062"/>
      <c r="AN10" s="694">
        <v>20</v>
      </c>
      <c r="AO10" s="695">
        <v>25</v>
      </c>
      <c r="AP10" s="686">
        <f t="shared" ref="AP10:AP15" si="40">AO10/AN10</f>
        <v>1.25</v>
      </c>
      <c r="AQ10" s="683">
        <f t="shared" ref="AQ10:AQ15" si="41">AO10/$E36</f>
        <v>3.4799118607923897E-3</v>
      </c>
      <c r="AR10" s="687" t="e">
        <f>AQ37</f>
        <v>#DIV/0!</v>
      </c>
      <c r="AS10" s="1062"/>
      <c r="AT10" s="694">
        <v>26</v>
      </c>
      <c r="AU10" s="695">
        <v>31.2</v>
      </c>
      <c r="AV10" s="686">
        <f t="shared" ref="AV10:AV15" si="42">AU10/AT10</f>
        <v>1.2</v>
      </c>
      <c r="AW10" s="683">
        <f t="shared" ref="AW10:AW15" si="43">AU10/$E36</f>
        <v>4.3429300022689021E-3</v>
      </c>
      <c r="AX10" s="687" t="e">
        <f>AW37</f>
        <v>#DIV/0!</v>
      </c>
      <c r="AY10" s="694">
        <v>28</v>
      </c>
      <c r="AZ10" s="694">
        <v>28</v>
      </c>
      <c r="BA10" s="695">
        <v>32.479999999999997</v>
      </c>
      <c r="BB10" s="686">
        <f t="shared" ref="BB10:BB15" si="44">BA10/AZ10</f>
        <v>1.1599999999999999</v>
      </c>
      <c r="BC10" s="683">
        <v>1.23E-2</v>
      </c>
      <c r="BD10" s="793">
        <f>BC37</f>
        <v>1.2422360248447204E-2</v>
      </c>
      <c r="BE10" s="698">
        <v>22</v>
      </c>
      <c r="BF10" s="694">
        <v>28</v>
      </c>
      <c r="BG10" s="695">
        <v>32.479999999999997</v>
      </c>
      <c r="BH10" s="686">
        <f t="shared" ref="BH10:BH14" si="45">BG10/BF10</f>
        <v>1.1599999999999999</v>
      </c>
      <c r="BI10" s="794">
        <v>1.23E-2</v>
      </c>
      <c r="BJ10" s="687">
        <f>BI37</f>
        <v>1.2210526315789472E-2</v>
      </c>
      <c r="BK10" s="694">
        <v>23</v>
      </c>
      <c r="BL10" s="694">
        <v>30</v>
      </c>
      <c r="BM10" s="695">
        <v>39</v>
      </c>
      <c r="BN10" s="686">
        <f t="shared" ref="BN10:BN14" si="46">BM10/BL10</f>
        <v>1.3</v>
      </c>
      <c r="BO10" s="683">
        <v>1.38E-2</v>
      </c>
      <c r="BP10" s="687">
        <f>BO37</f>
        <v>1.3829787234042554E-2</v>
      </c>
      <c r="BQ10" s="698">
        <v>23</v>
      </c>
      <c r="BR10" s="694">
        <v>30</v>
      </c>
      <c r="BS10" s="695">
        <v>36</v>
      </c>
      <c r="BT10" s="686">
        <f t="shared" ref="BT10:BT14" si="47">BS10/BR10</f>
        <v>1.2</v>
      </c>
      <c r="BU10" s="683">
        <v>1.2800000000000001E-2</v>
      </c>
      <c r="BV10" s="687">
        <f>BU37</f>
        <v>1.3600816048962936E-2</v>
      </c>
      <c r="BW10" s="698">
        <v>21</v>
      </c>
      <c r="BX10" s="694">
        <v>42</v>
      </c>
      <c r="BY10" s="695">
        <v>50.4</v>
      </c>
      <c r="BZ10" s="686">
        <f t="shared" ref="BZ10:BZ14" si="48">BY10/BX10</f>
        <v>1.2</v>
      </c>
      <c r="CA10" s="683">
        <v>1.32E-2</v>
      </c>
      <c r="CB10" s="687">
        <f>CA37</f>
        <v>1.367209752762903E-2</v>
      </c>
      <c r="CC10" s="720"/>
      <c r="CD10" s="720"/>
      <c r="CE10" s="720"/>
      <c r="CF10" s="720"/>
      <c r="CG10" s="720"/>
      <c r="CH10" s="720"/>
      <c r="CI10" s="720"/>
      <c r="CJ10" s="720"/>
      <c r="CK10" s="720"/>
      <c r="CL10" s="720"/>
      <c r="CM10" s="720"/>
      <c r="CN10" s="720"/>
      <c r="CO10" s="720"/>
      <c r="CP10" s="720"/>
      <c r="CQ10" s="720"/>
      <c r="CR10" s="720"/>
      <c r="CS10" s="720"/>
      <c r="CT10" s="720"/>
      <c r="CU10" s="720"/>
      <c r="CV10" s="720"/>
      <c r="CW10" s="720"/>
      <c r="CX10" s="720"/>
      <c r="CY10" s="720"/>
      <c r="CZ10" s="720"/>
      <c r="DA10" s="720"/>
      <c r="DB10" s="720"/>
      <c r="DC10" s="720"/>
      <c r="DD10" s="720"/>
      <c r="DE10" s="720"/>
      <c r="DF10" s="720"/>
      <c r="DG10" s="720"/>
      <c r="DH10" s="720"/>
      <c r="DI10" s="720"/>
      <c r="DJ10" s="720"/>
      <c r="DK10" s="720"/>
      <c r="DL10" s="720"/>
      <c r="DM10" s="720"/>
      <c r="DN10" s="720"/>
      <c r="DO10" s="720"/>
      <c r="DP10" s="720"/>
      <c r="DQ10" s="720"/>
      <c r="DR10" s="720"/>
    </row>
    <row r="11" spans="1:122" s="642" customFormat="1" ht="15.75">
      <c r="A11" s="720"/>
      <c r="B11" s="1073"/>
      <c r="C11" s="1070"/>
      <c r="D11" s="1047"/>
      <c r="E11" s="1050"/>
      <c r="F11" s="1047"/>
      <c r="G11" s="674">
        <f>R105</f>
        <v>1</v>
      </c>
      <c r="H11" s="675" t="str">
        <f>Q91</f>
        <v>VGHF11</v>
      </c>
      <c r="I11" s="1063"/>
      <c r="J11" s="692">
        <v>12</v>
      </c>
      <c r="K11" s="693">
        <v>1.08</v>
      </c>
      <c r="L11" s="682">
        <f t="shared" si="0"/>
        <v>9.0000000000000011E-2</v>
      </c>
      <c r="M11" s="683">
        <f t="shared" si="31"/>
        <v>675.0000000015732</v>
      </c>
      <c r="N11" s="684" t="e">
        <f>M38</f>
        <v>#DIV/0!</v>
      </c>
      <c r="O11" s="1063"/>
      <c r="P11" s="692">
        <v>17</v>
      </c>
      <c r="Q11" s="693">
        <v>1.7</v>
      </c>
      <c r="R11" s="682">
        <f t="shared" si="32"/>
        <v>9.9999999999999992E-2</v>
      </c>
      <c r="S11" s="683">
        <f t="shared" si="33"/>
        <v>1062.5000000024763</v>
      </c>
      <c r="T11" s="684" t="e">
        <f>S38</f>
        <v>#DIV/0!</v>
      </c>
      <c r="U11" s="1063"/>
      <c r="V11" s="692">
        <v>17</v>
      </c>
      <c r="W11" s="693">
        <v>1.7</v>
      </c>
      <c r="X11" s="682">
        <f t="shared" si="34"/>
        <v>9.9999999999999992E-2</v>
      </c>
      <c r="Y11" s="683">
        <f t="shared" si="35"/>
        <v>1062.5000000024763</v>
      </c>
      <c r="Z11" s="684" t="e">
        <f>Y38</f>
        <v>#DIV/0!</v>
      </c>
      <c r="AA11" s="1063"/>
      <c r="AB11" s="692">
        <v>17</v>
      </c>
      <c r="AC11" s="693">
        <v>1.7</v>
      </c>
      <c r="AD11" s="682">
        <f t="shared" si="36"/>
        <v>9.9999999999999992E-2</v>
      </c>
      <c r="AE11" s="683">
        <f t="shared" si="37"/>
        <v>1062.5000000024763</v>
      </c>
      <c r="AF11" s="684" t="e">
        <f>AE38</f>
        <v>#DIV/0!</v>
      </c>
      <c r="AG11" s="1063"/>
      <c r="AH11" s="692">
        <v>17</v>
      </c>
      <c r="AI11" s="693">
        <v>2.04</v>
      </c>
      <c r="AJ11" s="682">
        <f t="shared" si="38"/>
        <v>0.12</v>
      </c>
      <c r="AK11" s="683">
        <f t="shared" si="39"/>
        <v>1275.0000000029715</v>
      </c>
      <c r="AL11" s="684" t="e">
        <f>AK38</f>
        <v>#DIV/0!</v>
      </c>
      <c r="AM11" s="1063"/>
      <c r="AN11" s="692">
        <v>17</v>
      </c>
      <c r="AO11" s="693">
        <v>1.87</v>
      </c>
      <c r="AP11" s="682">
        <f t="shared" si="40"/>
        <v>0.11</v>
      </c>
      <c r="AQ11" s="683">
        <f t="shared" si="41"/>
        <v>1168.7500000027239</v>
      </c>
      <c r="AR11" s="684" t="e">
        <f>AQ38</f>
        <v>#DIV/0!</v>
      </c>
      <c r="AS11" s="1063"/>
      <c r="AT11" s="692">
        <v>18</v>
      </c>
      <c r="AU11" s="693">
        <v>2.16</v>
      </c>
      <c r="AV11" s="682">
        <f t="shared" si="42"/>
        <v>0.12000000000000001</v>
      </c>
      <c r="AW11" s="683">
        <f t="shared" si="43"/>
        <v>1350.0000000031464</v>
      </c>
      <c r="AX11" s="684" t="e">
        <f>AW38</f>
        <v>#DIV/0!</v>
      </c>
      <c r="AY11" s="692">
        <v>7</v>
      </c>
      <c r="AZ11" s="692">
        <v>18</v>
      </c>
      <c r="BA11" s="693">
        <v>2.16</v>
      </c>
      <c r="BB11" s="682">
        <f t="shared" si="44"/>
        <v>0.12000000000000001</v>
      </c>
      <c r="BC11" s="683">
        <v>1.2800000000000001E-2</v>
      </c>
      <c r="BD11" s="790">
        <f>BC38</f>
        <v>1.2396694214876033E-2</v>
      </c>
      <c r="BE11" s="691">
        <v>8</v>
      </c>
      <c r="BF11" s="692">
        <v>24</v>
      </c>
      <c r="BG11" s="693">
        <f>2.16+0.29</f>
        <v>2.4500000000000002</v>
      </c>
      <c r="BH11" s="682">
        <f t="shared" si="45"/>
        <v>0.10208333333333335</v>
      </c>
      <c r="BI11" s="683">
        <v>1.0800000000000001E-2</v>
      </c>
      <c r="BJ11" s="684">
        <f>BI38</f>
        <v>1.2461059190031151E-2</v>
      </c>
      <c r="BK11" s="692">
        <v>6</v>
      </c>
      <c r="BL11" s="692">
        <v>24</v>
      </c>
      <c r="BM11" s="693">
        <f>BL11*BN38</f>
        <v>2.4000000000000004</v>
      </c>
      <c r="BN11" s="682">
        <f t="shared" si="46"/>
        <v>0.10000000000000002</v>
      </c>
      <c r="BO11" s="683">
        <v>1.0800000000000001E-2</v>
      </c>
      <c r="BP11" s="684">
        <f>BO38</f>
        <v>1.0266940451745379E-2</v>
      </c>
      <c r="BQ11" s="1131"/>
      <c r="BR11" s="1132"/>
      <c r="BS11" s="1132"/>
      <c r="BT11" s="1132"/>
      <c r="BU11" s="1133"/>
      <c r="BV11" s="684"/>
      <c r="BW11" s="1131"/>
      <c r="BX11" s="1132"/>
      <c r="BY11" s="1132"/>
      <c r="BZ11" s="1132"/>
      <c r="CA11" s="1132"/>
      <c r="CB11" s="1143"/>
      <c r="CC11" s="720"/>
      <c r="CD11" s="720"/>
      <c r="CE11" s="720"/>
      <c r="CF11" s="720"/>
      <c r="CG11" s="720"/>
      <c r="CH11" s="720"/>
      <c r="CI11" s="720"/>
      <c r="CJ11" s="720"/>
      <c r="CK11" s="720"/>
      <c r="CL11" s="720"/>
      <c r="CM11" s="720"/>
      <c r="CN11" s="720"/>
      <c r="CO11" s="720"/>
      <c r="CP11" s="720"/>
      <c r="CQ11" s="720"/>
      <c r="CR11" s="720"/>
      <c r="CS11" s="720"/>
      <c r="CT11" s="720"/>
      <c r="CU11" s="720"/>
      <c r="CV11" s="720"/>
      <c r="CW11" s="720"/>
      <c r="CX11" s="720"/>
      <c r="CY11" s="720"/>
      <c r="CZ11" s="720"/>
      <c r="DA11" s="720"/>
      <c r="DB11" s="720"/>
      <c r="DC11" s="720"/>
      <c r="DD11" s="720"/>
      <c r="DE11" s="720"/>
      <c r="DF11" s="720"/>
      <c r="DG11" s="720"/>
      <c r="DH11" s="720"/>
      <c r="DI11" s="720"/>
      <c r="DJ11" s="720"/>
      <c r="DK11" s="720"/>
      <c r="DL11" s="720"/>
      <c r="DM11" s="720"/>
      <c r="DN11" s="720"/>
      <c r="DO11" s="720"/>
      <c r="DP11" s="720"/>
      <c r="DQ11" s="720"/>
      <c r="DR11" s="720"/>
    </row>
    <row r="12" spans="1:122" s="642" customFormat="1" ht="15.75">
      <c r="A12" s="720"/>
      <c r="B12" s="1073"/>
      <c r="C12" s="1070"/>
      <c r="D12" s="1047"/>
      <c r="E12" s="1050"/>
      <c r="F12" s="1047"/>
      <c r="G12" s="674">
        <f>W105</f>
        <v>43</v>
      </c>
      <c r="H12" s="675" t="str">
        <f>V91</f>
        <v>URPR11</v>
      </c>
      <c r="I12" s="1063"/>
      <c r="J12" s="692">
        <v>1</v>
      </c>
      <c r="K12" s="693">
        <v>1.21</v>
      </c>
      <c r="L12" s="682">
        <f t="shared" si="0"/>
        <v>1.21</v>
      </c>
      <c r="M12" s="683">
        <f t="shared" si="31"/>
        <v>3.145569686066946E-4</v>
      </c>
      <c r="N12" s="684" t="e">
        <f t="shared" ref="N12:N15" si="49">M39</f>
        <v>#DIV/0!</v>
      </c>
      <c r="O12" s="1063"/>
      <c r="P12" s="692">
        <v>1</v>
      </c>
      <c r="Q12" s="693">
        <v>1.25</v>
      </c>
      <c r="R12" s="682">
        <f t="shared" si="32"/>
        <v>1.25</v>
      </c>
      <c r="S12" s="683">
        <f t="shared" si="33"/>
        <v>3.249555460812961E-4</v>
      </c>
      <c r="T12" s="684" t="e">
        <f t="shared" ref="T12:T15" si="50">S39</f>
        <v>#DIV/0!</v>
      </c>
      <c r="U12" s="1053"/>
      <c r="V12" s="692">
        <v>1</v>
      </c>
      <c r="W12" s="693">
        <v>1.3</v>
      </c>
      <c r="X12" s="682">
        <f t="shared" si="34"/>
        <v>1.3</v>
      </c>
      <c r="Y12" s="683">
        <f t="shared" si="35"/>
        <v>3.3795376792454795E-4</v>
      </c>
      <c r="Z12" s="684" t="e">
        <f t="shared" ref="Z12:Z15" si="51">Y39</f>
        <v>#DIV/0!</v>
      </c>
      <c r="AA12" s="1063"/>
      <c r="AB12" s="692">
        <v>5</v>
      </c>
      <c r="AC12" s="693">
        <v>6.65</v>
      </c>
      <c r="AD12" s="682">
        <f t="shared" si="36"/>
        <v>1.33</v>
      </c>
      <c r="AE12" s="683">
        <f t="shared" si="37"/>
        <v>1.7287635051524953E-3</v>
      </c>
      <c r="AF12" s="684" t="e">
        <f t="shared" ref="AF12:AF15" si="52">AE39</f>
        <v>#DIV/0!</v>
      </c>
      <c r="AG12" s="1063"/>
      <c r="AH12" s="692">
        <v>5</v>
      </c>
      <c r="AI12" s="693">
        <v>6.6</v>
      </c>
      <c r="AJ12" s="682">
        <f t="shared" si="38"/>
        <v>1.3199999999999998</v>
      </c>
      <c r="AK12" s="683">
        <f t="shared" si="39"/>
        <v>1.7157652833092432E-3</v>
      </c>
      <c r="AL12" s="684" t="e">
        <f t="shared" ref="AL12:AL15" si="53">AK39</f>
        <v>#DIV/0!</v>
      </c>
      <c r="AM12" s="1063"/>
      <c r="AN12" s="692">
        <v>8</v>
      </c>
      <c r="AO12" s="693">
        <v>10.64</v>
      </c>
      <c r="AP12" s="682">
        <f t="shared" si="40"/>
        <v>1.33</v>
      </c>
      <c r="AQ12" s="683">
        <f t="shared" si="41"/>
        <v>2.7660216082439925E-3</v>
      </c>
      <c r="AR12" s="684" t="e">
        <f t="shared" ref="AR12:AR15" si="54">AQ39</f>
        <v>#DIV/0!</v>
      </c>
      <c r="AS12" s="1063"/>
      <c r="AT12" s="692">
        <v>19</v>
      </c>
      <c r="AU12" s="693">
        <v>25.46</v>
      </c>
      <c r="AV12" s="682">
        <f t="shared" si="42"/>
        <v>1.34</v>
      </c>
      <c r="AW12" s="683">
        <f t="shared" si="43"/>
        <v>6.6186945625838394E-3</v>
      </c>
      <c r="AX12" s="684" t="e">
        <f t="shared" ref="AX12:AX15" si="55">AW39</f>
        <v>#DIV/0!</v>
      </c>
      <c r="AY12" s="692">
        <v>14</v>
      </c>
      <c r="AZ12" s="692">
        <v>20</v>
      </c>
      <c r="BA12" s="693">
        <v>22.6</v>
      </c>
      <c r="BB12" s="682">
        <f t="shared" si="44"/>
        <v>1.1300000000000001</v>
      </c>
      <c r="BC12" s="683">
        <v>1.1900000000000001E-2</v>
      </c>
      <c r="BD12" s="790">
        <f t="shared" ref="BD12:BD14" si="56">BC39</f>
        <v>1.1218107812965351E-2</v>
      </c>
      <c r="BE12" s="691">
        <v>15</v>
      </c>
      <c r="BF12" s="692">
        <v>20</v>
      </c>
      <c r="BG12" s="693">
        <v>23.2</v>
      </c>
      <c r="BH12" s="682">
        <f t="shared" si="45"/>
        <v>1.1599999999999999</v>
      </c>
      <c r="BI12" s="683">
        <v>1.2200000000000001E-2</v>
      </c>
      <c r="BJ12" s="684">
        <f t="shared" ref="BJ12:BJ14" si="57">BI39</f>
        <v>1.1879160266257039E-2</v>
      </c>
      <c r="BK12" s="692">
        <v>16</v>
      </c>
      <c r="BL12" s="692">
        <v>20</v>
      </c>
      <c r="BM12" s="693">
        <f t="shared" ref="BM12:BM13" si="58">BL12*BN39</f>
        <v>23.4</v>
      </c>
      <c r="BN12" s="682">
        <f t="shared" si="46"/>
        <v>1.17</v>
      </c>
      <c r="BO12" s="683">
        <v>1.23E-2</v>
      </c>
      <c r="BP12" s="684">
        <f t="shared" ref="BP12:BP14" si="59">BO39</f>
        <v>1.2513368983957218E-2</v>
      </c>
      <c r="BQ12" s="691">
        <v>16</v>
      </c>
      <c r="BR12" s="692">
        <v>20</v>
      </c>
      <c r="BS12" s="693">
        <v>23.6</v>
      </c>
      <c r="BT12" s="682">
        <f t="shared" si="47"/>
        <v>1.1800000000000002</v>
      </c>
      <c r="BU12" s="683">
        <v>1.24E-2</v>
      </c>
      <c r="BV12" s="684">
        <f t="shared" ref="BV12:BV14" si="60">BU39</f>
        <v>1.3131537947918985E-2</v>
      </c>
      <c r="BW12" s="691">
        <v>14</v>
      </c>
      <c r="BX12" s="692">
        <v>20</v>
      </c>
      <c r="BY12" s="693">
        <v>22</v>
      </c>
      <c r="BZ12" s="682">
        <f t="shared" si="48"/>
        <v>1.1000000000000001</v>
      </c>
      <c r="CA12" s="683">
        <v>1.1599999999999999E-2</v>
      </c>
      <c r="CB12" s="684">
        <f t="shared" ref="CB12:CB14" si="61">CA39</f>
        <v>1.2936610608020699E-2</v>
      </c>
      <c r="CC12" s="720"/>
      <c r="CD12" s="720"/>
      <c r="CE12" s="720"/>
      <c r="CF12" s="720"/>
      <c r="CG12" s="720"/>
      <c r="CH12" s="720"/>
      <c r="CI12" s="720"/>
      <c r="CJ12" s="720"/>
      <c r="CK12" s="720"/>
      <c r="CL12" s="720"/>
      <c r="CM12" s="720"/>
      <c r="CN12" s="720"/>
      <c r="CO12" s="720"/>
      <c r="CP12" s="720"/>
      <c r="CQ12" s="720"/>
      <c r="CR12" s="720"/>
      <c r="CS12" s="720"/>
      <c r="CT12" s="720"/>
      <c r="CU12" s="720"/>
      <c r="CV12" s="720"/>
      <c r="CW12" s="720"/>
      <c r="CX12" s="720"/>
      <c r="CY12" s="720"/>
      <c r="CZ12" s="720"/>
      <c r="DA12" s="720"/>
      <c r="DB12" s="720"/>
      <c r="DC12" s="720"/>
      <c r="DD12" s="720"/>
      <c r="DE12" s="720"/>
      <c r="DF12" s="720"/>
      <c r="DG12" s="720"/>
      <c r="DH12" s="720"/>
      <c r="DI12" s="720"/>
      <c r="DJ12" s="720"/>
      <c r="DK12" s="720"/>
      <c r="DL12" s="720"/>
      <c r="DM12" s="720"/>
      <c r="DN12" s="720"/>
      <c r="DO12" s="720"/>
      <c r="DP12" s="720"/>
      <c r="DQ12" s="720"/>
      <c r="DR12" s="720"/>
    </row>
    <row r="13" spans="1:122" s="642" customFormat="1" ht="15.75">
      <c r="A13" s="720"/>
      <c r="B13" s="1073"/>
      <c r="C13" s="1070"/>
      <c r="D13" s="1047"/>
      <c r="E13" s="1050"/>
      <c r="F13" s="1047"/>
      <c r="G13" s="674">
        <f>AB105</f>
        <v>227</v>
      </c>
      <c r="H13" s="675" t="str">
        <f>AA91</f>
        <v>XPCA11</v>
      </c>
      <c r="I13" s="1063"/>
      <c r="J13" s="1064"/>
      <c r="K13" s="1045"/>
      <c r="L13" s="682" t="e">
        <f t="shared" si="0"/>
        <v>#DIV/0!</v>
      </c>
      <c r="M13" s="683">
        <f t="shared" si="31"/>
        <v>0</v>
      </c>
      <c r="N13" s="684" t="e">
        <f t="shared" si="49"/>
        <v>#DIV/0!</v>
      </c>
      <c r="O13" s="1063"/>
      <c r="P13" s="1064"/>
      <c r="Q13" s="1045"/>
      <c r="R13" s="682" t="e">
        <f t="shared" si="32"/>
        <v>#DIV/0!</v>
      </c>
      <c r="S13" s="683">
        <f t="shared" si="33"/>
        <v>0</v>
      </c>
      <c r="T13" s="684" t="e">
        <f t="shared" si="50"/>
        <v>#DIV/0!</v>
      </c>
      <c r="U13" s="1054"/>
      <c r="V13" s="1055"/>
      <c r="W13" s="1045"/>
      <c r="X13" s="682" t="e">
        <f t="shared" si="34"/>
        <v>#DIV/0!</v>
      </c>
      <c r="Y13" s="683">
        <f t="shared" si="35"/>
        <v>0</v>
      </c>
      <c r="Z13" s="684" t="e">
        <f t="shared" si="51"/>
        <v>#DIV/0!</v>
      </c>
      <c r="AA13" s="1063"/>
      <c r="AB13" s="1064"/>
      <c r="AC13" s="1045"/>
      <c r="AD13" s="682" t="e">
        <f t="shared" si="36"/>
        <v>#DIV/0!</v>
      </c>
      <c r="AE13" s="683">
        <f t="shared" si="37"/>
        <v>0</v>
      </c>
      <c r="AF13" s="684" t="e">
        <f t="shared" si="52"/>
        <v>#DIV/0!</v>
      </c>
      <c r="AG13" s="1063"/>
      <c r="AH13" s="692">
        <v>30</v>
      </c>
      <c r="AI13" s="693">
        <v>3.9</v>
      </c>
      <c r="AJ13" s="682">
        <f t="shared" si="38"/>
        <v>0.13</v>
      </c>
      <c r="AK13" s="683">
        <f t="shared" si="39"/>
        <v>1.8281107178850162E-3</v>
      </c>
      <c r="AL13" s="684" t="e">
        <f t="shared" si="53"/>
        <v>#DIV/0!</v>
      </c>
      <c r="AM13" s="1063"/>
      <c r="AN13" s="692">
        <v>30</v>
      </c>
      <c r="AO13" s="693">
        <v>3.3</v>
      </c>
      <c r="AP13" s="682">
        <f t="shared" si="40"/>
        <v>0.11</v>
      </c>
      <c r="AQ13" s="683">
        <f t="shared" si="41"/>
        <v>1.5468629151334753E-3</v>
      </c>
      <c r="AR13" s="684" t="e">
        <f t="shared" si="54"/>
        <v>#DIV/0!</v>
      </c>
      <c r="AS13" s="1063"/>
      <c r="AT13" s="692">
        <v>135</v>
      </c>
      <c r="AU13" s="693">
        <v>14.85</v>
      </c>
      <c r="AV13" s="682">
        <f t="shared" si="42"/>
        <v>0.11</v>
      </c>
      <c r="AW13" s="683">
        <f t="shared" si="43"/>
        <v>6.9608831181006388E-3</v>
      </c>
      <c r="AX13" s="684" t="e">
        <f t="shared" si="55"/>
        <v>#DIV/0!</v>
      </c>
      <c r="AY13" s="692">
        <v>14</v>
      </c>
      <c r="AZ13" s="692">
        <v>144</v>
      </c>
      <c r="BA13" s="693">
        <v>17.28</v>
      </c>
      <c r="BB13" s="682">
        <f t="shared" si="44"/>
        <v>0.12000000000000001</v>
      </c>
      <c r="BC13" s="683">
        <v>1.24E-2</v>
      </c>
      <c r="BD13" s="790">
        <f t="shared" si="56"/>
        <v>1.1542497376705143E-2</v>
      </c>
      <c r="BE13" s="691">
        <v>15</v>
      </c>
      <c r="BF13" s="692">
        <v>145</v>
      </c>
      <c r="BG13" s="693">
        <v>20.3</v>
      </c>
      <c r="BH13" s="682">
        <f t="shared" si="45"/>
        <v>0.14000000000000001</v>
      </c>
      <c r="BI13" s="683">
        <v>1.44E-2</v>
      </c>
      <c r="BJ13" s="684">
        <f t="shared" si="57"/>
        <v>1.4522821576763486E-2</v>
      </c>
      <c r="BK13" s="692">
        <v>16</v>
      </c>
      <c r="BL13" s="692">
        <v>150</v>
      </c>
      <c r="BM13" s="693">
        <f t="shared" si="58"/>
        <v>16.5</v>
      </c>
      <c r="BN13" s="682">
        <f t="shared" si="46"/>
        <v>0.11</v>
      </c>
      <c r="BO13" s="683">
        <v>1.1299999999999999E-2</v>
      </c>
      <c r="BP13" s="684">
        <f t="shared" si="59"/>
        <v>1.1156186612576065E-2</v>
      </c>
      <c r="BQ13" s="691">
        <v>16</v>
      </c>
      <c r="BR13" s="692">
        <v>150</v>
      </c>
      <c r="BS13" s="693">
        <v>16.5</v>
      </c>
      <c r="BT13" s="682">
        <f t="shared" si="47"/>
        <v>0.11</v>
      </c>
      <c r="BU13" s="683">
        <v>1.1299999999999999E-2</v>
      </c>
      <c r="BV13" s="684">
        <f t="shared" si="60"/>
        <v>1.1702127659574468E-2</v>
      </c>
      <c r="BW13" s="691">
        <v>14</v>
      </c>
      <c r="BX13" s="692">
        <v>150</v>
      </c>
      <c r="BY13" s="693">
        <v>16.5</v>
      </c>
      <c r="BZ13" s="682">
        <f t="shared" si="48"/>
        <v>0.11</v>
      </c>
      <c r="CA13" s="683">
        <v>1.1299999999999999E-2</v>
      </c>
      <c r="CB13" s="684">
        <f t="shared" si="61"/>
        <v>1.1840688912809474E-2</v>
      </c>
      <c r="CC13" s="720"/>
      <c r="CD13" s="720"/>
      <c r="CE13" s="720"/>
      <c r="CF13" s="720"/>
      <c r="CG13" s="720"/>
      <c r="CH13" s="720"/>
      <c r="CI13" s="720"/>
      <c r="CJ13" s="720"/>
      <c r="CK13" s="720"/>
      <c r="CL13" s="720"/>
      <c r="CM13" s="720"/>
      <c r="CN13" s="720"/>
      <c r="CO13" s="720"/>
      <c r="CP13" s="720"/>
      <c r="CQ13" s="720"/>
      <c r="CR13" s="720"/>
      <c r="CS13" s="720"/>
      <c r="CT13" s="720"/>
      <c r="CU13" s="720"/>
      <c r="CV13" s="720"/>
      <c r="CW13" s="720"/>
      <c r="CX13" s="720"/>
      <c r="CY13" s="720"/>
      <c r="CZ13" s="720"/>
      <c r="DA13" s="720"/>
      <c r="DB13" s="720"/>
      <c r="DC13" s="720"/>
      <c r="DD13" s="720"/>
      <c r="DE13" s="720"/>
      <c r="DF13" s="720"/>
      <c r="DG13" s="720"/>
      <c r="DH13" s="720"/>
      <c r="DI13" s="720"/>
      <c r="DJ13" s="720"/>
      <c r="DK13" s="720"/>
      <c r="DL13" s="720"/>
      <c r="DM13" s="720"/>
      <c r="DN13" s="720"/>
      <c r="DO13" s="720"/>
      <c r="DP13" s="720"/>
      <c r="DQ13" s="720"/>
      <c r="DR13" s="720"/>
    </row>
    <row r="14" spans="1:122" s="642" customFormat="1" ht="15.75">
      <c r="A14" s="720"/>
      <c r="B14" s="1073"/>
      <c r="C14" s="1070"/>
      <c r="D14" s="1047"/>
      <c r="E14" s="1050"/>
      <c r="F14" s="1047"/>
      <c r="G14" s="674">
        <f>AG105</f>
        <v>674</v>
      </c>
      <c r="H14" s="675" t="str">
        <f>AF91</f>
        <v>VGIA11</v>
      </c>
      <c r="I14" s="1063"/>
      <c r="J14" s="1112"/>
      <c r="K14" s="1058"/>
      <c r="L14" s="682" t="e">
        <f t="shared" si="0"/>
        <v>#DIV/0!</v>
      </c>
      <c r="M14" s="683">
        <f t="shared" si="31"/>
        <v>0</v>
      </c>
      <c r="N14" s="684" t="e">
        <f t="shared" si="49"/>
        <v>#DIV/0!</v>
      </c>
      <c r="O14" s="1063"/>
      <c r="P14" s="1112"/>
      <c r="Q14" s="1058"/>
      <c r="R14" s="682" t="e">
        <f t="shared" si="32"/>
        <v>#DIV/0!</v>
      </c>
      <c r="S14" s="683">
        <f t="shared" si="33"/>
        <v>0</v>
      </c>
      <c r="T14" s="684" t="e">
        <f t="shared" si="50"/>
        <v>#DIV/0!</v>
      </c>
      <c r="U14" s="1056"/>
      <c r="V14" s="1057"/>
      <c r="W14" s="1058"/>
      <c r="X14" s="682" t="e">
        <f t="shared" si="34"/>
        <v>#DIV/0!</v>
      </c>
      <c r="Y14" s="683">
        <f t="shared" si="35"/>
        <v>0</v>
      </c>
      <c r="Z14" s="684" t="e">
        <f t="shared" si="51"/>
        <v>#DIV/0!</v>
      </c>
      <c r="AA14" s="1063"/>
      <c r="AB14" s="1112"/>
      <c r="AC14" s="1058"/>
      <c r="AD14" s="682" t="e">
        <f t="shared" si="36"/>
        <v>#DIV/0!</v>
      </c>
      <c r="AE14" s="683">
        <f t="shared" si="37"/>
        <v>0</v>
      </c>
      <c r="AF14" s="684" t="e">
        <f t="shared" si="52"/>
        <v>#DIV/0!</v>
      </c>
      <c r="AG14" s="1063"/>
      <c r="AH14" s="1040"/>
      <c r="AI14" s="693">
        <f>0.7+0.91+4.05+1.8+2.48+1.02+0.56</f>
        <v>11.52</v>
      </c>
      <c r="AJ14" s="682" t="e">
        <f t="shared" si="38"/>
        <v>#DIV/0!</v>
      </c>
      <c r="AK14" s="683">
        <f t="shared" si="39"/>
        <v>1.9710535726201496E-3</v>
      </c>
      <c r="AL14" s="684" t="e">
        <f t="shared" si="53"/>
        <v>#DIV/0!</v>
      </c>
      <c r="AM14" s="1063"/>
      <c r="AN14" s="1083"/>
      <c r="AO14" s="1084"/>
      <c r="AP14" s="682" t="e">
        <f t="shared" si="40"/>
        <v>#DIV/0!</v>
      </c>
      <c r="AQ14" s="683">
        <f t="shared" si="41"/>
        <v>0</v>
      </c>
      <c r="AR14" s="684" t="e">
        <f t="shared" si="54"/>
        <v>#DIV/0!</v>
      </c>
      <c r="AS14" s="1063"/>
      <c r="AT14" s="1083"/>
      <c r="AU14" s="1084"/>
      <c r="AV14" s="682" t="e">
        <f t="shared" si="42"/>
        <v>#DIV/0!</v>
      </c>
      <c r="AW14" s="683">
        <f t="shared" si="43"/>
        <v>0</v>
      </c>
      <c r="AX14" s="684" t="e">
        <f t="shared" si="55"/>
        <v>#DIV/0!</v>
      </c>
      <c r="AY14" s="692">
        <v>17</v>
      </c>
      <c r="AZ14" s="692">
        <v>90</v>
      </c>
      <c r="BA14" s="693">
        <v>11.7</v>
      </c>
      <c r="BB14" s="682">
        <f t="shared" si="44"/>
        <v>0.13</v>
      </c>
      <c r="BC14" s="683">
        <v>1.37E-2</v>
      </c>
      <c r="BD14" s="790">
        <f t="shared" si="56"/>
        <v>1.3429752066115703E-2</v>
      </c>
      <c r="BE14" s="699">
        <v>20</v>
      </c>
      <c r="BF14" s="696">
        <v>114</v>
      </c>
      <c r="BG14" s="697">
        <v>14.82</v>
      </c>
      <c r="BH14" s="689">
        <f t="shared" si="45"/>
        <v>0.13</v>
      </c>
      <c r="BI14" s="791">
        <v>1.37E-2</v>
      </c>
      <c r="BJ14" s="792">
        <f t="shared" si="57"/>
        <v>1.3612565445026177E-2</v>
      </c>
      <c r="BK14" s="692">
        <v>19</v>
      </c>
      <c r="BL14" s="692">
        <v>157</v>
      </c>
      <c r="BM14" s="693">
        <v>18.84</v>
      </c>
      <c r="BN14" s="682">
        <f t="shared" si="46"/>
        <v>0.12</v>
      </c>
      <c r="BO14" s="683">
        <v>1.29E-2</v>
      </c>
      <c r="BP14" s="684">
        <f t="shared" si="59"/>
        <v>1.2605042016806723E-2</v>
      </c>
      <c r="BQ14" s="691">
        <v>21</v>
      </c>
      <c r="BR14" s="692">
        <v>322</v>
      </c>
      <c r="BS14" s="693">
        <v>32.200000000000003</v>
      </c>
      <c r="BT14" s="682">
        <f t="shared" si="47"/>
        <v>0.1</v>
      </c>
      <c r="BU14" s="683">
        <v>1.0699999999999999E-2</v>
      </c>
      <c r="BV14" s="684">
        <f t="shared" si="60"/>
        <v>1.0660980810234541E-2</v>
      </c>
      <c r="BW14" s="691">
        <v>19</v>
      </c>
      <c r="BX14" s="692">
        <v>322</v>
      </c>
      <c r="BY14" s="693">
        <v>32.200000000000003</v>
      </c>
      <c r="BZ14" s="682">
        <f t="shared" si="48"/>
        <v>0.1</v>
      </c>
      <c r="CA14" s="683">
        <v>1.0699999999999999E-2</v>
      </c>
      <c r="CB14" s="684">
        <f t="shared" si="61"/>
        <v>1.149425287356322E-2</v>
      </c>
      <c r="CC14" s="720"/>
      <c r="CD14" s="720"/>
      <c r="CE14" s="720"/>
      <c r="CF14" s="720"/>
      <c r="CG14" s="720"/>
      <c r="CH14" s="720"/>
      <c r="CI14" s="720"/>
      <c r="CJ14" s="720"/>
      <c r="CK14" s="720"/>
      <c r="CL14" s="720"/>
      <c r="CM14" s="720"/>
      <c r="CN14" s="720"/>
      <c r="CO14" s="720"/>
      <c r="CP14" s="720"/>
      <c r="CQ14" s="720"/>
      <c r="CR14" s="720"/>
      <c r="CS14" s="720"/>
      <c r="CT14" s="720"/>
      <c r="CU14" s="720"/>
      <c r="CV14" s="720"/>
      <c r="CW14" s="720"/>
      <c r="CX14" s="720"/>
      <c r="CY14" s="720"/>
      <c r="CZ14" s="720"/>
      <c r="DA14" s="720"/>
      <c r="DB14" s="720"/>
      <c r="DC14" s="720"/>
      <c r="DD14" s="720"/>
      <c r="DE14" s="720"/>
      <c r="DF14" s="720"/>
      <c r="DG14" s="720"/>
      <c r="DH14" s="720"/>
      <c r="DI14" s="720"/>
      <c r="DJ14" s="720"/>
      <c r="DK14" s="720"/>
      <c r="DL14" s="720"/>
      <c r="DM14" s="720"/>
      <c r="DN14" s="720"/>
      <c r="DO14" s="720"/>
      <c r="DP14" s="720"/>
      <c r="DQ14" s="720"/>
      <c r="DR14" s="720"/>
    </row>
    <row r="15" spans="1:122" s="642" customFormat="1" ht="15.75">
      <c r="A15" s="720"/>
      <c r="B15" s="1073"/>
      <c r="C15" s="1070"/>
      <c r="D15" s="1047"/>
      <c r="E15" s="1050"/>
      <c r="F15" s="1047"/>
      <c r="G15" s="674">
        <v>9</v>
      </c>
      <c r="H15" s="675" t="s">
        <v>248</v>
      </c>
      <c r="I15" s="1053"/>
      <c r="J15" s="1065"/>
      <c r="K15" s="1061"/>
      <c r="L15" s="689" t="e">
        <f t="shared" si="0"/>
        <v>#DIV/0!</v>
      </c>
      <c r="M15" s="683" t="e">
        <f t="shared" si="31"/>
        <v>#DIV/0!</v>
      </c>
      <c r="N15" s="684" t="e">
        <f t="shared" si="49"/>
        <v>#DIV/0!</v>
      </c>
      <c r="O15" s="1053"/>
      <c r="P15" s="1065"/>
      <c r="Q15" s="1061"/>
      <c r="R15" s="689" t="e">
        <f t="shared" si="32"/>
        <v>#DIV/0!</v>
      </c>
      <c r="S15" s="683" t="e">
        <f t="shared" si="33"/>
        <v>#DIV/0!</v>
      </c>
      <c r="T15" s="684" t="e">
        <f t="shared" si="50"/>
        <v>#DIV/0!</v>
      </c>
      <c r="U15" s="1059"/>
      <c r="V15" s="1060"/>
      <c r="W15" s="1061"/>
      <c r="X15" s="689" t="e">
        <f t="shared" si="34"/>
        <v>#DIV/0!</v>
      </c>
      <c r="Y15" s="683" t="e">
        <f t="shared" si="35"/>
        <v>#DIV/0!</v>
      </c>
      <c r="Z15" s="684" t="e">
        <f t="shared" si="51"/>
        <v>#DIV/0!</v>
      </c>
      <c r="AA15" s="1053"/>
      <c r="AB15" s="1065"/>
      <c r="AC15" s="1061"/>
      <c r="AD15" s="689" t="e">
        <f t="shared" si="36"/>
        <v>#DIV/0!</v>
      </c>
      <c r="AE15" s="683" t="e">
        <f t="shared" si="37"/>
        <v>#DIV/0!</v>
      </c>
      <c r="AF15" s="684" t="e">
        <f t="shared" si="52"/>
        <v>#DIV/0!</v>
      </c>
      <c r="AG15" s="1053"/>
      <c r="AH15" s="1129"/>
      <c r="AI15" s="688"/>
      <c r="AJ15" s="689" t="e">
        <f t="shared" si="38"/>
        <v>#DIV/0!</v>
      </c>
      <c r="AK15" s="683" t="e">
        <f t="shared" si="39"/>
        <v>#DIV/0!</v>
      </c>
      <c r="AL15" s="684" t="e">
        <f t="shared" si="53"/>
        <v>#DIV/0!</v>
      </c>
      <c r="AM15" s="1053"/>
      <c r="AN15" s="809"/>
      <c r="AO15" s="697">
        <f>0.7+0.86+4.25+1.8+2.4+1.05</f>
        <v>11.06</v>
      </c>
      <c r="AP15" s="689" t="e">
        <f t="shared" si="40"/>
        <v>#DIV/0!</v>
      </c>
      <c r="AQ15" s="683" t="e">
        <f t="shared" si="41"/>
        <v>#DIV/0!</v>
      </c>
      <c r="AR15" s="684" t="e">
        <f t="shared" si="54"/>
        <v>#DIV/0!</v>
      </c>
      <c r="AS15" s="1053"/>
      <c r="AT15" s="823"/>
      <c r="AU15" s="697">
        <f>1.2+0.87+4.4+1.8+2.95+1.05</f>
        <v>12.270000000000003</v>
      </c>
      <c r="AV15" s="689" t="e">
        <f t="shared" si="42"/>
        <v>#DIV/0!</v>
      </c>
      <c r="AW15" s="683" t="e">
        <f t="shared" si="43"/>
        <v>#DIV/0!</v>
      </c>
      <c r="AX15" s="684" t="e">
        <f t="shared" si="55"/>
        <v>#DIV/0!</v>
      </c>
      <c r="AY15" s="696">
        <v>22</v>
      </c>
      <c r="AZ15" s="696">
        <v>9</v>
      </c>
      <c r="BA15" s="697">
        <v>0.56000000000000005</v>
      </c>
      <c r="BB15" s="689">
        <f t="shared" si="44"/>
        <v>6.2222222222222227E-2</v>
      </c>
      <c r="BC15" s="683">
        <v>1.0800000000000001E-2</v>
      </c>
      <c r="BD15" s="790" t="s">
        <v>343</v>
      </c>
      <c r="BE15" s="799"/>
      <c r="BF15" s="795"/>
      <c r="BG15" s="796"/>
      <c r="BH15" s="797"/>
      <c r="BI15" s="798"/>
      <c r="BJ15" s="800"/>
      <c r="BK15" s="1150"/>
      <c r="BL15" s="1151"/>
      <c r="BM15" s="1151"/>
      <c r="BN15" s="1151"/>
      <c r="BO15" s="1151"/>
      <c r="BP15" s="1152"/>
      <c r="BQ15" s="699">
        <v>23</v>
      </c>
      <c r="BR15" s="696">
        <v>9</v>
      </c>
      <c r="BS15" s="697">
        <v>0.54</v>
      </c>
      <c r="BT15" s="689">
        <f>BS15/BR15</f>
        <v>6.0000000000000005E-2</v>
      </c>
      <c r="BU15" s="683">
        <v>1.04E-2</v>
      </c>
      <c r="BV15" s="684" t="s">
        <v>343</v>
      </c>
      <c r="BW15" s="1131"/>
      <c r="BX15" s="1132"/>
      <c r="BY15" s="1132"/>
      <c r="BZ15" s="1132"/>
      <c r="CA15" s="1132"/>
      <c r="CB15" s="1143"/>
      <c r="CC15" s="720"/>
      <c r="CD15" s="720"/>
      <c r="CE15" s="720"/>
      <c r="CF15" s="720"/>
      <c r="CG15" s="720"/>
      <c r="CH15" s="720"/>
      <c r="CI15" s="720"/>
      <c r="CJ15" s="720"/>
      <c r="CK15" s="720"/>
      <c r="CL15" s="720"/>
      <c r="CM15" s="720"/>
      <c r="CN15" s="720"/>
      <c r="CO15" s="720"/>
      <c r="CP15" s="720"/>
      <c r="CQ15" s="720"/>
      <c r="CR15" s="720"/>
      <c r="CS15" s="720"/>
      <c r="CT15" s="720"/>
      <c r="CU15" s="720"/>
      <c r="CV15" s="720"/>
      <c r="CW15" s="720"/>
      <c r="CX15" s="720"/>
      <c r="CY15" s="720"/>
      <c r="CZ15" s="720"/>
      <c r="DA15" s="720"/>
      <c r="DB15" s="720"/>
      <c r="DC15" s="720"/>
      <c r="DD15" s="720"/>
      <c r="DE15" s="720"/>
      <c r="DF15" s="720"/>
      <c r="DG15" s="720"/>
      <c r="DH15" s="720"/>
      <c r="DI15" s="720"/>
      <c r="DJ15" s="720"/>
      <c r="DK15" s="720"/>
      <c r="DL15" s="720"/>
      <c r="DM15" s="720"/>
      <c r="DN15" s="720"/>
      <c r="DO15" s="720"/>
      <c r="DP15" s="720"/>
      <c r="DQ15" s="720"/>
      <c r="DR15" s="720"/>
    </row>
    <row r="16" spans="1:122" s="642" customFormat="1" ht="16.5" thickBot="1">
      <c r="A16" s="720"/>
      <c r="B16" s="1074"/>
      <c r="C16" s="1071"/>
      <c r="D16" s="1048"/>
      <c r="E16" s="1051"/>
      <c r="F16" s="1048"/>
      <c r="G16" s="1041" t="s">
        <v>620</v>
      </c>
      <c r="H16" s="1042"/>
      <c r="I16" s="1045">
        <f>SUM(J10:J14)</f>
        <v>14</v>
      </c>
      <c r="J16" s="1040"/>
      <c r="K16" s="688">
        <f>SUM(K10:K15)</f>
        <v>3.69</v>
      </c>
      <c r="L16" s="688" t="e">
        <f>SUM(L10:L15)</f>
        <v>#DIV/0!</v>
      </c>
      <c r="M16" s="1033"/>
      <c r="N16" s="1034"/>
      <c r="O16" s="1039">
        <f>SUM(P11:P15)</f>
        <v>18</v>
      </c>
      <c r="P16" s="1040"/>
      <c r="Q16" s="688">
        <f>SUM(Q10:Q15)</f>
        <v>4.1500000000000004</v>
      </c>
      <c r="R16" s="688" t="e">
        <f>SUM(R10:R15)</f>
        <v>#DIV/0!</v>
      </c>
      <c r="S16" s="1033"/>
      <c r="T16" s="1034"/>
      <c r="U16" s="1039">
        <f>SUM(V11:V15)</f>
        <v>18</v>
      </c>
      <c r="V16" s="1040"/>
      <c r="W16" s="688">
        <f>SUM(W10:W15)</f>
        <v>7.8</v>
      </c>
      <c r="X16" s="688" t="e">
        <f>SUM(X10:X15)</f>
        <v>#DIV/0!</v>
      </c>
      <c r="Y16" s="1033"/>
      <c r="Z16" s="1034"/>
      <c r="AA16" s="1039">
        <f>SUM(AB11:AB15)</f>
        <v>22</v>
      </c>
      <c r="AB16" s="1040"/>
      <c r="AC16" s="688">
        <f>SUM(AC10:AC15)</f>
        <v>13.15</v>
      </c>
      <c r="AD16" s="688" t="e">
        <f>SUM(AD10:AD15)</f>
        <v>#DIV/0!</v>
      </c>
      <c r="AE16" s="1033"/>
      <c r="AF16" s="1034"/>
      <c r="AG16" s="1039">
        <f>SUM(AH11:AH15)</f>
        <v>52</v>
      </c>
      <c r="AH16" s="1040"/>
      <c r="AI16" s="688">
        <f>SUM(AI10:AI15)</f>
        <v>29.259999999999998</v>
      </c>
      <c r="AJ16" s="688" t="e">
        <f>SUM(AJ10:AJ15)</f>
        <v>#DIV/0!</v>
      </c>
      <c r="AK16" s="1033"/>
      <c r="AL16" s="1034"/>
      <c r="AM16" s="1039">
        <f>SUM(AN11:AN15)</f>
        <v>55</v>
      </c>
      <c r="AN16" s="1040"/>
      <c r="AO16" s="688">
        <f>SUM(AO10:AO15)</f>
        <v>51.870000000000005</v>
      </c>
      <c r="AP16" s="688" t="e">
        <f>SUM(AP10:AP15)</f>
        <v>#DIV/0!</v>
      </c>
      <c r="AQ16" s="1033"/>
      <c r="AR16" s="1034"/>
      <c r="AS16" s="1039">
        <f>SUM(AT11:AT15)</f>
        <v>172</v>
      </c>
      <c r="AT16" s="1040"/>
      <c r="AU16" s="688">
        <f>SUM(AU10:AU15)</f>
        <v>85.94</v>
      </c>
      <c r="AV16" s="688" t="e">
        <f>SUM(AV10:AV15)</f>
        <v>#DIV/0!</v>
      </c>
      <c r="AW16" s="1033"/>
      <c r="AX16" s="1034"/>
      <c r="AY16" s="1039">
        <f>SUM(AZ11:AZ15)</f>
        <v>281</v>
      </c>
      <c r="AZ16" s="1040"/>
      <c r="BA16" s="688">
        <f>SUM(BA10:BA15)</f>
        <v>86.780000000000015</v>
      </c>
      <c r="BB16" s="688">
        <f>SUM(BB10:BB15)</f>
        <v>2.7222222222222223</v>
      </c>
      <c r="BC16" s="1033"/>
      <c r="BD16" s="1140"/>
      <c r="BE16" s="1088">
        <f>SUM(BF11:BF15)</f>
        <v>303</v>
      </c>
      <c r="BF16" s="1089"/>
      <c r="BG16" s="685">
        <f>SUM(BG10:BG15)</f>
        <v>93.25</v>
      </c>
      <c r="BH16" s="685">
        <f>SUM(BH10:BH15)</f>
        <v>2.6920833333333332</v>
      </c>
      <c r="BI16" s="1141"/>
      <c r="BJ16" s="1142"/>
      <c r="BK16" s="1045">
        <f>SUM(BL11:BL15)</f>
        <v>351</v>
      </c>
      <c r="BL16" s="1040"/>
      <c r="BM16" s="688">
        <f>SUM(BM10:BM15)</f>
        <v>100.14</v>
      </c>
      <c r="BN16" s="688">
        <f>SUM(BN10:BN15)</f>
        <v>2.8000000000000003</v>
      </c>
      <c r="BO16" s="1033"/>
      <c r="BP16" s="1034"/>
      <c r="BQ16" s="1039">
        <f>SUM(BR11:BR15)</f>
        <v>501</v>
      </c>
      <c r="BR16" s="1040"/>
      <c r="BS16" s="688">
        <f>SUM(BS10:BS15)</f>
        <v>108.84</v>
      </c>
      <c r="BT16" s="688">
        <f>SUM(BT10:BT15)</f>
        <v>2.65</v>
      </c>
      <c r="BU16" s="1033"/>
      <c r="BV16" s="1034"/>
      <c r="BW16" s="1039">
        <f>SUM(BX11:BX15)</f>
        <v>492</v>
      </c>
      <c r="BX16" s="1040"/>
      <c r="BY16" s="688">
        <f>SUM(BY10:BY15)</f>
        <v>121.10000000000001</v>
      </c>
      <c r="BZ16" s="688">
        <f>SUM(BZ10:BZ15)</f>
        <v>2.5099999999999998</v>
      </c>
      <c r="CA16" s="1033"/>
      <c r="CB16" s="1034"/>
      <c r="CC16" s="720"/>
      <c r="CD16" s="720"/>
      <c r="CE16" s="720"/>
      <c r="CF16" s="720"/>
      <c r="CG16" s="720"/>
      <c r="CH16" s="720"/>
      <c r="CI16" s="720"/>
      <c r="CJ16" s="720"/>
      <c r="CK16" s="720"/>
      <c r="CL16" s="720"/>
      <c r="CM16" s="720"/>
      <c r="CN16" s="720"/>
      <c r="CO16" s="720"/>
      <c r="CP16" s="720"/>
      <c r="CQ16" s="720"/>
      <c r="CR16" s="720"/>
      <c r="CS16" s="720"/>
      <c r="CT16" s="720"/>
      <c r="CU16" s="720"/>
      <c r="CV16" s="720"/>
      <c r="CW16" s="720"/>
      <c r="CX16" s="720"/>
      <c r="CY16" s="720"/>
      <c r="CZ16" s="720"/>
      <c r="DA16" s="720"/>
      <c r="DB16" s="720"/>
      <c r="DC16" s="720"/>
      <c r="DD16" s="720"/>
      <c r="DE16" s="720"/>
      <c r="DF16" s="720"/>
      <c r="DG16" s="720"/>
      <c r="DH16" s="720"/>
      <c r="DI16" s="720"/>
      <c r="DJ16" s="720"/>
      <c r="DK16" s="720"/>
      <c r="DL16" s="720"/>
      <c r="DM16" s="720"/>
      <c r="DN16" s="720"/>
      <c r="DO16" s="720"/>
      <c r="DP16" s="720"/>
      <c r="DQ16" s="720"/>
      <c r="DR16" s="720"/>
    </row>
    <row r="17" spans="1:122" s="642" customFormat="1" ht="15.75">
      <c r="A17" s="720"/>
      <c r="B17" s="1120" t="str">
        <f>L52</f>
        <v>ESPERA FUTURA</v>
      </c>
      <c r="C17" s="1118">
        <f>SUM(G17:G22)</f>
        <v>109</v>
      </c>
      <c r="D17" s="1014">
        <f>C17/C24</f>
        <v>8.7409783480352846E-2</v>
      </c>
      <c r="E17" s="1119"/>
      <c r="F17" s="1014"/>
      <c r="G17" s="676">
        <f>M67</f>
        <v>1</v>
      </c>
      <c r="H17" s="677" t="str">
        <f>H42</f>
        <v>CPTR11</v>
      </c>
      <c r="I17" s="1109"/>
      <c r="J17" s="1110"/>
      <c r="K17" s="1111"/>
      <c r="L17" s="686" t="e">
        <f t="shared" ref="L17:L18" si="62">K17/J17</f>
        <v>#DIV/0!</v>
      </c>
      <c r="M17" s="683" t="e">
        <f>K17/$E41</f>
        <v>#DIV/0!</v>
      </c>
      <c r="N17" s="687" t="e">
        <f>M42</f>
        <v>#DIV/0!</v>
      </c>
      <c r="O17" s="1109"/>
      <c r="P17" s="1110"/>
      <c r="Q17" s="1111"/>
      <c r="R17" s="686" t="e">
        <f t="shared" ref="R17:R22" si="63">Q17/P17</f>
        <v>#DIV/0!</v>
      </c>
      <c r="S17" s="683" t="e">
        <f>Q17/$E41</f>
        <v>#DIV/0!</v>
      </c>
      <c r="T17" s="687" t="e">
        <f>S42</f>
        <v>#DIV/0!</v>
      </c>
      <c r="U17" s="1109"/>
      <c r="V17" s="1110"/>
      <c r="W17" s="1111"/>
      <c r="X17" s="686" t="e">
        <f t="shared" ref="X17:X22" si="64">W17/V17</f>
        <v>#DIV/0!</v>
      </c>
      <c r="Y17" s="683" t="e">
        <f>W17/$E41</f>
        <v>#DIV/0!</v>
      </c>
      <c r="Z17" s="687" t="e">
        <f>Y42</f>
        <v>#DIV/0!</v>
      </c>
      <c r="AA17" s="1109"/>
      <c r="AB17" s="1110"/>
      <c r="AC17" s="1111"/>
      <c r="AD17" s="686" t="e">
        <f t="shared" ref="AD17:AD22" si="65">AC17/AB17</f>
        <v>#DIV/0!</v>
      </c>
      <c r="AE17" s="683" t="e">
        <f>AC17/$E41</f>
        <v>#DIV/0!</v>
      </c>
      <c r="AF17" s="687" t="e">
        <f>AE42</f>
        <v>#DIV/0!</v>
      </c>
      <c r="AG17" s="1109"/>
      <c r="AH17" s="1110"/>
      <c r="AI17" s="1111"/>
      <c r="AJ17" s="686" t="e">
        <f t="shared" ref="AJ17:AJ22" si="66">AI17/AH17</f>
        <v>#DIV/0!</v>
      </c>
      <c r="AK17" s="683" t="e">
        <f>AI17/$E41</f>
        <v>#DIV/0!</v>
      </c>
      <c r="AL17" s="687" t="e">
        <f>AK42</f>
        <v>#DIV/0!</v>
      </c>
      <c r="AM17" s="1109"/>
      <c r="AN17" s="1110"/>
      <c r="AO17" s="1111"/>
      <c r="AP17" s="686" t="e">
        <f t="shared" ref="AP17:AP22" si="67">AO17/AN17</f>
        <v>#DIV/0!</v>
      </c>
      <c r="AQ17" s="683" t="e">
        <f>AO17/$E41</f>
        <v>#DIV/0!</v>
      </c>
      <c r="AR17" s="687" t="e">
        <f>AQ42</f>
        <v>#DIV/0!</v>
      </c>
      <c r="AS17" s="1109"/>
      <c r="AT17" s="1110"/>
      <c r="AU17" s="1111"/>
      <c r="AV17" s="686" t="e">
        <f t="shared" ref="AV17:AV22" si="68">AU17/AT17</f>
        <v>#DIV/0!</v>
      </c>
      <c r="AW17" s="683" t="e">
        <f>AU17/$E41</f>
        <v>#DIV/0!</v>
      </c>
      <c r="AX17" s="687" t="e">
        <f>AW42</f>
        <v>#DIV/0!</v>
      </c>
      <c r="AY17" s="1106"/>
      <c r="AZ17" s="1107"/>
      <c r="BA17" s="1107"/>
      <c r="BB17" s="1107"/>
      <c r="BC17" s="1108"/>
      <c r="BD17" s="687">
        <f>BC42</f>
        <v>1.2246147566078171E-2</v>
      </c>
      <c r="BE17" s="1106"/>
      <c r="BF17" s="1107"/>
      <c r="BG17" s="1107"/>
      <c r="BH17" s="1107"/>
      <c r="BI17" s="1108"/>
      <c r="BJ17" s="687">
        <f>BI42</f>
        <v>1.3860369609856264E-2</v>
      </c>
      <c r="BK17" s="1134" t="e">
        <f>BM17/BL17</f>
        <v>#DIV/0!</v>
      </c>
      <c r="BL17" s="1135"/>
      <c r="BM17" s="1135"/>
      <c r="BN17" s="1135"/>
      <c r="BO17" s="1136"/>
      <c r="BP17" s="687">
        <f>BO42</f>
        <v>1.0040160642570281E-2</v>
      </c>
      <c r="BQ17" s="1106"/>
      <c r="BR17" s="1107"/>
      <c r="BS17" s="1107"/>
      <c r="BT17" s="1107"/>
      <c r="BU17" s="1108"/>
      <c r="BV17" s="687"/>
      <c r="BW17" s="839"/>
      <c r="BX17" s="840"/>
      <c r="BY17" s="841"/>
      <c r="BZ17" s="842" t="e">
        <f t="shared" ref="BZ17:BZ22" si="69">BY17/BX17</f>
        <v>#DIV/0!</v>
      </c>
      <c r="CA17" s="843" t="e">
        <f>BY17/$E41</f>
        <v>#DIV/0!</v>
      </c>
      <c r="CB17" s="844">
        <f>CA42</f>
        <v>0</v>
      </c>
      <c r="CC17" s="720"/>
      <c r="CD17" s="720"/>
      <c r="CE17" s="720"/>
      <c r="CF17" s="720"/>
      <c r="CG17" s="720"/>
      <c r="CH17" s="720"/>
      <c r="CI17" s="720"/>
      <c r="CJ17" s="720"/>
      <c r="CK17" s="720"/>
      <c r="CL17" s="720"/>
      <c r="CM17" s="720"/>
      <c r="CN17" s="720"/>
      <c r="CO17" s="720"/>
      <c r="CP17" s="720"/>
      <c r="CQ17" s="720"/>
      <c r="CR17" s="720"/>
      <c r="CS17" s="720"/>
      <c r="CT17" s="720"/>
      <c r="CU17" s="720"/>
      <c r="CV17" s="720"/>
      <c r="CW17" s="720"/>
      <c r="CX17" s="720"/>
      <c r="CY17" s="720"/>
      <c r="CZ17" s="720"/>
      <c r="DA17" s="720"/>
      <c r="DB17" s="720"/>
      <c r="DC17" s="720"/>
      <c r="DD17" s="720"/>
      <c r="DE17" s="720"/>
      <c r="DF17" s="720"/>
      <c r="DG17" s="720"/>
      <c r="DH17" s="720"/>
      <c r="DI17" s="720"/>
      <c r="DJ17" s="720"/>
      <c r="DK17" s="720"/>
      <c r="DL17" s="720"/>
      <c r="DM17" s="720"/>
      <c r="DN17" s="720"/>
      <c r="DO17" s="720"/>
      <c r="DP17" s="720"/>
      <c r="DQ17" s="720"/>
      <c r="DR17" s="720"/>
    </row>
    <row r="18" spans="1:122" s="642" customFormat="1" ht="15.75">
      <c r="A18" s="720"/>
      <c r="B18" s="1121"/>
      <c r="C18" s="1078"/>
      <c r="D18" s="1015"/>
      <c r="E18" s="1081"/>
      <c r="F18" s="1015"/>
      <c r="G18" s="670">
        <f>R67</f>
        <v>1</v>
      </c>
      <c r="H18" s="678" t="str">
        <f t="shared" ref="H18:H21" si="70">H43</f>
        <v>JPPA11</v>
      </c>
      <c r="I18" s="1056"/>
      <c r="J18" s="1057"/>
      <c r="K18" s="1058"/>
      <c r="L18" s="682" t="e">
        <f t="shared" si="62"/>
        <v>#DIV/0!</v>
      </c>
      <c r="M18" s="683" t="e">
        <f t="shared" ref="M18:M22" si="71">K18/$E42</f>
        <v>#DIV/0!</v>
      </c>
      <c r="N18" s="684" t="e">
        <f>M43</f>
        <v>#DIV/0!</v>
      </c>
      <c r="O18" s="1056"/>
      <c r="P18" s="1057"/>
      <c r="Q18" s="1058"/>
      <c r="R18" s="682" t="e">
        <f t="shared" si="63"/>
        <v>#DIV/0!</v>
      </c>
      <c r="S18" s="683" t="e">
        <f t="shared" ref="S18:S22" si="72">Q18/$E42</f>
        <v>#DIV/0!</v>
      </c>
      <c r="T18" s="684" t="e">
        <f>S43</f>
        <v>#DIV/0!</v>
      </c>
      <c r="U18" s="1056"/>
      <c r="V18" s="1057"/>
      <c r="W18" s="1058"/>
      <c r="X18" s="682" t="e">
        <f t="shared" si="64"/>
        <v>#DIV/0!</v>
      </c>
      <c r="Y18" s="683" t="e">
        <f t="shared" ref="Y18:Y22" si="73">W18/$E42</f>
        <v>#DIV/0!</v>
      </c>
      <c r="Z18" s="684" t="e">
        <f>Y43</f>
        <v>#DIV/0!</v>
      </c>
      <c r="AA18" s="1056"/>
      <c r="AB18" s="1057"/>
      <c r="AC18" s="1058"/>
      <c r="AD18" s="682" t="e">
        <f t="shared" si="65"/>
        <v>#DIV/0!</v>
      </c>
      <c r="AE18" s="683" t="e">
        <f t="shared" ref="AE18:AE22" si="74">AC18/$E42</f>
        <v>#DIV/0!</v>
      </c>
      <c r="AF18" s="684" t="e">
        <f>AE43</f>
        <v>#DIV/0!</v>
      </c>
      <c r="AG18" s="1056"/>
      <c r="AH18" s="1057"/>
      <c r="AI18" s="1058"/>
      <c r="AJ18" s="682" t="e">
        <f t="shared" si="66"/>
        <v>#DIV/0!</v>
      </c>
      <c r="AK18" s="683" t="e">
        <f t="shared" ref="AK18:AK22" si="75">AI18/$E42</f>
        <v>#DIV/0!</v>
      </c>
      <c r="AL18" s="684" t="e">
        <f>AK43</f>
        <v>#DIV/0!</v>
      </c>
      <c r="AM18" s="1056"/>
      <c r="AN18" s="1057"/>
      <c r="AO18" s="1058"/>
      <c r="AP18" s="682" t="e">
        <f t="shared" si="67"/>
        <v>#DIV/0!</v>
      </c>
      <c r="AQ18" s="683" t="e">
        <f t="shared" ref="AQ18:AQ22" si="76">AO18/$E42</f>
        <v>#DIV/0!</v>
      </c>
      <c r="AR18" s="684" t="e">
        <f>AQ43</f>
        <v>#DIV/0!</v>
      </c>
      <c r="AS18" s="1056"/>
      <c r="AT18" s="1057"/>
      <c r="AU18" s="1058"/>
      <c r="AV18" s="682" t="e">
        <f t="shared" si="68"/>
        <v>#DIV/0!</v>
      </c>
      <c r="AW18" s="683" t="e">
        <f t="shared" ref="AW18:AW22" si="77">AU18/$E42</f>
        <v>#DIV/0!</v>
      </c>
      <c r="AX18" s="684" t="e">
        <f>AW43</f>
        <v>#DIV/0!</v>
      </c>
      <c r="AY18" s="1100"/>
      <c r="AZ18" s="1101"/>
      <c r="BA18" s="1101"/>
      <c r="BB18" s="1101"/>
      <c r="BC18" s="1102"/>
      <c r="BD18" s="684">
        <f>BC43</f>
        <v>1.2452679816696554E-2</v>
      </c>
      <c r="BE18" s="1103"/>
      <c r="BF18" s="1104"/>
      <c r="BG18" s="1104"/>
      <c r="BH18" s="1104"/>
      <c r="BI18" s="1105"/>
      <c r="BJ18" s="684">
        <f>BI43</f>
        <v>1.1063011063011063E-2</v>
      </c>
      <c r="BK18" s="1137"/>
      <c r="BL18" s="1138"/>
      <c r="BM18" s="1138"/>
      <c r="BN18" s="1138"/>
      <c r="BO18" s="1139"/>
      <c r="BP18" s="684">
        <f>BO43</f>
        <v>1.1111111111111112E-2</v>
      </c>
      <c r="BQ18" s="1103"/>
      <c r="BR18" s="1104"/>
      <c r="BS18" s="1104"/>
      <c r="BT18" s="1104"/>
      <c r="BU18" s="1105"/>
      <c r="BV18" s="684">
        <f>BU43</f>
        <v>1.2195121951219513E-2</v>
      </c>
      <c r="BW18" s="845"/>
      <c r="BX18" s="846"/>
      <c r="BY18" s="847"/>
      <c r="BZ18" s="848" t="e">
        <f t="shared" si="69"/>
        <v>#DIV/0!</v>
      </c>
      <c r="CA18" s="843" t="e">
        <f t="shared" ref="CA18:CA22" si="78">BY18/$E42</f>
        <v>#DIV/0!</v>
      </c>
      <c r="CB18" s="849">
        <f>CA43</f>
        <v>1.1375947995666307E-2</v>
      </c>
      <c r="CC18" s="720"/>
      <c r="CD18" s="720"/>
      <c r="CE18" s="720"/>
      <c r="CF18" s="720"/>
      <c r="CG18" s="720"/>
      <c r="CH18" s="720"/>
      <c r="CI18" s="720"/>
      <c r="CJ18" s="720"/>
      <c r="CK18" s="720"/>
      <c r="CL18" s="720"/>
      <c r="CM18" s="720"/>
      <c r="CN18" s="720"/>
      <c r="CO18" s="720"/>
      <c r="CP18" s="720"/>
      <c r="CQ18" s="720"/>
      <c r="CR18" s="720"/>
      <c r="CS18" s="720"/>
      <c r="CT18" s="720"/>
      <c r="CU18" s="720"/>
      <c r="CV18" s="720"/>
      <c r="CW18" s="720"/>
      <c r="CX18" s="720"/>
      <c r="CY18" s="720"/>
      <c r="CZ18" s="720"/>
      <c r="DA18" s="720"/>
      <c r="DB18" s="720"/>
      <c r="DC18" s="720"/>
      <c r="DD18" s="720"/>
      <c r="DE18" s="720"/>
      <c r="DF18" s="720"/>
      <c r="DG18" s="720"/>
      <c r="DH18" s="720"/>
      <c r="DI18" s="720"/>
      <c r="DJ18" s="720"/>
      <c r="DK18" s="720"/>
      <c r="DL18" s="720"/>
      <c r="DM18" s="720"/>
      <c r="DN18" s="720"/>
      <c r="DO18" s="720"/>
      <c r="DP18" s="720"/>
      <c r="DQ18" s="720"/>
      <c r="DR18" s="720"/>
    </row>
    <row r="19" spans="1:122" s="642" customFormat="1" ht="15.75">
      <c r="A19" s="720"/>
      <c r="B19" s="1121"/>
      <c r="C19" s="1078"/>
      <c r="D19" s="1015"/>
      <c r="E19" s="1081"/>
      <c r="F19" s="1015"/>
      <c r="G19" s="670">
        <f>W67</f>
        <v>104</v>
      </c>
      <c r="H19" s="678" t="str">
        <f t="shared" si="70"/>
        <v>FGAA11</v>
      </c>
      <c r="I19" s="1056"/>
      <c r="J19" s="1057"/>
      <c r="K19" s="1058"/>
      <c r="L19" s="682" t="e">
        <f t="shared" ref="L19:L22" si="79">K19/J19</f>
        <v>#DIV/0!</v>
      </c>
      <c r="M19" s="683">
        <f t="shared" si="71"/>
        <v>0</v>
      </c>
      <c r="N19" s="684" t="e">
        <f t="shared" ref="N19:N22" si="80">M44</f>
        <v>#DIV/0!</v>
      </c>
      <c r="O19" s="1056"/>
      <c r="P19" s="1057"/>
      <c r="Q19" s="1058"/>
      <c r="R19" s="682" t="e">
        <f t="shared" si="63"/>
        <v>#DIV/0!</v>
      </c>
      <c r="S19" s="683">
        <f t="shared" si="72"/>
        <v>0</v>
      </c>
      <c r="T19" s="684" t="e">
        <f t="shared" ref="T19:T22" si="81">S44</f>
        <v>#DIV/0!</v>
      </c>
      <c r="U19" s="1056"/>
      <c r="V19" s="1057"/>
      <c r="W19" s="1058"/>
      <c r="X19" s="682" t="e">
        <f t="shared" si="64"/>
        <v>#DIV/0!</v>
      </c>
      <c r="Y19" s="683">
        <f t="shared" si="73"/>
        <v>0</v>
      </c>
      <c r="Z19" s="684" t="e">
        <f t="shared" ref="Z19:Z22" si="82">Y44</f>
        <v>#DIV/0!</v>
      </c>
      <c r="AA19" s="1056"/>
      <c r="AB19" s="1057"/>
      <c r="AC19" s="1058"/>
      <c r="AD19" s="682" t="e">
        <f t="shared" si="65"/>
        <v>#DIV/0!</v>
      </c>
      <c r="AE19" s="683">
        <f t="shared" si="74"/>
        <v>0</v>
      </c>
      <c r="AF19" s="684" t="e">
        <f t="shared" ref="AF19:AF22" si="83">AE44</f>
        <v>#DIV/0!</v>
      </c>
      <c r="AG19" s="1056"/>
      <c r="AH19" s="1057"/>
      <c r="AI19" s="1058"/>
      <c r="AJ19" s="682" t="e">
        <f t="shared" si="66"/>
        <v>#DIV/0!</v>
      </c>
      <c r="AK19" s="683">
        <f t="shared" si="75"/>
        <v>0</v>
      </c>
      <c r="AL19" s="684" t="e">
        <f t="shared" ref="AL19:AL22" si="84">AK44</f>
        <v>#DIV/0!</v>
      </c>
      <c r="AM19" s="1056"/>
      <c r="AN19" s="1057"/>
      <c r="AO19" s="1058"/>
      <c r="AP19" s="682" t="e">
        <f t="shared" si="67"/>
        <v>#DIV/0!</v>
      </c>
      <c r="AQ19" s="683">
        <f t="shared" si="76"/>
        <v>0</v>
      </c>
      <c r="AR19" s="684" t="e">
        <f t="shared" ref="AR19:AR22" si="85">AQ44</f>
        <v>#DIV/0!</v>
      </c>
      <c r="AS19" s="1056"/>
      <c r="AT19" s="1057"/>
      <c r="AU19" s="1058"/>
      <c r="AV19" s="682" t="e">
        <f t="shared" si="68"/>
        <v>#DIV/0!</v>
      </c>
      <c r="AW19" s="683">
        <f t="shared" si="77"/>
        <v>0</v>
      </c>
      <c r="AX19" s="684" t="e">
        <f t="shared" ref="AX19:AX22" si="86">AW44</f>
        <v>#DIV/0!</v>
      </c>
      <c r="AY19" s="1100"/>
      <c r="AZ19" s="1101"/>
      <c r="BA19" s="1101"/>
      <c r="BB19" s="1101"/>
      <c r="BC19" s="1102"/>
      <c r="BD19" s="684">
        <f t="shared" ref="BD19:BD22" si="87">BC44</f>
        <v>1.2987012987012988E-2</v>
      </c>
      <c r="BE19" s="691">
        <v>15</v>
      </c>
      <c r="BF19" s="692">
        <v>20</v>
      </c>
      <c r="BG19" s="693">
        <v>2.6</v>
      </c>
      <c r="BH19" s="682">
        <f t="shared" ref="BH19" si="88">BG19/BF19</f>
        <v>0.13</v>
      </c>
      <c r="BI19" s="683">
        <v>1.2800000000000001E-2</v>
      </c>
      <c r="BJ19" s="684">
        <f t="shared" ref="BJ19:BJ22" si="89">BI44</f>
        <v>1.282051282051282E-2</v>
      </c>
      <c r="BK19" s="691">
        <v>16</v>
      </c>
      <c r="BL19" s="692">
        <v>20</v>
      </c>
      <c r="BM19" s="693">
        <v>2.4</v>
      </c>
      <c r="BN19" s="682">
        <f t="shared" ref="BN19" si="90">BM19/BL19</f>
        <v>0.12</v>
      </c>
      <c r="BO19" s="683">
        <v>1.2E-2</v>
      </c>
      <c r="BP19" s="684">
        <f t="shared" ref="BP19:BP22" si="91">BO44</f>
        <v>1.1952191235059761E-2</v>
      </c>
      <c r="BQ19" s="691">
        <v>16</v>
      </c>
      <c r="BR19" s="692">
        <v>29</v>
      </c>
      <c r="BS19" s="693">
        <v>3.33</v>
      </c>
      <c r="BT19" s="682">
        <f t="shared" ref="BT19" si="92">BS19/BR19</f>
        <v>0.11482758620689655</v>
      </c>
      <c r="BU19" s="683">
        <v>1.1599999999999999E-2</v>
      </c>
      <c r="BV19" s="684">
        <f t="shared" ref="BV19:BV22" si="93">BU44</f>
        <v>1.16869918699187E-2</v>
      </c>
      <c r="BW19" s="691">
        <v>14</v>
      </c>
      <c r="BX19" s="692">
        <v>29</v>
      </c>
      <c r="BY19" s="693">
        <v>3.19</v>
      </c>
      <c r="BZ19" s="682">
        <f t="shared" si="69"/>
        <v>0.11</v>
      </c>
      <c r="CA19" s="683">
        <v>1.11E-2</v>
      </c>
      <c r="CB19" s="684">
        <f t="shared" ref="CB19:CB22" si="94">CA44</f>
        <v>1.1591148577449946E-2</v>
      </c>
      <c r="CC19" s="720"/>
      <c r="CD19" s="720"/>
      <c r="CE19" s="720"/>
      <c r="CF19" s="720"/>
      <c r="CG19" s="720"/>
      <c r="CH19" s="720"/>
      <c r="CI19" s="720"/>
      <c r="CJ19" s="720"/>
      <c r="CK19" s="720"/>
      <c r="CL19" s="720"/>
      <c r="CM19" s="720"/>
      <c r="CN19" s="720"/>
      <c r="CO19" s="720"/>
      <c r="CP19" s="720"/>
      <c r="CQ19" s="720"/>
      <c r="CR19" s="720"/>
      <c r="CS19" s="720"/>
      <c r="CT19" s="720"/>
      <c r="CU19" s="720"/>
      <c r="CV19" s="720"/>
      <c r="CW19" s="720"/>
      <c r="CX19" s="720"/>
      <c r="CY19" s="720"/>
      <c r="CZ19" s="720"/>
      <c r="DA19" s="720"/>
      <c r="DB19" s="720"/>
      <c r="DC19" s="720"/>
      <c r="DD19" s="720"/>
      <c r="DE19" s="720"/>
      <c r="DF19" s="720"/>
      <c r="DG19" s="720"/>
      <c r="DH19" s="720"/>
      <c r="DI19" s="720"/>
      <c r="DJ19" s="720"/>
      <c r="DK19" s="720"/>
      <c r="DL19" s="720"/>
      <c r="DM19" s="720"/>
      <c r="DN19" s="720"/>
      <c r="DO19" s="720"/>
      <c r="DP19" s="720"/>
      <c r="DQ19" s="720"/>
      <c r="DR19" s="720"/>
    </row>
    <row r="20" spans="1:122" s="642" customFormat="1" ht="15.75">
      <c r="A20" s="720"/>
      <c r="B20" s="1121"/>
      <c r="C20" s="1078"/>
      <c r="D20" s="1015"/>
      <c r="E20" s="1081"/>
      <c r="F20" s="1015"/>
      <c r="G20" s="670">
        <f>AB67</f>
        <v>1</v>
      </c>
      <c r="H20" s="678" t="str">
        <f t="shared" si="70"/>
        <v>VCRI11</v>
      </c>
      <c r="I20" s="1056"/>
      <c r="J20" s="1057"/>
      <c r="K20" s="1058"/>
      <c r="L20" s="682" t="e">
        <f t="shared" si="79"/>
        <v>#DIV/0!</v>
      </c>
      <c r="M20" s="683" t="e">
        <f t="shared" si="71"/>
        <v>#DIV/0!</v>
      </c>
      <c r="N20" s="684" t="e">
        <f t="shared" si="80"/>
        <v>#DIV/0!</v>
      </c>
      <c r="O20" s="1056"/>
      <c r="P20" s="1057"/>
      <c r="Q20" s="1058"/>
      <c r="R20" s="682" t="e">
        <f t="shared" si="63"/>
        <v>#DIV/0!</v>
      </c>
      <c r="S20" s="683" t="e">
        <f t="shared" si="72"/>
        <v>#DIV/0!</v>
      </c>
      <c r="T20" s="684" t="e">
        <f t="shared" si="81"/>
        <v>#DIV/0!</v>
      </c>
      <c r="U20" s="1056"/>
      <c r="V20" s="1057"/>
      <c r="W20" s="1058"/>
      <c r="X20" s="682" t="e">
        <f t="shared" si="64"/>
        <v>#DIV/0!</v>
      </c>
      <c r="Y20" s="683" t="e">
        <f t="shared" si="73"/>
        <v>#DIV/0!</v>
      </c>
      <c r="Z20" s="684" t="e">
        <f t="shared" si="82"/>
        <v>#DIV/0!</v>
      </c>
      <c r="AA20" s="1056"/>
      <c r="AB20" s="1057"/>
      <c r="AC20" s="1058"/>
      <c r="AD20" s="682" t="e">
        <f t="shared" si="65"/>
        <v>#DIV/0!</v>
      </c>
      <c r="AE20" s="683" t="e">
        <f t="shared" si="74"/>
        <v>#DIV/0!</v>
      </c>
      <c r="AF20" s="684" t="e">
        <f t="shared" si="83"/>
        <v>#DIV/0!</v>
      </c>
      <c r="AG20" s="1056"/>
      <c r="AH20" s="1057"/>
      <c r="AI20" s="1058"/>
      <c r="AJ20" s="682" t="e">
        <f t="shared" si="66"/>
        <v>#DIV/0!</v>
      </c>
      <c r="AK20" s="683" t="e">
        <f t="shared" si="75"/>
        <v>#DIV/0!</v>
      </c>
      <c r="AL20" s="684" t="e">
        <f t="shared" si="84"/>
        <v>#DIV/0!</v>
      </c>
      <c r="AM20" s="1056"/>
      <c r="AN20" s="1057"/>
      <c r="AO20" s="1058"/>
      <c r="AP20" s="682" t="e">
        <f t="shared" si="67"/>
        <v>#DIV/0!</v>
      </c>
      <c r="AQ20" s="683" t="e">
        <f t="shared" si="76"/>
        <v>#DIV/0!</v>
      </c>
      <c r="AR20" s="684" t="e">
        <f t="shared" si="85"/>
        <v>#DIV/0!</v>
      </c>
      <c r="AS20" s="1056"/>
      <c r="AT20" s="1057"/>
      <c r="AU20" s="1058"/>
      <c r="AV20" s="682" t="e">
        <f t="shared" si="68"/>
        <v>#DIV/0!</v>
      </c>
      <c r="AW20" s="683" t="e">
        <f t="shared" si="77"/>
        <v>#DIV/0!</v>
      </c>
      <c r="AX20" s="684" t="e">
        <f t="shared" si="86"/>
        <v>#DIV/0!</v>
      </c>
      <c r="AY20" s="1100"/>
      <c r="AZ20" s="1101"/>
      <c r="BA20" s="1101"/>
      <c r="BB20" s="1101"/>
      <c r="BC20" s="1102"/>
      <c r="BD20" s="684">
        <f t="shared" si="87"/>
        <v>1.1402508551881414E-2</v>
      </c>
      <c r="BE20" s="1097"/>
      <c r="BF20" s="1098"/>
      <c r="BG20" s="1098"/>
      <c r="BH20" s="1098"/>
      <c r="BI20" s="1099"/>
      <c r="BJ20" s="684">
        <f t="shared" si="89"/>
        <v>1.0416666666666666E-2</v>
      </c>
      <c r="BK20" s="1144" t="e">
        <f>BM20/BL20</f>
        <v>#DIV/0!</v>
      </c>
      <c r="BL20" s="1145"/>
      <c r="BM20" s="1145"/>
      <c r="BN20" s="1145"/>
      <c r="BO20" s="1146"/>
      <c r="BP20" s="684">
        <f t="shared" si="91"/>
        <v>9.0252707581227436E-3</v>
      </c>
      <c r="BQ20" s="1097"/>
      <c r="BR20" s="1098"/>
      <c r="BS20" s="1098"/>
      <c r="BT20" s="1098"/>
      <c r="BU20" s="1099"/>
      <c r="BV20" s="684">
        <f t="shared" si="93"/>
        <v>9.7323600973236012E-3</v>
      </c>
      <c r="BW20" s="845"/>
      <c r="BX20" s="846"/>
      <c r="BY20" s="847"/>
      <c r="BZ20" s="848" t="e">
        <f t="shared" si="69"/>
        <v>#DIV/0!</v>
      </c>
      <c r="CA20" s="843" t="e">
        <f t="shared" si="78"/>
        <v>#DIV/0!</v>
      </c>
      <c r="CB20" s="849">
        <f t="shared" si="94"/>
        <v>9.9378881987577626E-3</v>
      </c>
      <c r="CC20" s="720"/>
      <c r="CD20" s="720"/>
      <c r="CE20" s="720"/>
      <c r="CF20" s="720"/>
      <c r="CG20" s="720"/>
      <c r="CH20" s="720"/>
      <c r="CI20" s="720"/>
      <c r="CJ20" s="720"/>
      <c r="CK20" s="720"/>
      <c r="CL20" s="720"/>
      <c r="CM20" s="720"/>
      <c r="CN20" s="720"/>
      <c r="CO20" s="720"/>
      <c r="CP20" s="720"/>
      <c r="CQ20" s="720"/>
      <c r="CR20" s="720"/>
      <c r="CS20" s="720"/>
      <c r="CT20" s="720"/>
      <c r="CU20" s="720"/>
      <c r="CV20" s="720"/>
      <c r="CW20" s="720"/>
      <c r="CX20" s="720"/>
      <c r="CY20" s="720"/>
      <c r="CZ20" s="720"/>
      <c r="DA20" s="720"/>
      <c r="DB20" s="720"/>
      <c r="DC20" s="720"/>
      <c r="DD20" s="720"/>
      <c r="DE20" s="720"/>
      <c r="DF20" s="720"/>
      <c r="DG20" s="720"/>
      <c r="DH20" s="720"/>
      <c r="DI20" s="720"/>
      <c r="DJ20" s="720"/>
      <c r="DK20" s="720"/>
      <c r="DL20" s="720"/>
      <c r="DM20" s="720"/>
      <c r="DN20" s="720"/>
      <c r="DO20" s="720"/>
      <c r="DP20" s="720"/>
      <c r="DQ20" s="720"/>
      <c r="DR20" s="720"/>
    </row>
    <row r="21" spans="1:122" s="642" customFormat="1" ht="15.75">
      <c r="A21" s="720"/>
      <c r="B21" s="1121"/>
      <c r="C21" s="1078"/>
      <c r="D21" s="1015"/>
      <c r="E21" s="1081"/>
      <c r="F21" s="1015"/>
      <c r="G21" s="670">
        <f>AG67</f>
        <v>1</v>
      </c>
      <c r="H21" s="678" t="str">
        <f t="shared" si="70"/>
        <v>BBFI11</v>
      </c>
      <c r="I21" s="1056"/>
      <c r="J21" s="1057"/>
      <c r="K21" s="1058"/>
      <c r="L21" s="682" t="e">
        <f t="shared" si="79"/>
        <v>#DIV/0!</v>
      </c>
      <c r="M21" s="683" t="e">
        <f t="shared" si="71"/>
        <v>#DIV/0!</v>
      </c>
      <c r="N21" s="684" t="e">
        <f t="shared" si="80"/>
        <v>#DIV/0!</v>
      </c>
      <c r="O21" s="1056"/>
      <c r="P21" s="1057"/>
      <c r="Q21" s="1058"/>
      <c r="R21" s="682" t="e">
        <f t="shared" si="63"/>
        <v>#DIV/0!</v>
      </c>
      <c r="S21" s="683" t="e">
        <f t="shared" si="72"/>
        <v>#DIV/0!</v>
      </c>
      <c r="T21" s="684" t="e">
        <f t="shared" si="81"/>
        <v>#DIV/0!</v>
      </c>
      <c r="U21" s="1056"/>
      <c r="V21" s="1057"/>
      <c r="W21" s="1058"/>
      <c r="X21" s="682" t="e">
        <f t="shared" si="64"/>
        <v>#DIV/0!</v>
      </c>
      <c r="Y21" s="683" t="e">
        <f t="shared" si="73"/>
        <v>#DIV/0!</v>
      </c>
      <c r="Z21" s="684" t="e">
        <f t="shared" si="82"/>
        <v>#DIV/0!</v>
      </c>
      <c r="AA21" s="1056"/>
      <c r="AB21" s="1057"/>
      <c r="AC21" s="1058"/>
      <c r="AD21" s="682" t="e">
        <f t="shared" si="65"/>
        <v>#DIV/0!</v>
      </c>
      <c r="AE21" s="683" t="e">
        <f t="shared" si="74"/>
        <v>#DIV/0!</v>
      </c>
      <c r="AF21" s="684" t="e">
        <f t="shared" si="83"/>
        <v>#DIV/0!</v>
      </c>
      <c r="AG21" s="1056"/>
      <c r="AH21" s="1057"/>
      <c r="AI21" s="1058"/>
      <c r="AJ21" s="682" t="e">
        <f t="shared" si="66"/>
        <v>#DIV/0!</v>
      </c>
      <c r="AK21" s="683" t="e">
        <f t="shared" si="75"/>
        <v>#DIV/0!</v>
      </c>
      <c r="AL21" s="684" t="e">
        <f t="shared" si="84"/>
        <v>#DIV/0!</v>
      </c>
      <c r="AM21" s="1056"/>
      <c r="AN21" s="1057"/>
      <c r="AO21" s="1058"/>
      <c r="AP21" s="682" t="e">
        <f t="shared" si="67"/>
        <v>#DIV/0!</v>
      </c>
      <c r="AQ21" s="683" t="e">
        <f t="shared" si="76"/>
        <v>#DIV/0!</v>
      </c>
      <c r="AR21" s="684" t="e">
        <f t="shared" si="85"/>
        <v>#DIV/0!</v>
      </c>
      <c r="AS21" s="1056"/>
      <c r="AT21" s="1057"/>
      <c r="AU21" s="1058"/>
      <c r="AV21" s="682" t="e">
        <f t="shared" si="68"/>
        <v>#DIV/0!</v>
      </c>
      <c r="AW21" s="683" t="e">
        <f t="shared" si="77"/>
        <v>#DIV/0!</v>
      </c>
      <c r="AX21" s="684" t="e">
        <f t="shared" si="86"/>
        <v>#DIV/0!</v>
      </c>
      <c r="AY21" s="1100"/>
      <c r="AZ21" s="1101"/>
      <c r="BA21" s="1101"/>
      <c r="BB21" s="1101"/>
      <c r="BC21" s="1102"/>
      <c r="BD21" s="684">
        <f t="shared" si="87"/>
        <v>5.5421686746987952E-3</v>
      </c>
      <c r="BE21" s="1100"/>
      <c r="BF21" s="1101"/>
      <c r="BG21" s="1101"/>
      <c r="BH21" s="1101"/>
      <c r="BI21" s="1102"/>
      <c r="BJ21" s="684">
        <f t="shared" si="89"/>
        <v>7.7454909819639284E-3</v>
      </c>
      <c r="BK21" s="1147"/>
      <c r="BL21" s="1148"/>
      <c r="BM21" s="1148"/>
      <c r="BN21" s="1148"/>
      <c r="BO21" s="1149"/>
      <c r="BP21" s="684">
        <f t="shared" si="91"/>
        <v>7.8328173374613008E-3</v>
      </c>
      <c r="BQ21" s="1100"/>
      <c r="BR21" s="1101"/>
      <c r="BS21" s="1101"/>
      <c r="BT21" s="1101"/>
      <c r="BU21" s="1102"/>
      <c r="BV21" s="684">
        <f t="shared" si="93"/>
        <v>8.0066740341069136E-3</v>
      </c>
      <c r="BW21" s="845"/>
      <c r="BX21" s="846"/>
      <c r="BY21" s="847"/>
      <c r="BZ21" s="848" t="e">
        <f t="shared" si="69"/>
        <v>#DIV/0!</v>
      </c>
      <c r="CA21" s="843" t="e">
        <f t="shared" si="78"/>
        <v>#DIV/0!</v>
      </c>
      <c r="CB21" s="849">
        <f t="shared" si="94"/>
        <v>6.4750785810507409E-3</v>
      </c>
      <c r="CC21" s="720"/>
      <c r="CD21" s="720"/>
      <c r="CE21" s="720"/>
      <c r="CF21" s="720"/>
      <c r="CG21" s="720"/>
      <c r="CH21" s="720"/>
      <c r="CI21" s="720"/>
      <c r="CJ21" s="720"/>
      <c r="CK21" s="720"/>
      <c r="CL21" s="720"/>
      <c r="CM21" s="720"/>
      <c r="CN21" s="720"/>
      <c r="CO21" s="720"/>
      <c r="CP21" s="720"/>
      <c r="CQ21" s="720"/>
      <c r="CR21" s="720"/>
      <c r="CS21" s="720"/>
      <c r="CT21" s="720"/>
      <c r="CU21" s="720"/>
      <c r="CV21" s="720"/>
      <c r="CW21" s="720"/>
      <c r="CX21" s="720"/>
      <c r="CY21" s="720"/>
      <c r="CZ21" s="720"/>
      <c r="DA21" s="720"/>
      <c r="DB21" s="720"/>
      <c r="DC21" s="720"/>
      <c r="DD21" s="720"/>
      <c r="DE21" s="720"/>
      <c r="DF21" s="720"/>
      <c r="DG21" s="720"/>
      <c r="DH21" s="720"/>
      <c r="DI21" s="720"/>
      <c r="DJ21" s="720"/>
      <c r="DK21" s="720"/>
      <c r="DL21" s="720"/>
      <c r="DM21" s="720"/>
      <c r="DN21" s="720"/>
      <c r="DO21" s="720"/>
      <c r="DP21" s="720"/>
      <c r="DQ21" s="720"/>
      <c r="DR21" s="720"/>
    </row>
    <row r="22" spans="1:122" s="642" customFormat="1" ht="15.75">
      <c r="A22" s="720"/>
      <c r="B22" s="1121"/>
      <c r="C22" s="1078"/>
      <c r="D22" s="1015"/>
      <c r="E22" s="1081"/>
      <c r="F22" s="1015"/>
      <c r="G22" s="670">
        <f>AL67</f>
        <v>1</v>
      </c>
      <c r="H22" s="678" t="str">
        <f>H47</f>
        <v>RBOP11</v>
      </c>
      <c r="I22" s="1059"/>
      <c r="J22" s="1060"/>
      <c r="K22" s="1061"/>
      <c r="L22" s="682" t="e">
        <f t="shared" si="79"/>
        <v>#DIV/0!</v>
      </c>
      <c r="M22" s="683" t="e">
        <f t="shared" si="71"/>
        <v>#DIV/0!</v>
      </c>
      <c r="N22" s="684" t="e">
        <f t="shared" si="80"/>
        <v>#DIV/0!</v>
      </c>
      <c r="O22" s="1059"/>
      <c r="P22" s="1060"/>
      <c r="Q22" s="1061"/>
      <c r="R22" s="682" t="e">
        <f t="shared" si="63"/>
        <v>#DIV/0!</v>
      </c>
      <c r="S22" s="683" t="e">
        <f t="shared" si="72"/>
        <v>#DIV/0!</v>
      </c>
      <c r="T22" s="684" t="e">
        <f t="shared" si="81"/>
        <v>#DIV/0!</v>
      </c>
      <c r="U22" s="1059"/>
      <c r="V22" s="1060"/>
      <c r="W22" s="1061"/>
      <c r="X22" s="682" t="e">
        <f t="shared" si="64"/>
        <v>#DIV/0!</v>
      </c>
      <c r="Y22" s="683" t="e">
        <f t="shared" si="73"/>
        <v>#DIV/0!</v>
      </c>
      <c r="Z22" s="684" t="e">
        <f t="shared" si="82"/>
        <v>#DIV/0!</v>
      </c>
      <c r="AA22" s="1059"/>
      <c r="AB22" s="1060"/>
      <c r="AC22" s="1061"/>
      <c r="AD22" s="682" t="e">
        <f t="shared" si="65"/>
        <v>#DIV/0!</v>
      </c>
      <c r="AE22" s="683" t="e">
        <f t="shared" si="74"/>
        <v>#DIV/0!</v>
      </c>
      <c r="AF22" s="684" t="e">
        <f t="shared" si="83"/>
        <v>#DIV/0!</v>
      </c>
      <c r="AG22" s="1059"/>
      <c r="AH22" s="1060"/>
      <c r="AI22" s="1061"/>
      <c r="AJ22" s="682" t="e">
        <f t="shared" si="66"/>
        <v>#DIV/0!</v>
      </c>
      <c r="AK22" s="683" t="e">
        <f t="shared" si="75"/>
        <v>#DIV/0!</v>
      </c>
      <c r="AL22" s="684" t="e">
        <f t="shared" si="84"/>
        <v>#DIV/0!</v>
      </c>
      <c r="AM22" s="1059"/>
      <c r="AN22" s="1060"/>
      <c r="AO22" s="1061"/>
      <c r="AP22" s="682" t="e">
        <f t="shared" si="67"/>
        <v>#DIV/0!</v>
      </c>
      <c r="AQ22" s="683" t="e">
        <f t="shared" si="76"/>
        <v>#DIV/0!</v>
      </c>
      <c r="AR22" s="684" t="e">
        <f t="shared" si="85"/>
        <v>#DIV/0!</v>
      </c>
      <c r="AS22" s="1059"/>
      <c r="AT22" s="1060"/>
      <c r="AU22" s="1061"/>
      <c r="AV22" s="682" t="e">
        <f t="shared" si="68"/>
        <v>#DIV/0!</v>
      </c>
      <c r="AW22" s="683" t="e">
        <f t="shared" si="77"/>
        <v>#DIV/0!</v>
      </c>
      <c r="AX22" s="684" t="e">
        <f t="shared" si="86"/>
        <v>#DIV/0!</v>
      </c>
      <c r="AY22" s="1103"/>
      <c r="AZ22" s="1104"/>
      <c r="BA22" s="1104"/>
      <c r="BB22" s="1104"/>
      <c r="BC22" s="1105"/>
      <c r="BD22" s="684">
        <f t="shared" si="87"/>
        <v>7.0588235294117641E-3</v>
      </c>
      <c r="BE22" s="1103"/>
      <c r="BF22" s="1104"/>
      <c r="BG22" s="1104"/>
      <c r="BH22" s="1104"/>
      <c r="BI22" s="1105"/>
      <c r="BJ22" s="684">
        <f t="shared" si="89"/>
        <v>7.6920611518861573E-3</v>
      </c>
      <c r="BK22" s="1137"/>
      <c r="BL22" s="1138"/>
      <c r="BM22" s="1138"/>
      <c r="BN22" s="1138"/>
      <c r="BO22" s="1139"/>
      <c r="BP22" s="684">
        <f t="shared" si="91"/>
        <v>8.163265306122448E-3</v>
      </c>
      <c r="BQ22" s="1103"/>
      <c r="BR22" s="1104"/>
      <c r="BS22" s="1104"/>
      <c r="BT22" s="1104"/>
      <c r="BU22" s="1105"/>
      <c r="BV22" s="684">
        <f t="shared" si="93"/>
        <v>8.4808650482349202E-3</v>
      </c>
      <c r="BW22" s="845"/>
      <c r="BX22" s="846"/>
      <c r="BY22" s="847"/>
      <c r="BZ22" s="848" t="e">
        <f t="shared" si="69"/>
        <v>#DIV/0!</v>
      </c>
      <c r="CA22" s="843" t="e">
        <f t="shared" si="78"/>
        <v>#DIV/0!</v>
      </c>
      <c r="CB22" s="849">
        <f t="shared" si="94"/>
        <v>1.7899761336515514E-2</v>
      </c>
      <c r="CC22" s="720"/>
      <c r="CD22" s="720"/>
      <c r="CE22" s="720"/>
      <c r="CF22" s="720"/>
      <c r="CG22" s="720"/>
      <c r="CH22" s="720"/>
      <c r="CI22" s="720"/>
      <c r="CJ22" s="720"/>
      <c r="CK22" s="720"/>
      <c r="CL22" s="720"/>
      <c r="CM22" s="720"/>
      <c r="CN22" s="720"/>
      <c r="CO22" s="720"/>
      <c r="CP22" s="720"/>
      <c r="CQ22" s="720"/>
      <c r="CR22" s="720"/>
      <c r="CS22" s="720"/>
      <c r="CT22" s="720"/>
      <c r="CU22" s="720"/>
      <c r="CV22" s="720"/>
      <c r="CW22" s="720"/>
      <c r="CX22" s="720"/>
      <c r="CY22" s="720"/>
      <c r="CZ22" s="720"/>
      <c r="DA22" s="720"/>
      <c r="DB22" s="720"/>
      <c r="DC22" s="720"/>
      <c r="DD22" s="720"/>
      <c r="DE22" s="720"/>
      <c r="DF22" s="720"/>
      <c r="DG22" s="720"/>
      <c r="DH22" s="720"/>
      <c r="DI22" s="720"/>
      <c r="DJ22" s="720"/>
      <c r="DK22" s="720"/>
      <c r="DL22" s="720"/>
      <c r="DM22" s="720"/>
      <c r="DN22" s="720"/>
      <c r="DO22" s="720"/>
      <c r="DP22" s="720"/>
      <c r="DQ22" s="720"/>
      <c r="DR22" s="720"/>
    </row>
    <row r="23" spans="1:122" s="642" customFormat="1" ht="16.5" thickBot="1">
      <c r="A23" s="720"/>
      <c r="B23" s="1122"/>
      <c r="C23" s="1079"/>
      <c r="D23" s="1016"/>
      <c r="E23" s="1082"/>
      <c r="F23" s="1016"/>
      <c r="G23" s="1114" t="s">
        <v>620</v>
      </c>
      <c r="H23" s="1115"/>
      <c r="I23" s="1006">
        <f>SUM(J17:J22)</f>
        <v>0</v>
      </c>
      <c r="J23" s="1007"/>
      <c r="K23" s="690">
        <f>SUM(K17:K22)</f>
        <v>0</v>
      </c>
      <c r="L23" s="690" t="e">
        <f>SUM(L17:L22)</f>
        <v>#DIV/0!</v>
      </c>
      <c r="M23" s="1008"/>
      <c r="N23" s="1009"/>
      <c r="O23" s="1006">
        <f>SUM(P17:P22)</f>
        <v>0</v>
      </c>
      <c r="P23" s="1007"/>
      <c r="Q23" s="690">
        <f>SUM(Q17:Q22)</f>
        <v>0</v>
      </c>
      <c r="R23" s="690" t="e">
        <f>SUM(R17:R22)</f>
        <v>#DIV/0!</v>
      </c>
      <c r="S23" s="1008"/>
      <c r="T23" s="1009"/>
      <c r="U23" s="1006">
        <f>SUM(V17:V22)</f>
        <v>0</v>
      </c>
      <c r="V23" s="1007"/>
      <c r="W23" s="690">
        <f>SUM(W17:W22)</f>
        <v>0</v>
      </c>
      <c r="X23" s="690" t="e">
        <f>SUM(X17:X22)</f>
        <v>#DIV/0!</v>
      </c>
      <c r="Y23" s="1008"/>
      <c r="Z23" s="1009"/>
      <c r="AA23" s="1006">
        <f>SUM(AB17:AB22)</f>
        <v>0</v>
      </c>
      <c r="AB23" s="1007"/>
      <c r="AC23" s="690">
        <f>SUM(AC17:AC22)</f>
        <v>0</v>
      </c>
      <c r="AD23" s="690" t="e">
        <f>SUM(AD17:AD22)</f>
        <v>#DIV/0!</v>
      </c>
      <c r="AE23" s="1008"/>
      <c r="AF23" s="1009"/>
      <c r="AG23" s="1006">
        <f>SUM(AH17:AH22)</f>
        <v>0</v>
      </c>
      <c r="AH23" s="1007"/>
      <c r="AI23" s="690">
        <f>SUM(AI17:AI22)</f>
        <v>0</v>
      </c>
      <c r="AJ23" s="690" t="e">
        <f>SUM(AJ17:AJ22)</f>
        <v>#DIV/0!</v>
      </c>
      <c r="AK23" s="1008"/>
      <c r="AL23" s="1009"/>
      <c r="AM23" s="1006">
        <f>SUM(AN17:AN22)</f>
        <v>0</v>
      </c>
      <c r="AN23" s="1007"/>
      <c r="AO23" s="690">
        <f>SUM(AO17:AO22)</f>
        <v>0</v>
      </c>
      <c r="AP23" s="690" t="e">
        <f>SUM(AP17:AP22)</f>
        <v>#DIV/0!</v>
      </c>
      <c r="AQ23" s="1008"/>
      <c r="AR23" s="1009"/>
      <c r="AS23" s="1006">
        <f>SUM(AT17:AT22)</f>
        <v>0</v>
      </c>
      <c r="AT23" s="1007"/>
      <c r="AU23" s="690">
        <f>SUM(AU17:AU22)</f>
        <v>0</v>
      </c>
      <c r="AV23" s="690" t="e">
        <f>SUM(AV17:AV22)</f>
        <v>#DIV/0!</v>
      </c>
      <c r="AW23" s="1008"/>
      <c r="AX23" s="1009"/>
      <c r="AY23" s="1006">
        <f>SUM(AZ17:AZ22)</f>
        <v>0</v>
      </c>
      <c r="AZ23" s="1007"/>
      <c r="BA23" s="690">
        <f>SUM(BA17:BA22)</f>
        <v>0</v>
      </c>
      <c r="BB23" s="690">
        <f>SUM(BB17:BB22)</f>
        <v>0</v>
      </c>
      <c r="BC23" s="1008"/>
      <c r="BD23" s="1009"/>
      <c r="BE23" s="1006">
        <f>SUM(BF17:BF22)</f>
        <v>20</v>
      </c>
      <c r="BF23" s="1007"/>
      <c r="BG23" s="690">
        <f>SUM(BG17:BG22)</f>
        <v>2.6</v>
      </c>
      <c r="BH23" s="690">
        <f>SUM(BH17:BH22)</f>
        <v>0.13</v>
      </c>
      <c r="BI23" s="1008"/>
      <c r="BJ23" s="1009"/>
      <c r="BK23" s="1006">
        <f>SUM(BL17:BL22)</f>
        <v>20</v>
      </c>
      <c r="BL23" s="1007"/>
      <c r="BM23" s="690">
        <f>SUM(BM17:BM22)</f>
        <v>2.4</v>
      </c>
      <c r="BN23" s="690">
        <f>SUM(BN17:BN22)</f>
        <v>0.12</v>
      </c>
      <c r="BO23" s="1008"/>
      <c r="BP23" s="1009"/>
      <c r="BQ23" s="1006">
        <f>SUM(BR17:BR22)</f>
        <v>29</v>
      </c>
      <c r="BR23" s="1007"/>
      <c r="BS23" s="690">
        <f>SUM(BS17:BS22)</f>
        <v>3.33</v>
      </c>
      <c r="BT23" s="690">
        <f>SUM(BT17:BT22)</f>
        <v>0.11482758620689655</v>
      </c>
      <c r="BU23" s="1008"/>
      <c r="BV23" s="1009"/>
      <c r="BW23" s="1006">
        <f>SUM(BX17:BX22)</f>
        <v>29</v>
      </c>
      <c r="BX23" s="1007"/>
      <c r="BY23" s="690">
        <f>SUM(BY17:BY22)</f>
        <v>3.19</v>
      </c>
      <c r="BZ23" s="690" t="e">
        <f>SUM(BZ17:BZ22)</f>
        <v>#DIV/0!</v>
      </c>
      <c r="CA23" s="1008"/>
      <c r="CB23" s="1009"/>
      <c r="CC23" s="720"/>
      <c r="CD23" s="720"/>
      <c r="CE23" s="720"/>
      <c r="CF23" s="720"/>
      <c r="CG23" s="720"/>
      <c r="CH23" s="720"/>
      <c r="CI23" s="720"/>
      <c r="CJ23" s="720"/>
      <c r="CK23" s="720"/>
      <c r="CL23" s="720"/>
      <c r="CM23" s="720"/>
      <c r="CN23" s="720"/>
      <c r="CO23" s="720"/>
      <c r="CP23" s="720"/>
      <c r="CQ23" s="720"/>
      <c r="CR23" s="720"/>
      <c r="CS23" s="720"/>
      <c r="CT23" s="720"/>
      <c r="CU23" s="720"/>
      <c r="CV23" s="720"/>
      <c r="CW23" s="720"/>
      <c r="CX23" s="720"/>
      <c r="CY23" s="720"/>
      <c r="CZ23" s="720"/>
      <c r="DA23" s="720"/>
      <c r="DB23" s="720"/>
      <c r="DC23" s="720"/>
      <c r="DD23" s="720"/>
      <c r="DE23" s="720"/>
      <c r="DF23" s="720"/>
      <c r="DG23" s="720"/>
      <c r="DH23" s="720"/>
      <c r="DI23" s="720"/>
      <c r="DJ23" s="720"/>
      <c r="DK23" s="720"/>
      <c r="DL23" s="720"/>
      <c r="DM23" s="720"/>
      <c r="DN23" s="720"/>
      <c r="DO23" s="720"/>
      <c r="DP23" s="720"/>
      <c r="DQ23" s="720"/>
      <c r="DR23" s="720"/>
    </row>
    <row r="24" spans="1:122" s="642" customFormat="1" ht="18">
      <c r="A24" s="720"/>
      <c r="B24" s="722"/>
      <c r="C24" s="700">
        <f>C10+C4+C17</f>
        <v>1247</v>
      </c>
      <c r="D24" s="701">
        <f>D10+D4+D17</f>
        <v>1</v>
      </c>
      <c r="E24" s="702">
        <f>E10+E4+E17</f>
        <v>0</v>
      </c>
      <c r="F24" s="701">
        <f>F10+F4+F17</f>
        <v>0</v>
      </c>
      <c r="G24" s="720"/>
      <c r="H24" s="703" t="s">
        <v>45</v>
      </c>
      <c r="I24" s="1128">
        <v>62</v>
      </c>
      <c r="J24" s="996"/>
      <c r="K24" s="992">
        <f>SUM(K9,K16,K23)</f>
        <v>10.6</v>
      </c>
      <c r="L24" s="993"/>
      <c r="M24" s="997">
        <f>K24/K26</f>
        <v>1.0501183859878542E-2</v>
      </c>
      <c r="N24" s="1035" t="e">
        <f>(SUM(N4:N8)+SUM(N10:N15)+SUM(N17:N22))/16</f>
        <v>#DIV/0!</v>
      </c>
      <c r="O24" s="995">
        <v>59</v>
      </c>
      <c r="P24" s="996"/>
      <c r="Q24" s="992">
        <f>SUM(Q9,Q16,Q23)</f>
        <v>11.580000000000002</v>
      </c>
      <c r="R24" s="993"/>
      <c r="S24" s="997">
        <f>Q24/Q26</f>
        <v>1.0482578823018224E-2</v>
      </c>
      <c r="T24" s="1035" t="e">
        <f>(SUM(T4:T8)+SUM(T10:T15)+SUM(T17:T22))/16</f>
        <v>#DIV/0!</v>
      </c>
      <c r="U24" s="995">
        <v>62</v>
      </c>
      <c r="V24" s="996"/>
      <c r="W24" s="992">
        <f>SUM(W9,W16,W23)</f>
        <v>15.370000000000001</v>
      </c>
      <c r="X24" s="993"/>
      <c r="Y24" s="997">
        <f>W24/W26</f>
        <v>9.505197865195639E-3</v>
      </c>
      <c r="Z24" s="1035" t="e">
        <f>(SUM(Z4:Z8)+SUM(Z10:Z15)+SUM(Z17:Z22))/16</f>
        <v>#DIV/0!</v>
      </c>
      <c r="AA24" s="995">
        <v>98</v>
      </c>
      <c r="AB24" s="996"/>
      <c r="AC24" s="992">
        <f>SUM(AC9,AC16,AC23)</f>
        <v>28.67</v>
      </c>
      <c r="AD24" s="993"/>
      <c r="AE24" s="997">
        <f>AC24/AC26</f>
        <v>9.5921576499715614E-3</v>
      </c>
      <c r="AF24" s="1035" t="e">
        <f>(SUM(AF4:AF8)+SUM(AF10:AF15)+SUM(AF17:AF22))/16</f>
        <v>#DIV/0!</v>
      </c>
      <c r="AG24" s="995">
        <v>141</v>
      </c>
      <c r="AH24" s="996"/>
      <c r="AI24" s="992">
        <f>SUM(AI9,AI16,AI23)</f>
        <v>37.1</v>
      </c>
      <c r="AJ24" s="993"/>
      <c r="AK24" s="997">
        <f>AI24/AI26</f>
        <v>1.2063432192780801E-2</v>
      </c>
      <c r="AL24" s="990" t="e">
        <f>(SUM(AL4:AL8)+SUM(AL10:AL15)+SUM(AL17:AL22))/16</f>
        <v>#DIV/0!</v>
      </c>
      <c r="AM24" s="995">
        <v>217</v>
      </c>
      <c r="AN24" s="996"/>
      <c r="AO24" s="992">
        <f>SUM(AO9,AO16,AO23)</f>
        <v>69.13000000000001</v>
      </c>
      <c r="AP24" s="993"/>
      <c r="AQ24" s="997">
        <f>AO24/AO26</f>
        <v>1.2227088138327227E-2</v>
      </c>
      <c r="AR24" s="990" t="e">
        <f>(SUM(AR4:AR8)+SUM(AR10:AR15)+SUM(AR17:AR22))/16</f>
        <v>#DIV/0!</v>
      </c>
      <c r="AS24" s="995">
        <v>374</v>
      </c>
      <c r="AT24" s="996"/>
      <c r="AU24" s="992">
        <f>SUM(AU9,AU16,AU23)</f>
        <v>116.6</v>
      </c>
      <c r="AV24" s="993"/>
      <c r="AW24" s="997">
        <f>AU24/AU26</f>
        <v>1.2135164501209352E-2</v>
      </c>
      <c r="AX24" s="990" t="e">
        <f>(SUM(AX4:AX8)+SUM(AX10:AX15)+SUM(AX17:AX22))/16</f>
        <v>#DIV/0!</v>
      </c>
      <c r="AY24" s="995">
        <f>AY16+AY9</f>
        <v>431</v>
      </c>
      <c r="AZ24" s="996"/>
      <c r="BA24" s="992">
        <v>121.05</v>
      </c>
      <c r="BB24" s="993"/>
      <c r="BC24" s="997">
        <v>1.23E-2</v>
      </c>
      <c r="BD24" s="990">
        <v>1.14E-2</v>
      </c>
      <c r="BE24" s="995">
        <f>BE16+BE9</f>
        <v>456</v>
      </c>
      <c r="BF24" s="996"/>
      <c r="BG24" s="992">
        <v>129.66</v>
      </c>
      <c r="BH24" s="993"/>
      <c r="BI24" s="997">
        <f>BG24/BG26</f>
        <v>1.2478658472033213E-2</v>
      </c>
      <c r="BJ24" s="990">
        <f>(SUM(BJ4:BJ8)+SUM(BJ10:BJ15)+SUM(BJ17:BJ22))/16</f>
        <v>1.13344086343016E-2</v>
      </c>
      <c r="BK24" s="995">
        <f>BK16+BK9</f>
        <v>504</v>
      </c>
      <c r="BL24" s="996"/>
      <c r="BM24" s="992">
        <f>SUM(BM9,BM16,BM23)+0.8</f>
        <v>136.49000000000004</v>
      </c>
      <c r="BN24" s="993"/>
      <c r="BO24" s="997">
        <f>BM24/BM26</f>
        <v>1.2376890787926165E-2</v>
      </c>
      <c r="BP24" s="990">
        <f>(SUM(BP4:BP8)+SUM(BP10:BP15)+SUM(BP17:BP22))/16</f>
        <v>1.076369054882826E-2</v>
      </c>
      <c r="BQ24" s="995">
        <v>636</v>
      </c>
      <c r="BR24" s="996"/>
      <c r="BS24" s="992">
        <v>144.19</v>
      </c>
      <c r="BT24" s="993"/>
      <c r="BU24" s="997">
        <v>1.2E-2</v>
      </c>
      <c r="BV24" s="990">
        <v>9.1000000000000004E-3</v>
      </c>
      <c r="BW24" s="995">
        <f>BW16+BW9</f>
        <v>515</v>
      </c>
      <c r="BX24" s="996"/>
      <c r="BY24" s="992">
        <f>SUM(BY9,BY16,BY23)+0.77</f>
        <v>147.57000000000002</v>
      </c>
      <c r="BZ24" s="993"/>
      <c r="CA24" s="997">
        <f>BY24/BY26</f>
        <v>1.1964643614640698E-2</v>
      </c>
      <c r="CB24" s="990">
        <f>(SUM(CB4:CB8)+SUM(CB10:CB15)+SUM(CB17:CB22))/16</f>
        <v>8.9964305504832004E-3</v>
      </c>
      <c r="CC24" s="720"/>
      <c r="CD24" s="720"/>
      <c r="CE24" s="720"/>
      <c r="CF24" s="720"/>
      <c r="CG24" s="720"/>
      <c r="CH24" s="720"/>
      <c r="CI24" s="720"/>
      <c r="CJ24" s="720"/>
      <c r="CK24" s="720"/>
      <c r="CL24" s="720"/>
      <c r="CM24" s="720"/>
      <c r="CN24" s="720"/>
      <c r="CO24" s="720"/>
      <c r="CP24" s="720"/>
      <c r="CQ24" s="720"/>
      <c r="CR24" s="720"/>
      <c r="CS24" s="720"/>
      <c r="CT24" s="720"/>
      <c r="CU24" s="720"/>
      <c r="CV24" s="720"/>
      <c r="CW24" s="720"/>
      <c r="CX24" s="720"/>
      <c r="CY24" s="720"/>
      <c r="CZ24" s="720"/>
      <c r="DA24" s="720"/>
      <c r="DB24" s="720"/>
      <c r="DC24" s="720"/>
      <c r="DD24" s="720"/>
      <c r="DE24" s="720"/>
      <c r="DF24" s="720"/>
      <c r="DG24" s="720"/>
      <c r="DH24" s="720"/>
      <c r="DI24" s="720"/>
      <c r="DJ24" s="720"/>
      <c r="DK24" s="720"/>
      <c r="DL24" s="720"/>
      <c r="DM24" s="720"/>
      <c r="DN24" s="720"/>
      <c r="DO24" s="720"/>
      <c r="DP24" s="720"/>
      <c r="DQ24" s="720"/>
      <c r="DR24" s="720"/>
    </row>
    <row r="25" spans="1:122" s="642" customFormat="1" ht="15.75" customHeight="1">
      <c r="A25" s="720"/>
      <c r="B25" s="720"/>
      <c r="C25" s="1013" t="s">
        <v>45</v>
      </c>
      <c r="D25" s="1013"/>
      <c r="E25" s="1013"/>
      <c r="F25" s="1013"/>
      <c r="G25" s="724"/>
      <c r="H25" s="720"/>
      <c r="I25" s="723"/>
      <c r="J25" s="723"/>
      <c r="K25" s="994"/>
      <c r="L25" s="994"/>
      <c r="M25" s="998"/>
      <c r="N25" s="1036"/>
      <c r="O25" s="723"/>
      <c r="P25" s="723"/>
      <c r="Q25" s="994"/>
      <c r="R25" s="994"/>
      <c r="S25" s="998"/>
      <c r="T25" s="1036"/>
      <c r="U25" s="723"/>
      <c r="V25" s="723"/>
      <c r="W25" s="994"/>
      <c r="X25" s="994"/>
      <c r="Y25" s="998"/>
      <c r="Z25" s="1036"/>
      <c r="AA25" s="723"/>
      <c r="AB25" s="723"/>
      <c r="AC25" s="994"/>
      <c r="AD25" s="994"/>
      <c r="AE25" s="998"/>
      <c r="AF25" s="1036"/>
      <c r="AG25" s="723"/>
      <c r="AH25" s="723"/>
      <c r="AI25" s="994"/>
      <c r="AJ25" s="994"/>
      <c r="AK25" s="998"/>
      <c r="AL25" s="991"/>
      <c r="AM25" s="723"/>
      <c r="AN25" s="723"/>
      <c r="AO25" s="994"/>
      <c r="AP25" s="994"/>
      <c r="AQ25" s="998"/>
      <c r="AR25" s="991"/>
      <c r="AS25" s="723"/>
      <c r="AT25" s="723"/>
      <c r="AU25" s="994"/>
      <c r="AV25" s="994"/>
      <c r="AW25" s="998"/>
      <c r="AX25" s="991"/>
      <c r="AY25" s="723"/>
      <c r="AZ25" s="723"/>
      <c r="BA25" s="994"/>
      <c r="BB25" s="994"/>
      <c r="BC25" s="998"/>
      <c r="BD25" s="991"/>
      <c r="BE25" s="723"/>
      <c r="BF25" s="723"/>
      <c r="BG25" s="994"/>
      <c r="BH25" s="994"/>
      <c r="BI25" s="998"/>
      <c r="BJ25" s="991"/>
      <c r="BK25" s="723"/>
      <c r="BL25" s="723"/>
      <c r="BM25" s="994"/>
      <c r="BN25" s="994"/>
      <c r="BO25" s="998"/>
      <c r="BP25" s="991"/>
      <c r="BQ25" s="723"/>
      <c r="BR25" s="723"/>
      <c r="BS25" s="994"/>
      <c r="BT25" s="994"/>
      <c r="BU25" s="998"/>
      <c r="BV25" s="991"/>
      <c r="BW25" s="723"/>
      <c r="BX25" s="723"/>
      <c r="BY25" s="994"/>
      <c r="BZ25" s="994"/>
      <c r="CA25" s="998"/>
      <c r="CB25" s="991"/>
      <c r="CC25" s="725"/>
      <c r="CD25" s="725"/>
      <c r="CE25" s="725"/>
      <c r="CF25" s="720"/>
      <c r="CG25" s="720"/>
      <c r="CH25" s="720"/>
      <c r="CI25" s="720"/>
      <c r="CJ25" s="720"/>
      <c r="CK25" s="720"/>
      <c r="CL25" s="720"/>
      <c r="CM25" s="720"/>
      <c r="CN25" s="720"/>
      <c r="CO25" s="720"/>
      <c r="CP25" s="720"/>
      <c r="CQ25" s="720"/>
      <c r="CR25" s="720"/>
      <c r="CS25" s="720"/>
      <c r="CT25" s="720"/>
      <c r="CU25" s="720"/>
      <c r="CV25" s="720"/>
      <c r="CW25" s="720"/>
      <c r="CX25" s="720"/>
      <c r="CY25" s="720"/>
      <c r="CZ25" s="720"/>
      <c r="DA25" s="720"/>
      <c r="DB25" s="720"/>
      <c r="DC25" s="720"/>
      <c r="DD25" s="720"/>
      <c r="DE25" s="720"/>
      <c r="DF25" s="720"/>
      <c r="DG25" s="720"/>
      <c r="DH25" s="720"/>
      <c r="DI25" s="720"/>
      <c r="DJ25" s="720"/>
      <c r="DK25" s="720"/>
      <c r="DL25" s="720"/>
      <c r="DM25" s="720"/>
      <c r="DN25" s="720"/>
      <c r="DO25" s="720"/>
      <c r="DP25" s="720"/>
      <c r="DQ25" s="720"/>
      <c r="DR25" s="720"/>
    </row>
    <row r="26" spans="1:122" s="642" customFormat="1" ht="18" thickBot="1">
      <c r="A26" s="720"/>
      <c r="B26" s="720"/>
      <c r="C26" s="720"/>
      <c r="D26" s="720"/>
      <c r="E26" s="720"/>
      <c r="F26" s="720"/>
      <c r="G26" s="720"/>
      <c r="H26" s="720"/>
      <c r="I26" s="720"/>
      <c r="J26" s="720"/>
      <c r="K26" s="1001">
        <v>1009.41</v>
      </c>
      <c r="L26" s="1001"/>
      <c r="M26" s="999" t="s">
        <v>622</v>
      </c>
      <c r="N26" s="1000"/>
      <c r="O26" s="720"/>
      <c r="P26" s="720"/>
      <c r="Q26" s="1001">
        <v>1104.69</v>
      </c>
      <c r="R26" s="1001"/>
      <c r="S26" s="999" t="s">
        <v>622</v>
      </c>
      <c r="T26" s="1000"/>
      <c r="U26" s="720"/>
      <c r="V26" s="720"/>
      <c r="W26" s="1001">
        <v>1617.01</v>
      </c>
      <c r="X26" s="1001"/>
      <c r="Y26" s="999" t="s">
        <v>622</v>
      </c>
      <c r="Z26" s="1000"/>
      <c r="AA26" s="720"/>
      <c r="AB26" s="720"/>
      <c r="AC26" s="1001">
        <v>2988.9</v>
      </c>
      <c r="AD26" s="1001"/>
      <c r="AE26" s="999" t="s">
        <v>622</v>
      </c>
      <c r="AF26" s="1000"/>
      <c r="AG26" s="720"/>
      <c r="AH26" s="720"/>
      <c r="AI26" s="1001">
        <v>3075.41</v>
      </c>
      <c r="AJ26" s="1001"/>
      <c r="AK26" s="999" t="s">
        <v>622</v>
      </c>
      <c r="AL26" s="1000"/>
      <c r="AM26" s="720"/>
      <c r="AN26" s="720"/>
      <c r="AO26" s="1001">
        <v>5653.84</v>
      </c>
      <c r="AP26" s="1001"/>
      <c r="AQ26" s="999" t="s">
        <v>622</v>
      </c>
      <c r="AR26" s="1000"/>
      <c r="AS26" s="720"/>
      <c r="AT26" s="720"/>
      <c r="AU26" s="1001">
        <v>9608.44</v>
      </c>
      <c r="AV26" s="1001"/>
      <c r="AW26" s="999" t="s">
        <v>622</v>
      </c>
      <c r="AX26" s="1000"/>
      <c r="AY26" s="720"/>
      <c r="AZ26" s="720"/>
      <c r="BA26" s="1001">
        <v>9868.01</v>
      </c>
      <c r="BB26" s="1001"/>
      <c r="BC26" s="999" t="s">
        <v>622</v>
      </c>
      <c r="BD26" s="1000"/>
      <c r="BE26" s="720"/>
      <c r="BF26" s="720"/>
      <c r="BG26" s="1001">
        <v>10390.540000000001</v>
      </c>
      <c r="BH26" s="1001"/>
      <c r="BI26" s="999" t="s">
        <v>622</v>
      </c>
      <c r="BJ26" s="1000"/>
      <c r="BK26" s="720"/>
      <c r="BL26" s="720"/>
      <c r="BM26" s="1001">
        <v>11027.81</v>
      </c>
      <c r="BN26" s="1001"/>
      <c r="BO26" s="999" t="s">
        <v>622</v>
      </c>
      <c r="BP26" s="1000"/>
      <c r="BQ26" s="720"/>
      <c r="BR26" s="720"/>
      <c r="BS26" s="1001">
        <v>12061.47</v>
      </c>
      <c r="BT26" s="1001"/>
      <c r="BU26" s="999" t="s">
        <v>622</v>
      </c>
      <c r="BV26" s="1000"/>
      <c r="BW26" s="720"/>
      <c r="BX26" s="720"/>
      <c r="BY26" s="1001">
        <v>12333.84</v>
      </c>
      <c r="BZ26" s="1001"/>
      <c r="CA26" s="999" t="s">
        <v>622</v>
      </c>
      <c r="CB26" s="1000"/>
      <c r="CC26" s="725"/>
      <c r="CD26" s="725"/>
      <c r="CE26" s="725"/>
      <c r="CF26" s="720"/>
      <c r="CG26" s="720"/>
      <c r="CH26" s="720"/>
      <c r="CI26" s="720"/>
      <c r="CJ26" s="720"/>
      <c r="CK26" s="720"/>
      <c r="CL26" s="720"/>
      <c r="CM26" s="720"/>
      <c r="CN26" s="720"/>
      <c r="CO26" s="720"/>
      <c r="CP26" s="720"/>
      <c r="CQ26" s="720"/>
      <c r="CR26" s="720"/>
      <c r="CS26" s="720"/>
      <c r="CT26" s="720"/>
      <c r="CU26" s="720"/>
      <c r="CV26" s="720"/>
      <c r="CW26" s="720"/>
      <c r="CX26" s="720"/>
      <c r="CY26" s="720"/>
      <c r="CZ26" s="720"/>
      <c r="DA26" s="720"/>
      <c r="DB26" s="720"/>
      <c r="DC26" s="720"/>
      <c r="DD26" s="720"/>
      <c r="DE26" s="720"/>
      <c r="DF26" s="720"/>
      <c r="DG26" s="720"/>
      <c r="DH26" s="720"/>
      <c r="DI26" s="720"/>
      <c r="DJ26" s="720"/>
      <c r="DK26" s="720"/>
      <c r="DL26" s="720"/>
      <c r="DM26" s="720"/>
      <c r="DN26" s="720"/>
      <c r="DO26" s="720"/>
      <c r="DP26" s="720"/>
      <c r="DQ26" s="720"/>
      <c r="DR26" s="720"/>
    </row>
    <row r="27" spans="1:122" s="642" customFormat="1" ht="21" thickBot="1">
      <c r="A27" s="720"/>
      <c r="B27" s="705" t="s">
        <v>624</v>
      </c>
      <c r="C27" s="704">
        <v>26255.89</v>
      </c>
      <c r="D27" s="1004">
        <f>C27-E47</f>
        <v>-1152.8990000000013</v>
      </c>
      <c r="E27" s="1005"/>
      <c r="F27" s="706">
        <f>D27/C27</f>
        <v>-4.3910109312615235E-2</v>
      </c>
      <c r="G27" s="720"/>
      <c r="H27" s="720"/>
      <c r="I27" s="720"/>
      <c r="J27" s="720"/>
      <c r="K27" s="720"/>
      <c r="L27" s="768">
        <f>K24</f>
        <v>10.6</v>
      </c>
      <c r="M27" s="720"/>
      <c r="N27" s="720"/>
      <c r="O27" s="720"/>
      <c r="P27" s="720"/>
      <c r="Q27" s="720"/>
      <c r="R27" s="768">
        <f>Q24</f>
        <v>11.580000000000002</v>
      </c>
      <c r="S27" s="720"/>
      <c r="T27" s="720"/>
      <c r="U27" s="720"/>
      <c r="V27" s="720"/>
      <c r="W27" s="720"/>
      <c r="X27" s="768">
        <f>W24</f>
        <v>15.370000000000001</v>
      </c>
      <c r="Y27" s="720"/>
      <c r="Z27" s="720"/>
      <c r="AA27" s="720"/>
      <c r="AB27" s="720"/>
      <c r="AC27" s="720"/>
      <c r="AD27" s="768">
        <f>AC24</f>
        <v>28.67</v>
      </c>
      <c r="AE27" s="720"/>
      <c r="AF27" s="720"/>
      <c r="AG27" s="720"/>
      <c r="AH27" s="720"/>
      <c r="AI27" s="720"/>
      <c r="AJ27" s="768">
        <f>AI24</f>
        <v>37.1</v>
      </c>
      <c r="AK27" s="720"/>
      <c r="AL27" s="720"/>
      <c r="AM27" s="720"/>
      <c r="AN27" s="720"/>
      <c r="AO27" s="720"/>
      <c r="AP27" s="768">
        <f>AO24</f>
        <v>69.13000000000001</v>
      </c>
      <c r="AQ27" s="720"/>
      <c r="AR27" s="720"/>
      <c r="AS27" s="720"/>
      <c r="AT27" s="720"/>
      <c r="AU27" s="720"/>
      <c r="AV27" s="768">
        <f>AU24</f>
        <v>116.6</v>
      </c>
      <c r="AW27" s="720"/>
      <c r="AX27" s="720"/>
      <c r="AY27" s="720"/>
      <c r="AZ27" s="720"/>
      <c r="BA27" s="720"/>
      <c r="BB27" s="768">
        <f>BA24</f>
        <v>121.05</v>
      </c>
      <c r="BC27" s="720"/>
      <c r="BD27" s="720"/>
      <c r="BE27" s="720"/>
      <c r="BF27" s="725"/>
      <c r="BG27" s="725"/>
      <c r="BH27" s="768">
        <f>BG24</f>
        <v>129.66</v>
      </c>
      <c r="BI27" s="725"/>
      <c r="BJ27" s="725"/>
      <c r="BK27" s="725"/>
      <c r="BL27" s="725"/>
      <c r="BM27" s="725"/>
      <c r="BN27" s="768">
        <f>BM24</f>
        <v>136.49000000000004</v>
      </c>
      <c r="BO27" s="725"/>
      <c r="BP27" s="725"/>
      <c r="BQ27" s="725"/>
      <c r="BR27" s="725"/>
      <c r="BS27" s="725"/>
      <c r="BT27" s="768">
        <f>BS24</f>
        <v>144.19</v>
      </c>
      <c r="BU27" s="725"/>
      <c r="BV27" s="725"/>
      <c r="BW27" s="725"/>
      <c r="BX27" s="725"/>
      <c r="BY27" s="725"/>
      <c r="BZ27" s="768">
        <f>BY24</f>
        <v>147.57000000000002</v>
      </c>
      <c r="CA27" s="725"/>
      <c r="CB27" s="725"/>
      <c r="CC27" s="769">
        <f>SUM(L27:BZ27)</f>
        <v>968.0100000000001</v>
      </c>
      <c r="CD27" s="725"/>
      <c r="CE27" s="725"/>
      <c r="CF27" s="720"/>
      <c r="CG27" s="720"/>
      <c r="CH27" s="720"/>
      <c r="CI27" s="720"/>
      <c r="CJ27" s="720"/>
      <c r="CK27" s="720"/>
      <c r="CL27" s="720"/>
      <c r="CM27" s="720"/>
      <c r="CN27" s="720"/>
      <c r="CO27" s="720"/>
      <c r="CP27" s="720"/>
      <c r="CQ27" s="720"/>
      <c r="CR27" s="720"/>
      <c r="CS27" s="720"/>
      <c r="CT27" s="720"/>
      <c r="CU27" s="720"/>
      <c r="CV27" s="720"/>
      <c r="CW27" s="720"/>
      <c r="CX27" s="720"/>
      <c r="CY27" s="720"/>
      <c r="CZ27" s="720"/>
      <c r="DA27" s="720"/>
      <c r="DB27" s="720"/>
      <c r="DC27" s="720"/>
      <c r="DD27" s="720"/>
      <c r="DE27" s="720"/>
      <c r="DF27" s="720"/>
      <c r="DG27" s="720"/>
      <c r="DH27" s="720"/>
      <c r="DI27" s="720"/>
      <c r="DJ27" s="720"/>
      <c r="DK27" s="720"/>
      <c r="DL27" s="720"/>
      <c r="DM27" s="720"/>
      <c r="DN27" s="720"/>
      <c r="DO27" s="720"/>
      <c r="DP27" s="720"/>
      <c r="DQ27" s="720"/>
      <c r="DR27" s="720"/>
    </row>
    <row r="28" spans="1:122" s="720" customFormat="1" ht="19.5" customHeight="1">
      <c r="B28" s="1117" t="s">
        <v>644</v>
      </c>
      <c r="C28" s="1117"/>
      <c r="D28" s="1116">
        <f>CC27</f>
        <v>968.0100000000001</v>
      </c>
      <c r="E28" s="1116"/>
      <c r="BF28" s="725"/>
      <c r="BG28" s="725"/>
      <c r="BH28" s="725"/>
      <c r="BI28" s="725"/>
      <c r="BJ28" s="725"/>
      <c r="BK28" s="725"/>
      <c r="BL28" s="725"/>
      <c r="BM28" s="725"/>
      <c r="BN28" s="725"/>
      <c r="BO28" s="725"/>
      <c r="BP28" s="725"/>
      <c r="BQ28" s="725"/>
      <c r="BR28" s="725"/>
      <c r="BS28" s="725"/>
      <c r="BT28" s="725"/>
      <c r="BU28" s="725"/>
      <c r="BV28" s="725"/>
      <c r="BW28" s="725"/>
      <c r="BX28" s="725"/>
      <c r="BY28" s="725"/>
      <c r="BZ28" s="725"/>
      <c r="CA28" s="725"/>
      <c r="CB28" s="725"/>
      <c r="CC28" s="725"/>
      <c r="CD28" s="725"/>
      <c r="CE28" s="725"/>
    </row>
    <row r="29" spans="1:122" s="642" customFormat="1" ht="15.75">
      <c r="A29" s="720"/>
      <c r="B29" s="1013">
        <v>2023</v>
      </c>
      <c r="C29" s="1013"/>
      <c r="D29" s="1013"/>
      <c r="E29" s="1013"/>
      <c r="F29" s="720"/>
      <c r="G29" s="720"/>
      <c r="H29" s="720"/>
      <c r="I29" s="720"/>
      <c r="J29" s="720"/>
      <c r="K29" s="720"/>
      <c r="L29" s="720"/>
      <c r="M29" s="720"/>
      <c r="N29" s="720"/>
      <c r="O29" s="720"/>
      <c r="P29" s="720"/>
      <c r="Q29" s="720"/>
      <c r="R29" s="720"/>
      <c r="S29" s="720"/>
      <c r="T29" s="720"/>
      <c r="U29" s="720"/>
      <c r="V29" s="720"/>
      <c r="W29" s="720"/>
      <c r="X29" s="720"/>
      <c r="Y29" s="720"/>
      <c r="Z29" s="720"/>
      <c r="AA29" s="720"/>
      <c r="AB29" s="720"/>
      <c r="AC29" s="720"/>
      <c r="AD29" s="720"/>
      <c r="AE29" s="720"/>
      <c r="AF29" s="720"/>
      <c r="AG29" s="720"/>
      <c r="AH29" s="720"/>
      <c r="AI29" s="720"/>
      <c r="AJ29" s="720"/>
      <c r="AK29" s="720"/>
      <c r="AL29" s="720"/>
      <c r="AM29" s="720"/>
      <c r="AN29" s="720"/>
      <c r="AO29" s="720"/>
      <c r="AP29" s="720"/>
      <c r="AQ29" s="720"/>
      <c r="AR29" s="720"/>
      <c r="AS29" s="720"/>
      <c r="AT29" s="720"/>
      <c r="AU29" s="720"/>
      <c r="AV29" s="720"/>
      <c r="AW29" s="720"/>
      <c r="AX29" s="720"/>
      <c r="AY29" s="720"/>
      <c r="AZ29" s="720"/>
      <c r="BA29" s="720"/>
      <c r="BB29" s="720"/>
      <c r="BC29" s="720"/>
      <c r="BD29" s="720"/>
      <c r="BE29" s="720"/>
      <c r="BF29" s="725"/>
      <c r="BG29" s="725"/>
      <c r="BH29" s="725"/>
      <c r="BI29" s="725"/>
      <c r="BJ29" s="725"/>
      <c r="BK29" s="725"/>
      <c r="BL29" s="725"/>
      <c r="BM29" s="725"/>
      <c r="BN29" s="725"/>
      <c r="BO29" s="725"/>
      <c r="BP29" s="725"/>
      <c r="BQ29" s="725"/>
      <c r="BR29" s="725"/>
      <c r="BS29" s="725"/>
      <c r="BT29" s="725"/>
      <c r="BU29" s="725"/>
      <c r="BV29" s="725"/>
      <c r="BW29" s="725"/>
      <c r="BX29" s="725"/>
      <c r="BY29" s="725"/>
      <c r="BZ29" s="725"/>
      <c r="CA29" s="725"/>
      <c r="CB29" s="725"/>
      <c r="CC29" s="725"/>
      <c r="CD29" s="725"/>
      <c r="CE29" s="725"/>
      <c r="CF29" s="720"/>
      <c r="CG29" s="720"/>
      <c r="CH29" s="720"/>
      <c r="CI29" s="720"/>
      <c r="CJ29" s="720"/>
      <c r="CK29" s="720"/>
      <c r="CL29" s="720"/>
      <c r="CM29" s="720"/>
      <c r="CN29" s="720"/>
      <c r="CO29" s="720"/>
      <c r="CP29" s="720"/>
      <c r="CQ29" s="720"/>
      <c r="CR29" s="720"/>
      <c r="CS29" s="720"/>
      <c r="CT29" s="720"/>
      <c r="CU29" s="720"/>
      <c r="CV29" s="720"/>
      <c r="CW29" s="720"/>
      <c r="CX29" s="720"/>
      <c r="CY29" s="720"/>
      <c r="CZ29" s="720"/>
      <c r="DA29" s="720"/>
      <c r="DB29" s="720"/>
      <c r="DC29" s="720"/>
      <c r="DD29" s="720"/>
      <c r="DE29" s="720"/>
      <c r="DF29" s="720"/>
      <c r="DG29" s="720"/>
      <c r="DH29" s="720"/>
      <c r="DI29" s="720"/>
      <c r="DJ29" s="720"/>
      <c r="DK29" s="720"/>
      <c r="DL29" s="720"/>
      <c r="DM29" s="720"/>
      <c r="DN29" s="720"/>
      <c r="DO29" s="720"/>
      <c r="DP29" s="720"/>
      <c r="DQ29" s="720"/>
      <c r="DR29" s="720"/>
    </row>
    <row r="30" spans="1:122" s="642" customFormat="1" ht="15.75">
      <c r="A30" s="720"/>
      <c r="B30" s="707" t="s">
        <v>209</v>
      </c>
      <c r="C30" s="707" t="s">
        <v>561</v>
      </c>
      <c r="D30" s="707" t="s">
        <v>542</v>
      </c>
      <c r="E30" s="707" t="s">
        <v>2</v>
      </c>
      <c r="F30" s="720"/>
      <c r="G30" s="720"/>
      <c r="H30" s="720"/>
      <c r="I30" s="1043" t="s">
        <v>10</v>
      </c>
      <c r="J30" s="1043"/>
      <c r="K30" s="1043"/>
      <c r="L30" s="1043"/>
      <c r="M30" s="1043"/>
      <c r="N30" s="1043"/>
      <c r="O30" s="1044" t="s">
        <v>11</v>
      </c>
      <c r="P30" s="1044"/>
      <c r="Q30" s="1044"/>
      <c r="R30" s="1044"/>
      <c r="S30" s="1044"/>
      <c r="T30" s="1044"/>
      <c r="U30" s="1043" t="s">
        <v>12</v>
      </c>
      <c r="V30" s="1043"/>
      <c r="W30" s="1043"/>
      <c r="X30" s="1043"/>
      <c r="Y30" s="1043"/>
      <c r="Z30" s="1043"/>
      <c r="AA30" s="1044" t="s">
        <v>13</v>
      </c>
      <c r="AB30" s="1044"/>
      <c r="AC30" s="1044"/>
      <c r="AD30" s="1044"/>
      <c r="AE30" s="1044"/>
      <c r="AF30" s="1044"/>
      <c r="AG30" s="1043" t="s">
        <v>14</v>
      </c>
      <c r="AH30" s="1043"/>
      <c r="AI30" s="1043"/>
      <c r="AJ30" s="1043"/>
      <c r="AK30" s="1043"/>
      <c r="AL30" s="1043"/>
      <c r="AM30" s="1044" t="s">
        <v>15</v>
      </c>
      <c r="AN30" s="1044"/>
      <c r="AO30" s="1044"/>
      <c r="AP30" s="1044"/>
      <c r="AQ30" s="1044"/>
      <c r="AR30" s="1044"/>
      <c r="AS30" s="1043" t="s">
        <v>16</v>
      </c>
      <c r="AT30" s="1043"/>
      <c r="AU30" s="1043"/>
      <c r="AV30" s="1043"/>
      <c r="AW30" s="1043"/>
      <c r="AX30" s="1043"/>
      <c r="AY30" s="1044" t="s">
        <v>17</v>
      </c>
      <c r="AZ30" s="1044"/>
      <c r="BA30" s="1044"/>
      <c r="BB30" s="1044"/>
      <c r="BC30" s="1044"/>
      <c r="BD30" s="1044"/>
      <c r="BE30" s="1043" t="s">
        <v>18</v>
      </c>
      <c r="BF30" s="1043"/>
      <c r="BG30" s="1043"/>
      <c r="BH30" s="1043"/>
      <c r="BI30" s="1043"/>
      <c r="BJ30" s="1043"/>
      <c r="BK30" s="1044" t="s">
        <v>19</v>
      </c>
      <c r="BL30" s="1044"/>
      <c r="BM30" s="1044"/>
      <c r="BN30" s="1044"/>
      <c r="BO30" s="1044"/>
      <c r="BP30" s="1044"/>
      <c r="BQ30" s="1043" t="s">
        <v>20</v>
      </c>
      <c r="BR30" s="1043"/>
      <c r="BS30" s="1043"/>
      <c r="BT30" s="1043"/>
      <c r="BU30" s="1043"/>
      <c r="BV30" s="1043"/>
      <c r="BW30" s="1044" t="s">
        <v>21</v>
      </c>
      <c r="BX30" s="1044"/>
      <c r="BY30" s="1044"/>
      <c r="BZ30" s="1044"/>
      <c r="CA30" s="1044"/>
      <c r="CB30" s="1044"/>
      <c r="CC30" s="725"/>
      <c r="CD30" s="725"/>
      <c r="CE30" s="725"/>
      <c r="CF30" s="720"/>
      <c r="CG30" s="720"/>
      <c r="CH30" s="720"/>
      <c r="CI30" s="720"/>
      <c r="CJ30" s="720"/>
      <c r="CK30" s="720"/>
      <c r="CL30" s="720"/>
      <c r="CM30" s="720"/>
      <c r="CN30" s="720"/>
      <c r="CO30" s="720"/>
      <c r="CP30" s="720"/>
      <c r="CQ30" s="720"/>
      <c r="CR30" s="720"/>
      <c r="CS30" s="720"/>
      <c r="CT30" s="720"/>
      <c r="CU30" s="720"/>
      <c r="CV30" s="720"/>
      <c r="CW30" s="720"/>
      <c r="CX30" s="720"/>
      <c r="CY30" s="720"/>
      <c r="CZ30" s="720"/>
      <c r="DA30" s="720"/>
      <c r="DB30" s="720"/>
      <c r="DC30" s="720"/>
      <c r="DD30" s="720"/>
      <c r="DE30" s="720"/>
      <c r="DF30" s="720"/>
      <c r="DG30" s="720"/>
      <c r="DH30" s="720"/>
      <c r="DI30" s="720"/>
      <c r="DJ30" s="720"/>
      <c r="DK30" s="720"/>
      <c r="DL30" s="720"/>
      <c r="DM30" s="720"/>
      <c r="DN30" s="720"/>
      <c r="DO30" s="720"/>
      <c r="DP30" s="720"/>
      <c r="DQ30" s="720"/>
      <c r="DR30" s="720"/>
    </row>
    <row r="31" spans="1:122" s="642" customFormat="1" ht="15.75">
      <c r="A31" s="720"/>
      <c r="B31" s="708" t="str">
        <f t="shared" ref="B31:B46" si="95">H32</f>
        <v>MXRF11</v>
      </c>
      <c r="C31" s="709">
        <f>E31/D31</f>
        <v>-2.0000000000663931E-4</v>
      </c>
      <c r="D31" s="707">
        <f>M86</f>
        <v>1</v>
      </c>
      <c r="E31" s="709">
        <f>O86+C55</f>
        <v>-2.0000000000663931E-4</v>
      </c>
      <c r="F31" s="720"/>
      <c r="G31" s="720"/>
      <c r="H31" s="720"/>
      <c r="I31" s="712" t="s">
        <v>619</v>
      </c>
      <c r="J31" s="712" t="s">
        <v>618</v>
      </c>
      <c r="K31" s="712" t="s">
        <v>273</v>
      </c>
      <c r="L31" s="712" t="s">
        <v>616</v>
      </c>
      <c r="M31" s="712" t="s">
        <v>617</v>
      </c>
      <c r="N31" s="712" t="s">
        <v>274</v>
      </c>
      <c r="O31" s="717" t="s">
        <v>619</v>
      </c>
      <c r="P31" s="717" t="s">
        <v>618</v>
      </c>
      <c r="Q31" s="717" t="s">
        <v>273</v>
      </c>
      <c r="R31" s="717" t="s">
        <v>616</v>
      </c>
      <c r="S31" s="717" t="s">
        <v>617</v>
      </c>
      <c r="T31" s="717" t="s">
        <v>274</v>
      </c>
      <c r="U31" s="712" t="s">
        <v>619</v>
      </c>
      <c r="V31" s="712" t="s">
        <v>618</v>
      </c>
      <c r="W31" s="712" t="s">
        <v>273</v>
      </c>
      <c r="X31" s="712" t="s">
        <v>616</v>
      </c>
      <c r="Y31" s="712" t="s">
        <v>617</v>
      </c>
      <c r="Z31" s="712" t="s">
        <v>274</v>
      </c>
      <c r="AA31" s="717" t="s">
        <v>619</v>
      </c>
      <c r="AB31" s="717" t="s">
        <v>618</v>
      </c>
      <c r="AC31" s="717" t="s">
        <v>273</v>
      </c>
      <c r="AD31" s="717" t="s">
        <v>616</v>
      </c>
      <c r="AE31" s="717" t="s">
        <v>617</v>
      </c>
      <c r="AF31" s="717" t="s">
        <v>274</v>
      </c>
      <c r="AG31" s="712" t="s">
        <v>619</v>
      </c>
      <c r="AH31" s="712" t="s">
        <v>618</v>
      </c>
      <c r="AI31" s="712" t="s">
        <v>273</v>
      </c>
      <c r="AJ31" s="712" t="s">
        <v>616</v>
      </c>
      <c r="AK31" s="712" t="s">
        <v>617</v>
      </c>
      <c r="AL31" s="712" t="s">
        <v>274</v>
      </c>
      <c r="AM31" s="717" t="s">
        <v>619</v>
      </c>
      <c r="AN31" s="717" t="s">
        <v>618</v>
      </c>
      <c r="AO31" s="717" t="s">
        <v>273</v>
      </c>
      <c r="AP31" s="717" t="s">
        <v>616</v>
      </c>
      <c r="AQ31" s="717" t="s">
        <v>617</v>
      </c>
      <c r="AR31" s="717" t="s">
        <v>274</v>
      </c>
      <c r="AS31" s="712" t="s">
        <v>619</v>
      </c>
      <c r="AT31" s="712" t="s">
        <v>618</v>
      </c>
      <c r="AU31" s="712" t="s">
        <v>273</v>
      </c>
      <c r="AV31" s="712" t="s">
        <v>616</v>
      </c>
      <c r="AW31" s="712" t="s">
        <v>617</v>
      </c>
      <c r="AX31" s="712" t="s">
        <v>274</v>
      </c>
      <c r="AY31" s="717" t="s">
        <v>619</v>
      </c>
      <c r="AZ31" s="717" t="s">
        <v>618</v>
      </c>
      <c r="BA31" s="717" t="s">
        <v>273</v>
      </c>
      <c r="BB31" s="717" t="s">
        <v>616</v>
      </c>
      <c r="BC31" s="717" t="s">
        <v>617</v>
      </c>
      <c r="BD31" s="717" t="s">
        <v>274</v>
      </c>
      <c r="BE31" s="712" t="s">
        <v>619</v>
      </c>
      <c r="BF31" s="712" t="s">
        <v>618</v>
      </c>
      <c r="BG31" s="712" t="s">
        <v>273</v>
      </c>
      <c r="BH31" s="712" t="s">
        <v>616</v>
      </c>
      <c r="BI31" s="712" t="s">
        <v>617</v>
      </c>
      <c r="BJ31" s="712" t="s">
        <v>274</v>
      </c>
      <c r="BK31" s="717" t="s">
        <v>619</v>
      </c>
      <c r="BL31" s="717" t="s">
        <v>618</v>
      </c>
      <c r="BM31" s="717" t="s">
        <v>273</v>
      </c>
      <c r="BN31" s="717" t="s">
        <v>616</v>
      </c>
      <c r="BO31" s="717" t="s">
        <v>617</v>
      </c>
      <c r="BP31" s="717" t="s">
        <v>274</v>
      </c>
      <c r="BQ31" s="712" t="s">
        <v>619</v>
      </c>
      <c r="BR31" s="712" t="s">
        <v>618</v>
      </c>
      <c r="BS31" s="712" t="s">
        <v>273</v>
      </c>
      <c r="BT31" s="712" t="s">
        <v>616</v>
      </c>
      <c r="BU31" s="712" t="s">
        <v>617</v>
      </c>
      <c r="BV31" s="712" t="s">
        <v>274</v>
      </c>
      <c r="BW31" s="717" t="s">
        <v>619</v>
      </c>
      <c r="BX31" s="717" t="s">
        <v>618</v>
      </c>
      <c r="BY31" s="717" t="s">
        <v>273</v>
      </c>
      <c r="BZ31" s="717" t="s">
        <v>616</v>
      </c>
      <c r="CA31" s="717" t="s">
        <v>617</v>
      </c>
      <c r="CB31" s="717" t="s">
        <v>274</v>
      </c>
      <c r="CC31" s="725"/>
      <c r="CD31" s="725"/>
      <c r="CE31" s="725"/>
      <c r="CF31" s="720"/>
      <c r="CG31" s="720"/>
      <c r="CH31" s="720"/>
      <c r="CI31" s="720"/>
      <c r="CJ31" s="720"/>
      <c r="CK31" s="720"/>
      <c r="CL31" s="720"/>
      <c r="CM31" s="720"/>
      <c r="CN31" s="720"/>
      <c r="CO31" s="720"/>
      <c r="CP31" s="720"/>
      <c r="CQ31" s="720"/>
      <c r="CR31" s="720"/>
      <c r="CS31" s="720"/>
      <c r="CT31" s="720"/>
      <c r="CU31" s="720"/>
      <c r="CV31" s="720"/>
      <c r="CW31" s="720"/>
      <c r="CX31" s="720"/>
      <c r="CY31" s="720"/>
      <c r="CZ31" s="720"/>
      <c r="DA31" s="720"/>
      <c r="DB31" s="720"/>
      <c r="DC31" s="720"/>
      <c r="DD31" s="720"/>
      <c r="DE31" s="720"/>
      <c r="DF31" s="720"/>
      <c r="DG31" s="720"/>
      <c r="DH31" s="720"/>
      <c r="DI31" s="720"/>
      <c r="DJ31" s="720"/>
      <c r="DK31" s="720"/>
      <c r="DL31" s="720"/>
      <c r="DM31" s="720"/>
      <c r="DN31" s="720"/>
      <c r="DO31" s="720"/>
      <c r="DP31" s="720"/>
      <c r="DQ31" s="720"/>
      <c r="DR31" s="720"/>
    </row>
    <row r="32" spans="1:122" s="642" customFormat="1" ht="15.75">
      <c r="A32" s="720"/>
      <c r="B32" s="708" t="str">
        <f t="shared" si="95"/>
        <v>BIME11</v>
      </c>
      <c r="C32" s="709">
        <f t="shared" ref="C32:C46" si="96">E32/D32</f>
        <v>-2.4000000000086175E-3</v>
      </c>
      <c r="D32" s="707">
        <f>R86</f>
        <v>1</v>
      </c>
      <c r="E32" s="710">
        <f>T86+C56</f>
        <v>-2.4000000000086175E-3</v>
      </c>
      <c r="F32" s="767"/>
      <c r="G32" s="767"/>
      <c r="H32" s="714" t="str">
        <f>H4</f>
        <v>MXRF11</v>
      </c>
      <c r="I32" s="771"/>
      <c r="J32" s="770"/>
      <c r="K32" s="771"/>
      <c r="L32" s="771"/>
      <c r="M32" s="713" t="e">
        <f>L32/K32</f>
        <v>#DIV/0!</v>
      </c>
      <c r="N32" s="779" t="e">
        <f t="shared" ref="N32:N46" si="97">K32/I32</f>
        <v>#DIV/0!</v>
      </c>
      <c r="O32" s="771"/>
      <c r="P32" s="770"/>
      <c r="Q32" s="771"/>
      <c r="R32" s="771"/>
      <c r="S32" s="718" t="e">
        <f>R32/Q32</f>
        <v>#DIV/0!</v>
      </c>
      <c r="T32" s="772" t="e">
        <f t="shared" ref="T32:T46" si="98">Q32/O32</f>
        <v>#DIV/0!</v>
      </c>
      <c r="U32" s="771"/>
      <c r="V32" s="770"/>
      <c r="W32" s="771"/>
      <c r="X32" s="771"/>
      <c r="Y32" s="713" t="e">
        <f>X32/W32</f>
        <v>#DIV/0!</v>
      </c>
      <c r="Z32" s="779" t="e">
        <f t="shared" ref="Z32:Z46" si="99">W32/U32</f>
        <v>#DIV/0!</v>
      </c>
      <c r="AA32" s="771"/>
      <c r="AB32" s="770"/>
      <c r="AC32" s="771"/>
      <c r="AD32" s="771"/>
      <c r="AE32" s="718" t="e">
        <f>AD32/AC32</f>
        <v>#DIV/0!</v>
      </c>
      <c r="AF32" s="772" t="e">
        <f t="shared" ref="AF32:AF46" si="100">AC32/AA32</f>
        <v>#DIV/0!</v>
      </c>
      <c r="AG32" s="771"/>
      <c r="AH32" s="770"/>
      <c r="AI32" s="771"/>
      <c r="AJ32" s="771"/>
      <c r="AK32" s="713" t="e">
        <f>AJ32/AI32</f>
        <v>#DIV/0!</v>
      </c>
      <c r="AL32" s="779" t="e">
        <f t="shared" ref="AL32:AL46" si="101">AI32/AG32</f>
        <v>#DIV/0!</v>
      </c>
      <c r="AM32" s="771"/>
      <c r="AN32" s="770"/>
      <c r="AO32" s="771"/>
      <c r="AP32" s="771"/>
      <c r="AQ32" s="718" t="e">
        <f>AP32/AO32</f>
        <v>#DIV/0!</v>
      </c>
      <c r="AR32" s="772" t="e">
        <f t="shared" ref="AR32:AR46" si="102">AO32/AM32</f>
        <v>#DIV/0!</v>
      </c>
      <c r="AS32" s="771"/>
      <c r="AT32" s="770"/>
      <c r="AU32" s="771"/>
      <c r="AV32" s="771"/>
      <c r="AW32" s="713" t="e">
        <f>AV32/AU32</f>
        <v>#DIV/0!</v>
      </c>
      <c r="AX32" s="779" t="e">
        <f t="shared" ref="AX32:AX46" si="103">AU32/AS32</f>
        <v>#DIV/0!</v>
      </c>
      <c r="AY32" s="771">
        <v>10.1</v>
      </c>
      <c r="AZ32" s="770">
        <v>0.1241</v>
      </c>
      <c r="BA32" s="771">
        <v>10.71</v>
      </c>
      <c r="BB32" s="771">
        <v>0.12</v>
      </c>
      <c r="BC32" s="718">
        <f>BB32/BA32</f>
        <v>1.1204481792717085E-2</v>
      </c>
      <c r="BD32" s="772">
        <f t="shared" ref="BD32:BD46" si="104">BA32/AY32</f>
        <v>1.0603960396039604</v>
      </c>
      <c r="BE32" s="771">
        <v>10</v>
      </c>
      <c r="BF32" s="770">
        <v>0.1221</v>
      </c>
      <c r="BG32" s="771">
        <v>10.97</v>
      </c>
      <c r="BH32" s="771">
        <v>0.11</v>
      </c>
      <c r="BI32" s="713">
        <f t="shared" ref="BI32:BI47" si="105">BH32/BG32</f>
        <v>1.0027347310847767E-2</v>
      </c>
      <c r="BJ32" s="779">
        <f t="shared" ref="BJ32:BJ46" si="106">BG32/BE32</f>
        <v>1.097</v>
      </c>
      <c r="BK32" s="771">
        <v>10</v>
      </c>
      <c r="BL32" s="770">
        <v>0.1201</v>
      </c>
      <c r="BM32" s="771">
        <v>11.08</v>
      </c>
      <c r="BN32" s="771">
        <v>0.11</v>
      </c>
      <c r="BO32" s="718">
        <f t="shared" ref="BO32:BO45" si="107">BN32/BM32</f>
        <v>9.9277978339350186E-3</v>
      </c>
      <c r="BP32" s="772">
        <f t="shared" ref="BP32:BP45" si="108">BM32/BK32</f>
        <v>1.1080000000000001</v>
      </c>
      <c r="BQ32" s="1153"/>
      <c r="BR32" s="1154"/>
      <c r="BS32" s="1154"/>
      <c r="BT32" s="1155"/>
      <c r="BU32" s="713"/>
      <c r="BV32" s="779"/>
      <c r="BW32" s="1156"/>
      <c r="BX32" s="1157"/>
      <c r="BY32" s="1157"/>
      <c r="BZ32" s="1158"/>
      <c r="CA32" s="718"/>
      <c r="CB32" s="772"/>
      <c r="CC32" s="725"/>
      <c r="CD32" s="725"/>
      <c r="CE32" s="725"/>
      <c r="CF32" s="720"/>
      <c r="CG32" s="720"/>
      <c r="CH32" s="720"/>
      <c r="CI32" s="720"/>
      <c r="CJ32" s="720"/>
      <c r="CK32" s="720"/>
      <c r="CL32" s="720"/>
      <c r="CM32" s="720"/>
      <c r="CN32" s="720"/>
      <c r="CO32" s="720"/>
      <c r="CP32" s="720"/>
      <c r="CQ32" s="720"/>
      <c r="CR32" s="720"/>
      <c r="CS32" s="720"/>
      <c r="CT32" s="720"/>
      <c r="CU32" s="720"/>
      <c r="CV32" s="720"/>
      <c r="CW32" s="720"/>
      <c r="CX32" s="720"/>
      <c r="CY32" s="720"/>
      <c r="CZ32" s="720"/>
      <c r="DA32" s="720"/>
      <c r="DB32" s="720"/>
      <c r="DC32" s="720"/>
      <c r="DD32" s="720"/>
      <c r="DE32" s="720"/>
      <c r="DF32" s="720"/>
      <c r="DG32" s="720"/>
      <c r="DH32" s="720"/>
      <c r="DI32" s="720"/>
      <c r="DJ32" s="720"/>
      <c r="DK32" s="720"/>
      <c r="DL32" s="720"/>
      <c r="DM32" s="720"/>
      <c r="DN32" s="720"/>
      <c r="DO32" s="720"/>
      <c r="DP32" s="720"/>
      <c r="DQ32" s="720"/>
      <c r="DR32" s="720"/>
    </row>
    <row r="33" spans="1:122" s="642" customFormat="1" ht="15.75">
      <c r="A33" s="720"/>
      <c r="B33" s="708" t="str">
        <f t="shared" si="95"/>
        <v>TGAR11</v>
      </c>
      <c r="C33" s="709">
        <f t="shared" si="96"/>
        <v>118.51222222222221</v>
      </c>
      <c r="D33" s="707">
        <f>W86</f>
        <v>18</v>
      </c>
      <c r="E33" s="710">
        <f>Y86+C57</f>
        <v>2133.2199999999998</v>
      </c>
      <c r="F33" s="720"/>
      <c r="G33" s="767"/>
      <c r="H33" s="714" t="str">
        <f>H5</f>
        <v>BIME11</v>
      </c>
      <c r="I33" s="771"/>
      <c r="J33" s="770"/>
      <c r="K33" s="771"/>
      <c r="L33" s="771"/>
      <c r="M33" s="713" t="e">
        <f t="shared" ref="M33:M47" si="109">L33/K33</f>
        <v>#DIV/0!</v>
      </c>
      <c r="N33" s="779" t="e">
        <f t="shared" si="97"/>
        <v>#DIV/0!</v>
      </c>
      <c r="O33" s="771"/>
      <c r="P33" s="770"/>
      <c r="Q33" s="771"/>
      <c r="R33" s="771"/>
      <c r="S33" s="718" t="e">
        <f t="shared" ref="S33:S47" si="110">R33/Q33</f>
        <v>#DIV/0!</v>
      </c>
      <c r="T33" s="772" t="e">
        <f t="shared" si="98"/>
        <v>#DIV/0!</v>
      </c>
      <c r="U33" s="771"/>
      <c r="V33" s="770"/>
      <c r="W33" s="771"/>
      <c r="X33" s="771"/>
      <c r="Y33" s="713" t="e">
        <f t="shared" ref="Y33:Y47" si="111">X33/W33</f>
        <v>#DIV/0!</v>
      </c>
      <c r="Z33" s="779" t="e">
        <f t="shared" si="99"/>
        <v>#DIV/0!</v>
      </c>
      <c r="AA33" s="771"/>
      <c r="AB33" s="770"/>
      <c r="AC33" s="771"/>
      <c r="AD33" s="771"/>
      <c r="AE33" s="718" t="e">
        <f t="shared" ref="AE33:AE47" si="112">AD33/AC33</f>
        <v>#DIV/0!</v>
      </c>
      <c r="AF33" s="772" t="e">
        <f t="shared" si="100"/>
        <v>#DIV/0!</v>
      </c>
      <c r="AG33" s="771"/>
      <c r="AH33" s="770"/>
      <c r="AI33" s="771"/>
      <c r="AJ33" s="771"/>
      <c r="AK33" s="713" t="e">
        <f t="shared" ref="AK33:AK47" si="113">AJ33/AI33</f>
        <v>#DIV/0!</v>
      </c>
      <c r="AL33" s="779" t="e">
        <f t="shared" si="101"/>
        <v>#DIV/0!</v>
      </c>
      <c r="AM33" s="771"/>
      <c r="AN33" s="770"/>
      <c r="AO33" s="771"/>
      <c r="AP33" s="771"/>
      <c r="AQ33" s="718" t="e">
        <f t="shared" ref="AQ33:AQ47" si="114">AP33/AO33</f>
        <v>#DIV/0!</v>
      </c>
      <c r="AR33" s="772" t="e">
        <f t="shared" si="102"/>
        <v>#DIV/0!</v>
      </c>
      <c r="AS33" s="771"/>
      <c r="AT33" s="770"/>
      <c r="AU33" s="771"/>
      <c r="AV33" s="771"/>
      <c r="AW33" s="713" t="e">
        <f t="shared" ref="AW33:AW47" si="115">AV33/AU33</f>
        <v>#DIV/0!</v>
      </c>
      <c r="AX33" s="779" t="e">
        <f t="shared" si="103"/>
        <v>#DIV/0!</v>
      </c>
      <c r="AY33" s="771">
        <v>8.83</v>
      </c>
      <c r="AZ33" s="770">
        <v>0.12709999999999999</v>
      </c>
      <c r="BA33" s="771">
        <v>7.88</v>
      </c>
      <c r="BB33" s="771">
        <v>0.08</v>
      </c>
      <c r="BC33" s="718">
        <f t="shared" ref="BC33:BC47" si="116">BB33/BA33</f>
        <v>1.0152284263959392E-2</v>
      </c>
      <c r="BD33" s="772">
        <f t="shared" si="104"/>
        <v>0.89241223103057754</v>
      </c>
      <c r="BE33" s="771">
        <v>8.75</v>
      </c>
      <c r="BF33" s="770">
        <v>0.1237</v>
      </c>
      <c r="BG33" s="771">
        <v>7.57</v>
      </c>
      <c r="BH33" s="771">
        <v>0.08</v>
      </c>
      <c r="BI33" s="713">
        <f t="shared" si="105"/>
        <v>1.0568031704095112E-2</v>
      </c>
      <c r="BJ33" s="779">
        <f t="shared" si="106"/>
        <v>0.86514285714285721</v>
      </c>
      <c r="BK33" s="771">
        <v>8.67</v>
      </c>
      <c r="BL33" s="770">
        <v>0.1245</v>
      </c>
      <c r="BM33" s="771">
        <v>7.45</v>
      </c>
      <c r="BN33" s="771">
        <v>0.08</v>
      </c>
      <c r="BO33" s="718">
        <f t="shared" si="107"/>
        <v>1.0738255033557046E-2</v>
      </c>
      <c r="BP33" s="772">
        <f t="shared" si="108"/>
        <v>0.85928489042675893</v>
      </c>
      <c r="BQ33" s="1153"/>
      <c r="BR33" s="1154"/>
      <c r="BS33" s="1154"/>
      <c r="BT33" s="1155"/>
      <c r="BU33" s="713" t="e">
        <f>BT33/BS33</f>
        <v>#DIV/0!</v>
      </c>
      <c r="BV33" s="779" t="e">
        <f t="shared" ref="BV33:BV46" si="117">BS33/BQ33</f>
        <v>#DIV/0!</v>
      </c>
      <c r="BW33" s="1156"/>
      <c r="BX33" s="1157"/>
      <c r="BY33" s="1157"/>
      <c r="BZ33" s="1158"/>
      <c r="CA33" s="718"/>
      <c r="CB33" s="772"/>
      <c r="CC33" s="725"/>
      <c r="CD33" s="725"/>
      <c r="CE33" s="725"/>
      <c r="CF33" s="720"/>
      <c r="CG33" s="720"/>
      <c r="CH33" s="720"/>
      <c r="CI33" s="720"/>
      <c r="CJ33" s="720"/>
      <c r="CK33" s="720"/>
      <c r="CL33" s="720"/>
      <c r="CM33" s="720"/>
      <c r="CN33" s="720"/>
      <c r="CO33" s="720"/>
      <c r="CP33" s="720"/>
      <c r="CQ33" s="720"/>
      <c r="CR33" s="720"/>
      <c r="CS33" s="720"/>
      <c r="CT33" s="720"/>
      <c r="CU33" s="720"/>
      <c r="CV33" s="720"/>
      <c r="CW33" s="720"/>
      <c r="CX33" s="720"/>
      <c r="CY33" s="720"/>
      <c r="CZ33" s="720"/>
      <c r="DA33" s="720"/>
      <c r="DB33" s="720"/>
      <c r="DC33" s="720"/>
      <c r="DD33" s="720"/>
      <c r="DE33" s="720"/>
      <c r="DF33" s="720"/>
      <c r="DG33" s="720"/>
      <c r="DH33" s="720"/>
      <c r="DI33" s="720"/>
      <c r="DJ33" s="720"/>
      <c r="DK33" s="720"/>
      <c r="DL33" s="720"/>
      <c r="DM33" s="720"/>
      <c r="DN33" s="720"/>
      <c r="DO33" s="720"/>
      <c r="DP33" s="720"/>
      <c r="DQ33" s="720"/>
      <c r="DR33" s="720"/>
    </row>
    <row r="34" spans="1:122" s="642" customFormat="1" ht="15.75">
      <c r="A34" s="720"/>
      <c r="B34" s="708" t="str">
        <f t="shared" si="95"/>
        <v>OURE11</v>
      </c>
      <c r="C34" s="709">
        <f t="shared" si="96"/>
        <v>72.910384615384615</v>
      </c>
      <c r="D34" s="707">
        <f>AB86</f>
        <v>26</v>
      </c>
      <c r="E34" s="710">
        <f>AD86+C58</f>
        <v>1895.67</v>
      </c>
      <c r="F34" s="720"/>
      <c r="G34" s="767" t="s">
        <v>509</v>
      </c>
      <c r="H34" s="714" t="str">
        <f>H6</f>
        <v>TGAR11</v>
      </c>
      <c r="I34" s="771"/>
      <c r="J34" s="770"/>
      <c r="K34" s="771"/>
      <c r="L34" s="771"/>
      <c r="M34" s="713" t="e">
        <f t="shared" si="109"/>
        <v>#DIV/0!</v>
      </c>
      <c r="N34" s="779" t="e">
        <f t="shared" si="97"/>
        <v>#DIV/0!</v>
      </c>
      <c r="O34" s="771"/>
      <c r="P34" s="770"/>
      <c r="Q34" s="771"/>
      <c r="R34" s="771"/>
      <c r="S34" s="718" t="e">
        <f t="shared" si="110"/>
        <v>#DIV/0!</v>
      </c>
      <c r="T34" s="772" t="e">
        <f t="shared" si="98"/>
        <v>#DIV/0!</v>
      </c>
      <c r="U34" s="771"/>
      <c r="V34" s="770"/>
      <c r="W34" s="771"/>
      <c r="X34" s="771"/>
      <c r="Y34" s="713" t="e">
        <f t="shared" si="111"/>
        <v>#DIV/0!</v>
      </c>
      <c r="Z34" s="779" t="e">
        <f t="shared" si="99"/>
        <v>#DIV/0!</v>
      </c>
      <c r="AA34" s="771"/>
      <c r="AB34" s="770"/>
      <c r="AC34" s="771"/>
      <c r="AD34" s="771"/>
      <c r="AE34" s="718" t="e">
        <f t="shared" si="112"/>
        <v>#DIV/0!</v>
      </c>
      <c r="AF34" s="772" t="e">
        <f t="shared" si="100"/>
        <v>#DIV/0!</v>
      </c>
      <c r="AG34" s="771"/>
      <c r="AH34" s="770"/>
      <c r="AI34" s="771"/>
      <c r="AJ34" s="771"/>
      <c r="AK34" s="713" t="e">
        <f t="shared" si="113"/>
        <v>#DIV/0!</v>
      </c>
      <c r="AL34" s="779" t="e">
        <f t="shared" si="101"/>
        <v>#DIV/0!</v>
      </c>
      <c r="AM34" s="771"/>
      <c r="AN34" s="770"/>
      <c r="AO34" s="771"/>
      <c r="AP34" s="771"/>
      <c r="AQ34" s="718" t="e">
        <f t="shared" si="114"/>
        <v>#DIV/0!</v>
      </c>
      <c r="AR34" s="772" t="e">
        <f t="shared" si="102"/>
        <v>#DIV/0!</v>
      </c>
      <c r="AS34" s="771"/>
      <c r="AT34" s="770"/>
      <c r="AU34" s="771"/>
      <c r="AV34" s="771"/>
      <c r="AW34" s="713" t="e">
        <f t="shared" si="115"/>
        <v>#DIV/0!</v>
      </c>
      <c r="AX34" s="779" t="e">
        <f t="shared" si="103"/>
        <v>#DIV/0!</v>
      </c>
      <c r="AY34" s="771">
        <v>119.48</v>
      </c>
      <c r="AZ34" s="770">
        <v>0.13969999999999999</v>
      </c>
      <c r="BA34" s="771">
        <v>123</v>
      </c>
      <c r="BB34" s="771">
        <v>1.4</v>
      </c>
      <c r="BC34" s="718">
        <f t="shared" si="116"/>
        <v>1.1382113821138211E-2</v>
      </c>
      <c r="BD34" s="772">
        <f t="shared" si="104"/>
        <v>1.0294609976565114</v>
      </c>
      <c r="BE34" s="771">
        <v>118.03</v>
      </c>
      <c r="BF34" s="770">
        <v>0.13780000000000001</v>
      </c>
      <c r="BG34" s="771">
        <v>122.57</v>
      </c>
      <c r="BH34" s="771">
        <v>1.42</v>
      </c>
      <c r="BI34" s="713">
        <f t="shared" si="105"/>
        <v>1.1585216610916211E-2</v>
      </c>
      <c r="BJ34" s="779">
        <f t="shared" si="106"/>
        <v>1.0384647970854868</v>
      </c>
      <c r="BK34" s="771">
        <v>116.34</v>
      </c>
      <c r="BL34" s="770">
        <v>0.1298</v>
      </c>
      <c r="BM34" s="771">
        <v>127.9</v>
      </c>
      <c r="BN34" s="771">
        <v>1.43</v>
      </c>
      <c r="BO34" s="718">
        <f t="shared" si="107"/>
        <v>1.1180609851446442E-2</v>
      </c>
      <c r="BP34" s="772">
        <f t="shared" si="108"/>
        <v>1.0993639332989513</v>
      </c>
      <c r="BQ34" s="771">
        <v>114.63</v>
      </c>
      <c r="BR34" s="770">
        <v>0.13669999999999999</v>
      </c>
      <c r="BS34" s="771">
        <v>120.34</v>
      </c>
      <c r="BT34" s="771">
        <v>1.45</v>
      </c>
      <c r="BU34" s="713">
        <f t="shared" ref="BU34:BU47" si="118">BT34/BS34</f>
        <v>1.2049193950473658E-2</v>
      </c>
      <c r="BV34" s="779">
        <f t="shared" si="117"/>
        <v>1.0498124400244264</v>
      </c>
      <c r="BW34" s="771">
        <v>112.93</v>
      </c>
      <c r="BX34" s="770">
        <v>0.1396</v>
      </c>
      <c r="BY34" s="771">
        <v>120.89</v>
      </c>
      <c r="BZ34" s="771">
        <v>1.43</v>
      </c>
      <c r="CA34" s="718">
        <f>BZ34/BY34</f>
        <v>1.1828935395814377E-2</v>
      </c>
      <c r="CB34" s="772">
        <f t="shared" ref="CB34:CB46" si="119">BY34/BW34</f>
        <v>1.070486141857788</v>
      </c>
      <c r="CC34" s="725"/>
      <c r="CD34" s="725"/>
      <c r="CE34" s="725"/>
      <c r="CF34" s="720"/>
      <c r="CG34" s="720"/>
      <c r="CH34" s="720"/>
      <c r="CI34" s="720"/>
      <c r="CJ34" s="720"/>
      <c r="CK34" s="720"/>
      <c r="CL34" s="720"/>
      <c r="CM34" s="720"/>
      <c r="CN34" s="720"/>
      <c r="CO34" s="720"/>
      <c r="CP34" s="720"/>
      <c r="CQ34" s="720"/>
      <c r="CR34" s="720"/>
      <c r="CS34" s="720"/>
      <c r="CT34" s="720"/>
      <c r="CU34" s="720"/>
      <c r="CV34" s="720"/>
      <c r="CW34" s="720"/>
      <c r="CX34" s="720"/>
      <c r="CY34" s="720"/>
      <c r="CZ34" s="720"/>
      <c r="DA34" s="720"/>
      <c r="DB34" s="720"/>
      <c r="DC34" s="720"/>
      <c r="DD34" s="720"/>
      <c r="DE34" s="720"/>
      <c r="DF34" s="720"/>
      <c r="DG34" s="720"/>
      <c r="DH34" s="720"/>
      <c r="DI34" s="720"/>
      <c r="DJ34" s="720"/>
      <c r="DK34" s="720"/>
      <c r="DL34" s="720"/>
      <c r="DM34" s="720"/>
      <c r="DN34" s="720"/>
      <c r="DO34" s="720"/>
      <c r="DP34" s="720"/>
      <c r="DQ34" s="720"/>
      <c r="DR34" s="720"/>
    </row>
    <row r="35" spans="1:122" s="642" customFormat="1" ht="15.75">
      <c r="A35" s="720"/>
      <c r="B35" s="708" t="str">
        <f t="shared" si="95"/>
        <v>AIEC11</v>
      </c>
      <c r="C35" s="709">
        <f t="shared" si="96"/>
        <v>57.105964912280712</v>
      </c>
      <c r="D35" s="707">
        <f>AG86</f>
        <v>57</v>
      </c>
      <c r="E35" s="710">
        <f>AI86+C59</f>
        <v>3255.0400000000004</v>
      </c>
      <c r="F35" s="720"/>
      <c r="G35" s="767" t="s">
        <v>567</v>
      </c>
      <c r="H35" s="714" t="str">
        <f>H7</f>
        <v>OURE11</v>
      </c>
      <c r="I35" s="771"/>
      <c r="J35" s="770"/>
      <c r="K35" s="771"/>
      <c r="L35" s="771"/>
      <c r="M35" s="713" t="e">
        <f t="shared" si="109"/>
        <v>#DIV/0!</v>
      </c>
      <c r="N35" s="779" t="e">
        <f t="shared" si="97"/>
        <v>#DIV/0!</v>
      </c>
      <c r="O35" s="771"/>
      <c r="P35" s="770"/>
      <c r="Q35" s="771"/>
      <c r="R35" s="771"/>
      <c r="S35" s="718" t="e">
        <f t="shared" si="110"/>
        <v>#DIV/0!</v>
      </c>
      <c r="T35" s="772" t="e">
        <f t="shared" si="98"/>
        <v>#DIV/0!</v>
      </c>
      <c r="U35" s="771"/>
      <c r="V35" s="770"/>
      <c r="W35" s="771"/>
      <c r="X35" s="771"/>
      <c r="Y35" s="713" t="e">
        <f t="shared" si="111"/>
        <v>#DIV/0!</v>
      </c>
      <c r="Z35" s="779" t="e">
        <f t="shared" si="99"/>
        <v>#DIV/0!</v>
      </c>
      <c r="AA35" s="771"/>
      <c r="AB35" s="770"/>
      <c r="AC35" s="771"/>
      <c r="AD35" s="771"/>
      <c r="AE35" s="718" t="e">
        <f t="shared" si="112"/>
        <v>#DIV/0!</v>
      </c>
      <c r="AF35" s="772" t="e">
        <f t="shared" si="100"/>
        <v>#DIV/0!</v>
      </c>
      <c r="AG35" s="771"/>
      <c r="AH35" s="770"/>
      <c r="AI35" s="771"/>
      <c r="AJ35" s="771"/>
      <c r="AK35" s="713" t="e">
        <f t="shared" si="113"/>
        <v>#DIV/0!</v>
      </c>
      <c r="AL35" s="779" t="e">
        <f t="shared" si="101"/>
        <v>#DIV/0!</v>
      </c>
      <c r="AM35" s="771"/>
      <c r="AN35" s="770"/>
      <c r="AO35" s="771"/>
      <c r="AP35" s="771"/>
      <c r="AQ35" s="718" t="e">
        <f t="shared" si="114"/>
        <v>#DIV/0!</v>
      </c>
      <c r="AR35" s="772" t="e">
        <f t="shared" si="102"/>
        <v>#DIV/0!</v>
      </c>
      <c r="AS35" s="771"/>
      <c r="AT35" s="770"/>
      <c r="AU35" s="771"/>
      <c r="AV35" s="771"/>
      <c r="AW35" s="713" t="e">
        <f t="shared" si="115"/>
        <v>#DIV/0!</v>
      </c>
      <c r="AX35" s="779" t="e">
        <f t="shared" si="103"/>
        <v>#DIV/0!</v>
      </c>
      <c r="AY35" s="771">
        <v>92.31</v>
      </c>
      <c r="AZ35" s="770">
        <v>0.1472</v>
      </c>
      <c r="BA35" s="771">
        <v>84.66</v>
      </c>
      <c r="BB35" s="771">
        <v>0.8</v>
      </c>
      <c r="BC35" s="718">
        <f t="shared" si="116"/>
        <v>9.4495629577132072E-3</v>
      </c>
      <c r="BD35" s="772">
        <f t="shared" si="104"/>
        <v>0.91712707182320441</v>
      </c>
      <c r="BE35" s="771">
        <v>92.35</v>
      </c>
      <c r="BF35" s="770">
        <v>0.14610000000000001</v>
      </c>
      <c r="BG35" s="771">
        <v>82.16</v>
      </c>
      <c r="BH35" s="771">
        <v>0.8</v>
      </c>
      <c r="BI35" s="713">
        <f t="shared" si="105"/>
        <v>9.7370983446932822E-3</v>
      </c>
      <c r="BJ35" s="779">
        <f t="shared" si="106"/>
        <v>0.88965890633459666</v>
      </c>
      <c r="BK35" s="771">
        <v>92.25</v>
      </c>
      <c r="BL35" s="770">
        <v>0.1522</v>
      </c>
      <c r="BM35" s="771">
        <v>77.5</v>
      </c>
      <c r="BN35" s="771">
        <v>0.8</v>
      </c>
      <c r="BO35" s="718">
        <f t="shared" si="107"/>
        <v>1.032258064516129E-2</v>
      </c>
      <c r="BP35" s="772">
        <f t="shared" si="108"/>
        <v>0.84010840108401086</v>
      </c>
      <c r="BQ35" s="771">
        <v>91.55</v>
      </c>
      <c r="BR35" s="770">
        <v>0.15079999999999999</v>
      </c>
      <c r="BS35" s="771">
        <v>75.92</v>
      </c>
      <c r="BT35" s="771">
        <v>0.8</v>
      </c>
      <c r="BU35" s="713">
        <f t="shared" si="118"/>
        <v>1.053740779768177E-2</v>
      </c>
      <c r="BV35" s="779">
        <f t="shared" si="117"/>
        <v>0.82927362097214641</v>
      </c>
      <c r="BW35" s="771">
        <v>91.54</v>
      </c>
      <c r="BX35" s="770">
        <v>0.15210000000000001</v>
      </c>
      <c r="BY35" s="771">
        <v>72.98</v>
      </c>
      <c r="BZ35" s="771">
        <v>0.8</v>
      </c>
      <c r="CA35" s="718">
        <f t="shared" ref="CA35:CA37" si="120">BZ35/BY35</f>
        <v>1.0961907371882707E-2</v>
      </c>
      <c r="CB35" s="772">
        <f t="shared" si="119"/>
        <v>0.79724710509067076</v>
      </c>
      <c r="CC35" s="725"/>
      <c r="CD35" s="725"/>
      <c r="CE35" s="725"/>
      <c r="CF35" s="720"/>
      <c r="CG35" s="720"/>
      <c r="CH35" s="720"/>
      <c r="CI35" s="720"/>
      <c r="CJ35" s="720"/>
      <c r="CK35" s="720"/>
      <c r="CL35" s="720"/>
      <c r="CM35" s="720"/>
      <c r="CN35" s="720"/>
      <c r="CO35" s="720"/>
      <c r="CP35" s="720"/>
      <c r="CQ35" s="720"/>
      <c r="CR35" s="720"/>
      <c r="CS35" s="720"/>
      <c r="CT35" s="720"/>
      <c r="CU35" s="720"/>
      <c r="CV35" s="720"/>
      <c r="CW35" s="720"/>
      <c r="CX35" s="720"/>
      <c r="CY35" s="720"/>
      <c r="CZ35" s="720"/>
      <c r="DA35" s="720"/>
      <c r="DB35" s="720"/>
      <c r="DC35" s="720"/>
      <c r="DD35" s="720"/>
      <c r="DE35" s="720"/>
      <c r="DF35" s="720"/>
      <c r="DG35" s="720"/>
      <c r="DH35" s="720"/>
      <c r="DI35" s="720"/>
      <c r="DJ35" s="720"/>
      <c r="DK35" s="720"/>
      <c r="DL35" s="720"/>
      <c r="DM35" s="720"/>
      <c r="DN35" s="720"/>
      <c r="DO35" s="720"/>
      <c r="DP35" s="720"/>
      <c r="DQ35" s="720"/>
      <c r="DR35" s="720"/>
    </row>
    <row r="36" spans="1:122" s="642" customFormat="1" ht="15.75">
      <c r="A36" s="720"/>
      <c r="B36" s="708" t="str">
        <f t="shared" si="95"/>
        <v>RZAK11</v>
      </c>
      <c r="C36" s="709">
        <f t="shared" si="96"/>
        <v>88.692469135802469</v>
      </c>
      <c r="D36" s="707">
        <f>M105</f>
        <v>81</v>
      </c>
      <c r="E36" s="710">
        <f>O105+C60</f>
        <v>7184.09</v>
      </c>
      <c r="F36" s="720"/>
      <c r="G36" s="767" t="s">
        <v>508</v>
      </c>
      <c r="H36" s="714" t="str">
        <f>H8</f>
        <v>AIEC11</v>
      </c>
      <c r="I36" s="771"/>
      <c r="J36" s="770"/>
      <c r="K36" s="771"/>
      <c r="L36" s="771"/>
      <c r="M36" s="713" t="e">
        <f t="shared" si="109"/>
        <v>#DIV/0!</v>
      </c>
      <c r="N36" s="779" t="e">
        <f t="shared" si="97"/>
        <v>#DIV/0!</v>
      </c>
      <c r="O36" s="771"/>
      <c r="P36" s="770"/>
      <c r="Q36" s="771"/>
      <c r="R36" s="771"/>
      <c r="S36" s="718" t="e">
        <f t="shared" si="110"/>
        <v>#DIV/0!</v>
      </c>
      <c r="T36" s="772" t="e">
        <f t="shared" si="98"/>
        <v>#DIV/0!</v>
      </c>
      <c r="U36" s="771"/>
      <c r="V36" s="770"/>
      <c r="W36" s="771"/>
      <c r="X36" s="771"/>
      <c r="Y36" s="713" t="e">
        <f t="shared" si="111"/>
        <v>#DIV/0!</v>
      </c>
      <c r="Z36" s="779" t="e">
        <f t="shared" si="99"/>
        <v>#DIV/0!</v>
      </c>
      <c r="AA36" s="771"/>
      <c r="AB36" s="770"/>
      <c r="AC36" s="771"/>
      <c r="AD36" s="771"/>
      <c r="AE36" s="718" t="e">
        <f t="shared" si="112"/>
        <v>#DIV/0!</v>
      </c>
      <c r="AF36" s="772" t="e">
        <f t="shared" si="100"/>
        <v>#DIV/0!</v>
      </c>
      <c r="AG36" s="771"/>
      <c r="AH36" s="770"/>
      <c r="AI36" s="771"/>
      <c r="AJ36" s="771"/>
      <c r="AK36" s="713" t="e">
        <f t="shared" si="113"/>
        <v>#DIV/0!</v>
      </c>
      <c r="AL36" s="779" t="e">
        <f t="shared" si="101"/>
        <v>#DIV/0!</v>
      </c>
      <c r="AM36" s="771"/>
      <c r="AN36" s="770"/>
      <c r="AO36" s="771"/>
      <c r="AP36" s="771"/>
      <c r="AQ36" s="718" t="e">
        <f t="shared" si="114"/>
        <v>#DIV/0!</v>
      </c>
      <c r="AR36" s="772" t="e">
        <f t="shared" si="102"/>
        <v>#DIV/0!</v>
      </c>
      <c r="AS36" s="771"/>
      <c r="AT36" s="770"/>
      <c r="AU36" s="771"/>
      <c r="AV36" s="771"/>
      <c r="AW36" s="713" t="e">
        <f t="shared" si="115"/>
        <v>#DIV/0!</v>
      </c>
      <c r="AX36" s="779" t="e">
        <f t="shared" si="103"/>
        <v>#DIV/0!</v>
      </c>
      <c r="AY36" s="771">
        <v>94.61</v>
      </c>
      <c r="AZ36" s="770">
        <v>0.12859999999999999</v>
      </c>
      <c r="BA36" s="771">
        <v>71.569999999999993</v>
      </c>
      <c r="BB36" s="771">
        <v>0.76</v>
      </c>
      <c r="BC36" s="718">
        <f t="shared" si="116"/>
        <v>1.0618974430627358E-2</v>
      </c>
      <c r="BD36" s="772">
        <f t="shared" si="104"/>
        <v>0.75647394567170478</v>
      </c>
      <c r="BE36" s="771">
        <v>94.7</v>
      </c>
      <c r="BF36" s="770">
        <v>0.13750000000000001</v>
      </c>
      <c r="BG36" s="771">
        <v>68.17</v>
      </c>
      <c r="BH36" s="771">
        <v>0.76</v>
      </c>
      <c r="BI36" s="713">
        <f t="shared" si="105"/>
        <v>1.1148599090509021E-2</v>
      </c>
      <c r="BJ36" s="779">
        <f t="shared" si="106"/>
        <v>0.71985216473072866</v>
      </c>
      <c r="BK36" s="771">
        <v>94.79</v>
      </c>
      <c r="BL36" s="770">
        <v>0.13869999999999999</v>
      </c>
      <c r="BM36" s="771">
        <v>65.78</v>
      </c>
      <c r="BN36" s="771">
        <v>0.76</v>
      </c>
      <c r="BO36" s="718">
        <f t="shared" si="107"/>
        <v>1.155366372757677E-2</v>
      </c>
      <c r="BP36" s="772">
        <f t="shared" si="108"/>
        <v>0.69395505855048001</v>
      </c>
      <c r="BQ36" s="771">
        <v>94.9</v>
      </c>
      <c r="BR36" s="770">
        <v>0.1623</v>
      </c>
      <c r="BS36" s="771">
        <v>57.7</v>
      </c>
      <c r="BT36" s="771">
        <v>0.76</v>
      </c>
      <c r="BU36" s="713">
        <f t="shared" si="118"/>
        <v>1.317157712305026E-2</v>
      </c>
      <c r="BV36" s="779">
        <f t="shared" si="117"/>
        <v>0.60800842992623816</v>
      </c>
      <c r="BW36" s="771">
        <v>94.93</v>
      </c>
      <c r="BX36" s="770">
        <v>0.16839999999999999</v>
      </c>
      <c r="BY36" s="771">
        <v>56</v>
      </c>
      <c r="BZ36" s="771">
        <v>0.78</v>
      </c>
      <c r="CA36" s="718">
        <f t="shared" si="120"/>
        <v>1.3928571428571429E-2</v>
      </c>
      <c r="CB36" s="772">
        <f t="shared" si="119"/>
        <v>0.58990835352364901</v>
      </c>
      <c r="CC36" s="725"/>
      <c r="CD36" s="725"/>
      <c r="CE36" s="725"/>
      <c r="CF36" s="720"/>
      <c r="CG36" s="720"/>
      <c r="CH36" s="720"/>
      <c r="CI36" s="720"/>
      <c r="CJ36" s="720"/>
      <c r="CK36" s="720"/>
      <c r="CL36" s="720"/>
      <c r="CM36" s="720"/>
      <c r="CN36" s="720"/>
      <c r="CO36" s="720"/>
      <c r="CP36" s="720"/>
      <c r="CQ36" s="720"/>
      <c r="CR36" s="720"/>
      <c r="CS36" s="720"/>
      <c r="CT36" s="720"/>
      <c r="CU36" s="720"/>
      <c r="CV36" s="720"/>
      <c r="CW36" s="720"/>
      <c r="CX36" s="720"/>
      <c r="CY36" s="720"/>
      <c r="CZ36" s="720"/>
      <c r="DA36" s="720"/>
      <c r="DB36" s="720"/>
      <c r="DC36" s="720"/>
      <c r="DD36" s="720"/>
      <c r="DE36" s="720"/>
      <c r="DF36" s="720"/>
      <c r="DG36" s="720"/>
      <c r="DH36" s="720"/>
      <c r="DI36" s="720"/>
      <c r="DJ36" s="720"/>
      <c r="DK36" s="720"/>
      <c r="DL36" s="720"/>
      <c r="DM36" s="720"/>
      <c r="DN36" s="720"/>
      <c r="DO36" s="720"/>
      <c r="DP36" s="720"/>
      <c r="DQ36" s="720"/>
      <c r="DR36" s="720"/>
    </row>
    <row r="37" spans="1:122" s="642" customFormat="1" ht="15.75">
      <c r="A37" s="720"/>
      <c r="B37" s="708" t="str">
        <f t="shared" si="95"/>
        <v>VGHF11</v>
      </c>
      <c r="C37" s="709">
        <f t="shared" si="96"/>
        <v>1.5999999999962711E-3</v>
      </c>
      <c r="D37" s="707">
        <f>R105</f>
        <v>1</v>
      </c>
      <c r="E37" s="710">
        <f>T105+C61</f>
        <v>1.5999999999962711E-3</v>
      </c>
      <c r="F37" s="720"/>
      <c r="G37" s="767" t="s">
        <v>504</v>
      </c>
      <c r="H37" s="714" t="str">
        <f>H10</f>
        <v>RZAK11</v>
      </c>
      <c r="I37" s="771"/>
      <c r="J37" s="770"/>
      <c r="K37" s="771"/>
      <c r="L37" s="771"/>
      <c r="M37" s="713" t="e">
        <f t="shared" si="109"/>
        <v>#DIV/0!</v>
      </c>
      <c r="N37" s="779" t="e">
        <f t="shared" si="97"/>
        <v>#DIV/0!</v>
      </c>
      <c r="O37" s="771"/>
      <c r="P37" s="770"/>
      <c r="Q37" s="771"/>
      <c r="R37" s="771"/>
      <c r="S37" s="718" t="e">
        <f t="shared" si="110"/>
        <v>#DIV/0!</v>
      </c>
      <c r="T37" s="772" t="e">
        <f t="shared" si="98"/>
        <v>#DIV/0!</v>
      </c>
      <c r="U37" s="771"/>
      <c r="V37" s="770"/>
      <c r="W37" s="771"/>
      <c r="X37" s="771"/>
      <c r="Y37" s="713" t="e">
        <f t="shared" si="111"/>
        <v>#DIV/0!</v>
      </c>
      <c r="Z37" s="779" t="e">
        <f t="shared" si="99"/>
        <v>#DIV/0!</v>
      </c>
      <c r="AA37" s="771"/>
      <c r="AB37" s="770"/>
      <c r="AC37" s="771"/>
      <c r="AD37" s="771"/>
      <c r="AE37" s="718" t="e">
        <f t="shared" si="112"/>
        <v>#DIV/0!</v>
      </c>
      <c r="AF37" s="772" t="e">
        <f t="shared" si="100"/>
        <v>#DIV/0!</v>
      </c>
      <c r="AG37" s="771"/>
      <c r="AH37" s="770"/>
      <c r="AI37" s="771"/>
      <c r="AJ37" s="771"/>
      <c r="AK37" s="713" t="e">
        <f t="shared" si="113"/>
        <v>#DIV/0!</v>
      </c>
      <c r="AL37" s="779" t="e">
        <f t="shared" si="101"/>
        <v>#DIV/0!</v>
      </c>
      <c r="AM37" s="771"/>
      <c r="AN37" s="770"/>
      <c r="AO37" s="771"/>
      <c r="AP37" s="771"/>
      <c r="AQ37" s="718" t="e">
        <f t="shared" si="114"/>
        <v>#DIV/0!</v>
      </c>
      <c r="AR37" s="772" t="e">
        <f t="shared" si="102"/>
        <v>#DIV/0!</v>
      </c>
      <c r="AS37" s="771"/>
      <c r="AT37" s="770"/>
      <c r="AU37" s="771"/>
      <c r="AV37" s="771"/>
      <c r="AW37" s="713" t="e">
        <f t="shared" si="115"/>
        <v>#DIV/0!</v>
      </c>
      <c r="AX37" s="779" t="e">
        <f t="shared" si="103"/>
        <v>#DIV/0!</v>
      </c>
      <c r="AY37" s="771">
        <v>93.26</v>
      </c>
      <c r="AZ37" s="770">
        <v>0.17199999999999999</v>
      </c>
      <c r="BA37" s="771">
        <v>93.38</v>
      </c>
      <c r="BB37" s="771">
        <v>1.1599999999999999</v>
      </c>
      <c r="BC37" s="718">
        <f t="shared" si="116"/>
        <v>1.2422360248447204E-2</v>
      </c>
      <c r="BD37" s="772">
        <f t="shared" si="104"/>
        <v>1.0012867252841517</v>
      </c>
      <c r="BE37" s="771">
        <v>93.05</v>
      </c>
      <c r="BF37" s="770">
        <v>0.16569999999999999</v>
      </c>
      <c r="BG37" s="771">
        <v>95</v>
      </c>
      <c r="BH37" s="771">
        <v>1.1599999999999999</v>
      </c>
      <c r="BI37" s="713">
        <f t="shared" si="105"/>
        <v>1.2210526315789472E-2</v>
      </c>
      <c r="BJ37" s="779">
        <f t="shared" si="106"/>
        <v>1.0209564750134337</v>
      </c>
      <c r="BK37" s="771">
        <v>92.51</v>
      </c>
      <c r="BL37" s="770">
        <v>0.16520000000000001</v>
      </c>
      <c r="BM37" s="771">
        <v>94</v>
      </c>
      <c r="BN37" s="771">
        <v>1.3</v>
      </c>
      <c r="BO37" s="718">
        <f t="shared" si="107"/>
        <v>1.3829787234042554E-2</v>
      </c>
      <c r="BP37" s="772">
        <f t="shared" si="108"/>
        <v>1.0161063668792563</v>
      </c>
      <c r="BQ37" s="771">
        <v>93.53</v>
      </c>
      <c r="BR37" s="770">
        <v>0.17480000000000001</v>
      </c>
      <c r="BS37" s="771">
        <v>88.23</v>
      </c>
      <c r="BT37" s="771">
        <v>1.2</v>
      </c>
      <c r="BU37" s="713">
        <f t="shared" si="118"/>
        <v>1.3600816048962936E-2</v>
      </c>
      <c r="BV37" s="779">
        <f t="shared" si="117"/>
        <v>0.94333368972522191</v>
      </c>
      <c r="BW37" s="771">
        <v>92.34</v>
      </c>
      <c r="BX37" s="770">
        <v>0.17069999999999999</v>
      </c>
      <c r="BY37" s="771">
        <v>87.77</v>
      </c>
      <c r="BZ37" s="771">
        <v>1.2</v>
      </c>
      <c r="CA37" s="718">
        <f t="shared" si="120"/>
        <v>1.367209752762903E-2</v>
      </c>
      <c r="CB37" s="772">
        <f t="shared" si="119"/>
        <v>0.95050898852068433</v>
      </c>
      <c r="CC37" s="725"/>
      <c r="CD37" s="725"/>
      <c r="CE37" s="725"/>
      <c r="CF37" s="720"/>
      <c r="CG37" s="720"/>
      <c r="CH37" s="720"/>
      <c r="CI37" s="720"/>
      <c r="CJ37" s="720"/>
      <c r="CK37" s="720"/>
      <c r="CL37" s="720"/>
      <c r="CM37" s="720"/>
      <c r="CN37" s="720"/>
      <c r="CO37" s="720"/>
      <c r="CP37" s="720"/>
      <c r="CQ37" s="720"/>
      <c r="CR37" s="720"/>
      <c r="CS37" s="720"/>
      <c r="CT37" s="720"/>
      <c r="CU37" s="720"/>
      <c r="CV37" s="720"/>
      <c r="CW37" s="720"/>
      <c r="CX37" s="720"/>
      <c r="CY37" s="720"/>
      <c r="CZ37" s="720"/>
      <c r="DA37" s="720"/>
      <c r="DB37" s="720"/>
      <c r="DC37" s="720"/>
      <c r="DD37" s="720"/>
      <c r="DE37" s="720"/>
      <c r="DF37" s="720"/>
      <c r="DG37" s="720"/>
      <c r="DH37" s="720"/>
      <c r="DI37" s="720"/>
      <c r="DJ37" s="720"/>
      <c r="DK37" s="720"/>
      <c r="DL37" s="720"/>
      <c r="DM37" s="720"/>
      <c r="DN37" s="720"/>
      <c r="DO37" s="720"/>
      <c r="DP37" s="720"/>
      <c r="DQ37" s="720"/>
      <c r="DR37" s="720"/>
    </row>
    <row r="38" spans="1:122" s="642" customFormat="1" ht="15.75">
      <c r="A38" s="720"/>
      <c r="B38" s="708" t="str">
        <f t="shared" si="95"/>
        <v>URPR11</v>
      </c>
      <c r="C38" s="709">
        <f t="shared" si="96"/>
        <v>89.457674418604654</v>
      </c>
      <c r="D38" s="707">
        <f>W105</f>
        <v>43</v>
      </c>
      <c r="E38" s="710">
        <f>Y105+C62</f>
        <v>3846.68</v>
      </c>
      <c r="F38" s="720"/>
      <c r="G38" s="767"/>
      <c r="H38" s="714" t="str">
        <f>H11</f>
        <v>VGHF11</v>
      </c>
      <c r="I38" s="771"/>
      <c r="J38" s="770"/>
      <c r="K38" s="771"/>
      <c r="L38" s="771"/>
      <c r="M38" s="713" t="e">
        <f t="shared" si="109"/>
        <v>#DIV/0!</v>
      </c>
      <c r="N38" s="779" t="e">
        <f t="shared" si="97"/>
        <v>#DIV/0!</v>
      </c>
      <c r="O38" s="771"/>
      <c r="P38" s="770"/>
      <c r="Q38" s="771"/>
      <c r="R38" s="771"/>
      <c r="S38" s="718" t="e">
        <f t="shared" si="110"/>
        <v>#DIV/0!</v>
      </c>
      <c r="T38" s="772" t="e">
        <f t="shared" si="98"/>
        <v>#DIV/0!</v>
      </c>
      <c r="U38" s="771"/>
      <c r="V38" s="770"/>
      <c r="W38" s="771"/>
      <c r="X38" s="771"/>
      <c r="Y38" s="713" t="e">
        <f t="shared" si="111"/>
        <v>#DIV/0!</v>
      </c>
      <c r="Z38" s="779" t="e">
        <f t="shared" si="99"/>
        <v>#DIV/0!</v>
      </c>
      <c r="AA38" s="771"/>
      <c r="AB38" s="770"/>
      <c r="AC38" s="771"/>
      <c r="AD38" s="771"/>
      <c r="AE38" s="718" t="e">
        <f t="shared" si="112"/>
        <v>#DIV/0!</v>
      </c>
      <c r="AF38" s="772" t="e">
        <f t="shared" si="100"/>
        <v>#DIV/0!</v>
      </c>
      <c r="AG38" s="771"/>
      <c r="AH38" s="770"/>
      <c r="AI38" s="771"/>
      <c r="AJ38" s="771"/>
      <c r="AK38" s="713" t="e">
        <f t="shared" si="113"/>
        <v>#DIV/0!</v>
      </c>
      <c r="AL38" s="779" t="e">
        <f t="shared" si="101"/>
        <v>#DIV/0!</v>
      </c>
      <c r="AM38" s="771"/>
      <c r="AN38" s="770"/>
      <c r="AO38" s="771"/>
      <c r="AP38" s="771"/>
      <c r="AQ38" s="718" t="e">
        <f t="shared" si="114"/>
        <v>#DIV/0!</v>
      </c>
      <c r="AR38" s="772" t="e">
        <f t="shared" si="102"/>
        <v>#DIV/0!</v>
      </c>
      <c r="AS38" s="771"/>
      <c r="AT38" s="770"/>
      <c r="AU38" s="771"/>
      <c r="AV38" s="771"/>
      <c r="AW38" s="713" t="e">
        <f t="shared" si="115"/>
        <v>#DIV/0!</v>
      </c>
      <c r="AX38" s="779" t="e">
        <f t="shared" si="103"/>
        <v>#DIV/0!</v>
      </c>
      <c r="AY38" s="771">
        <v>9.43</v>
      </c>
      <c r="AZ38" s="770">
        <v>0.13320000000000001</v>
      </c>
      <c r="BA38" s="771">
        <v>9.68</v>
      </c>
      <c r="BB38" s="771">
        <v>0.12</v>
      </c>
      <c r="BC38" s="718">
        <f t="shared" si="116"/>
        <v>1.2396694214876033E-2</v>
      </c>
      <c r="BD38" s="772">
        <f t="shared" si="104"/>
        <v>1.0265111346765641</v>
      </c>
      <c r="BE38" s="771">
        <v>9.42</v>
      </c>
      <c r="BF38" s="770">
        <v>0.13220000000000001</v>
      </c>
      <c r="BG38" s="771">
        <v>9.6300000000000008</v>
      </c>
      <c r="BH38" s="771">
        <v>0.12</v>
      </c>
      <c r="BI38" s="713">
        <f t="shared" si="105"/>
        <v>1.2461059190031151E-2</v>
      </c>
      <c r="BJ38" s="779">
        <f t="shared" si="106"/>
        <v>1.0222929936305734</v>
      </c>
      <c r="BK38" s="771">
        <v>9.36</v>
      </c>
      <c r="BL38" s="770">
        <v>0.1305</v>
      </c>
      <c r="BM38" s="771">
        <v>9.74</v>
      </c>
      <c r="BN38" s="771">
        <v>0.1</v>
      </c>
      <c r="BO38" s="718">
        <f t="shared" si="107"/>
        <v>1.0266940451745379E-2</v>
      </c>
      <c r="BP38" s="772">
        <f t="shared" si="108"/>
        <v>1.0405982905982907</v>
      </c>
      <c r="BQ38" s="1153"/>
      <c r="BR38" s="1154"/>
      <c r="BS38" s="1154"/>
      <c r="BT38" s="1155"/>
      <c r="BU38" s="713" t="e">
        <f t="shared" si="118"/>
        <v>#DIV/0!</v>
      </c>
      <c r="BV38" s="779" t="e">
        <f t="shared" si="117"/>
        <v>#DIV/0!</v>
      </c>
      <c r="BW38" s="1156"/>
      <c r="BX38" s="1157"/>
      <c r="BY38" s="1157"/>
      <c r="BZ38" s="1158"/>
      <c r="CA38" s="718"/>
      <c r="CB38" s="772"/>
      <c r="CC38" s="725"/>
      <c r="CD38" s="725"/>
      <c r="CE38" s="725"/>
      <c r="CF38" s="720"/>
      <c r="CG38" s="720"/>
      <c r="CH38" s="720"/>
      <c r="CI38" s="720"/>
      <c r="CJ38" s="720"/>
      <c r="CK38" s="720"/>
      <c r="CL38" s="720"/>
      <c r="CM38" s="720"/>
      <c r="CN38" s="720"/>
      <c r="CO38" s="720"/>
      <c r="CP38" s="720"/>
      <c r="CQ38" s="720"/>
      <c r="CR38" s="720"/>
      <c r="CS38" s="720"/>
      <c r="CT38" s="720"/>
      <c r="CU38" s="720"/>
      <c r="CV38" s="720"/>
      <c r="CW38" s="720"/>
      <c r="CX38" s="720"/>
      <c r="CY38" s="720"/>
      <c r="CZ38" s="720"/>
      <c r="DA38" s="720"/>
      <c r="DB38" s="720"/>
      <c r="DC38" s="720"/>
      <c r="DD38" s="720"/>
      <c r="DE38" s="720"/>
      <c r="DF38" s="720"/>
      <c r="DG38" s="720"/>
      <c r="DH38" s="720"/>
      <c r="DI38" s="720"/>
      <c r="DJ38" s="720"/>
      <c r="DK38" s="720"/>
      <c r="DL38" s="720"/>
      <c r="DM38" s="720"/>
      <c r="DN38" s="720"/>
      <c r="DO38" s="720"/>
      <c r="DP38" s="720"/>
      <c r="DQ38" s="720"/>
      <c r="DR38" s="720"/>
    </row>
    <row r="39" spans="1:122" s="642" customFormat="1" ht="15.75">
      <c r="A39" s="720"/>
      <c r="B39" s="708" t="str">
        <f t="shared" si="95"/>
        <v>XPCA11</v>
      </c>
      <c r="C39" s="709">
        <f t="shared" si="96"/>
        <v>9.3980176211453763</v>
      </c>
      <c r="D39" s="707">
        <f>AB105</f>
        <v>227</v>
      </c>
      <c r="E39" s="710">
        <f>AD105+C63</f>
        <v>2133.3500000000004</v>
      </c>
      <c r="F39" s="720"/>
      <c r="G39" s="767" t="s">
        <v>512</v>
      </c>
      <c r="H39" s="714" t="str">
        <f>H12</f>
        <v>URPR11</v>
      </c>
      <c r="I39" s="771"/>
      <c r="J39" s="770"/>
      <c r="K39" s="771"/>
      <c r="L39" s="771"/>
      <c r="M39" s="713" t="e">
        <f t="shared" si="109"/>
        <v>#DIV/0!</v>
      </c>
      <c r="N39" s="779" t="e">
        <f t="shared" si="97"/>
        <v>#DIV/0!</v>
      </c>
      <c r="O39" s="771"/>
      <c r="P39" s="770"/>
      <c r="Q39" s="771"/>
      <c r="R39" s="771"/>
      <c r="S39" s="718" t="e">
        <f t="shared" si="110"/>
        <v>#DIV/0!</v>
      </c>
      <c r="T39" s="772" t="e">
        <f t="shared" si="98"/>
        <v>#DIV/0!</v>
      </c>
      <c r="U39" s="771"/>
      <c r="V39" s="770"/>
      <c r="W39" s="771"/>
      <c r="X39" s="771"/>
      <c r="Y39" s="713" t="e">
        <f t="shared" si="111"/>
        <v>#DIV/0!</v>
      </c>
      <c r="Z39" s="779" t="e">
        <f t="shared" si="99"/>
        <v>#DIV/0!</v>
      </c>
      <c r="AA39" s="771"/>
      <c r="AB39" s="770"/>
      <c r="AC39" s="771"/>
      <c r="AD39" s="771"/>
      <c r="AE39" s="718" t="e">
        <f t="shared" si="112"/>
        <v>#DIV/0!</v>
      </c>
      <c r="AF39" s="772" t="e">
        <f t="shared" si="100"/>
        <v>#DIV/0!</v>
      </c>
      <c r="AG39" s="771"/>
      <c r="AH39" s="770"/>
      <c r="AI39" s="771"/>
      <c r="AJ39" s="771"/>
      <c r="AK39" s="713" t="e">
        <f t="shared" si="113"/>
        <v>#DIV/0!</v>
      </c>
      <c r="AL39" s="779" t="e">
        <f t="shared" si="101"/>
        <v>#DIV/0!</v>
      </c>
      <c r="AM39" s="771"/>
      <c r="AN39" s="770"/>
      <c r="AO39" s="771"/>
      <c r="AP39" s="771"/>
      <c r="AQ39" s="718" t="e">
        <f t="shared" si="114"/>
        <v>#DIV/0!</v>
      </c>
      <c r="AR39" s="772" t="e">
        <f t="shared" si="102"/>
        <v>#DIV/0!</v>
      </c>
      <c r="AS39" s="771"/>
      <c r="AT39" s="770"/>
      <c r="AU39" s="771"/>
      <c r="AV39" s="771"/>
      <c r="AW39" s="713" t="e">
        <f t="shared" si="115"/>
        <v>#DIV/0!</v>
      </c>
      <c r="AX39" s="779" t="e">
        <f t="shared" si="103"/>
        <v>#DIV/0!</v>
      </c>
      <c r="AY39" s="771">
        <v>100.15</v>
      </c>
      <c r="AZ39" s="770">
        <v>0.1575</v>
      </c>
      <c r="BA39" s="771">
        <v>100.73</v>
      </c>
      <c r="BB39" s="771">
        <v>1.1299999999999999</v>
      </c>
      <c r="BC39" s="718">
        <f t="shared" si="116"/>
        <v>1.1218107812965351E-2</v>
      </c>
      <c r="BD39" s="772">
        <f t="shared" si="104"/>
        <v>1.0057913130304543</v>
      </c>
      <c r="BE39" s="771">
        <v>100.03</v>
      </c>
      <c r="BF39" s="770">
        <v>0.15509999999999999</v>
      </c>
      <c r="BG39" s="771">
        <v>97.65</v>
      </c>
      <c r="BH39" s="771">
        <v>1.1599999999999999</v>
      </c>
      <c r="BI39" s="713">
        <f t="shared" si="105"/>
        <v>1.1879160266257039E-2</v>
      </c>
      <c r="BJ39" s="779">
        <f t="shared" si="106"/>
        <v>0.97620713785864244</v>
      </c>
      <c r="BK39" s="771">
        <v>101.98</v>
      </c>
      <c r="BL39" s="770">
        <v>0.15770000000000001</v>
      </c>
      <c r="BM39" s="771">
        <v>93.5</v>
      </c>
      <c r="BN39" s="771">
        <v>1.17</v>
      </c>
      <c r="BO39" s="718">
        <f t="shared" si="107"/>
        <v>1.2513368983957218E-2</v>
      </c>
      <c r="BP39" s="772">
        <f t="shared" si="108"/>
        <v>0.91684644047852515</v>
      </c>
      <c r="BQ39" s="771">
        <v>100.51</v>
      </c>
      <c r="BR39" s="770">
        <v>0.1762</v>
      </c>
      <c r="BS39" s="771">
        <v>89.86</v>
      </c>
      <c r="BT39" s="771">
        <v>1.18</v>
      </c>
      <c r="BU39" s="713">
        <f t="shared" si="118"/>
        <v>1.3131537947918985E-2</v>
      </c>
      <c r="BV39" s="779">
        <f t="shared" si="117"/>
        <v>0.89404039399064761</v>
      </c>
      <c r="BW39" s="771">
        <v>101.26</v>
      </c>
      <c r="BX39" s="770">
        <v>0.17780000000000001</v>
      </c>
      <c r="BY39" s="771">
        <v>85.03</v>
      </c>
      <c r="BZ39" s="771">
        <v>1.1000000000000001</v>
      </c>
      <c r="CA39" s="718">
        <f>BZ39/BY39</f>
        <v>1.2936610608020699E-2</v>
      </c>
      <c r="CB39" s="772">
        <f t="shared" si="119"/>
        <v>0.83971953387319764</v>
      </c>
      <c r="CC39" s="725"/>
      <c r="CD39" s="725"/>
      <c r="CE39" s="725"/>
      <c r="CF39" s="720"/>
      <c r="CG39" s="720"/>
      <c r="CH39" s="720"/>
      <c r="CI39" s="720"/>
      <c r="CJ39" s="720"/>
      <c r="CK39" s="720"/>
      <c r="CL39" s="720"/>
      <c r="CM39" s="720"/>
      <c r="CN39" s="720"/>
      <c r="CO39" s="720"/>
      <c r="CP39" s="720"/>
      <c r="CQ39" s="720"/>
      <c r="CR39" s="720"/>
      <c r="CS39" s="720"/>
      <c r="CT39" s="720"/>
      <c r="CU39" s="720"/>
      <c r="CV39" s="720"/>
      <c r="CW39" s="720"/>
      <c r="CX39" s="720"/>
      <c r="CY39" s="720"/>
      <c r="CZ39" s="720"/>
      <c r="DA39" s="720"/>
      <c r="DB39" s="720"/>
      <c r="DC39" s="720"/>
      <c r="DD39" s="720"/>
      <c r="DE39" s="720"/>
      <c r="DF39" s="720"/>
      <c r="DG39" s="720"/>
      <c r="DH39" s="720"/>
      <c r="DI39" s="720"/>
      <c r="DJ39" s="720"/>
      <c r="DK39" s="720"/>
      <c r="DL39" s="720"/>
      <c r="DM39" s="720"/>
      <c r="DN39" s="720"/>
      <c r="DO39" s="720"/>
      <c r="DP39" s="720"/>
      <c r="DQ39" s="720"/>
      <c r="DR39" s="720"/>
    </row>
    <row r="40" spans="1:122" s="642" customFormat="1" ht="15.75">
      <c r="A40" s="720"/>
      <c r="B40" s="708" t="str">
        <f t="shared" si="95"/>
        <v>VGIA11</v>
      </c>
      <c r="C40" s="709">
        <f>E40/D40</f>
        <v>8.6714985163204759</v>
      </c>
      <c r="D40" s="707">
        <f>AG105</f>
        <v>674</v>
      </c>
      <c r="E40" s="710">
        <f>AI105+C64</f>
        <v>5844.59</v>
      </c>
      <c r="F40" s="720"/>
      <c r="G40" s="767" t="s">
        <v>510</v>
      </c>
      <c r="H40" s="714" t="str">
        <f>H13</f>
        <v>XPCA11</v>
      </c>
      <c r="I40" s="771"/>
      <c r="J40" s="770"/>
      <c r="K40" s="771"/>
      <c r="L40" s="771"/>
      <c r="M40" s="713" t="e">
        <f t="shared" si="109"/>
        <v>#DIV/0!</v>
      </c>
      <c r="N40" s="779" t="e">
        <f t="shared" si="97"/>
        <v>#DIV/0!</v>
      </c>
      <c r="O40" s="771"/>
      <c r="P40" s="770"/>
      <c r="Q40" s="771"/>
      <c r="R40" s="771"/>
      <c r="S40" s="718" t="e">
        <f t="shared" si="110"/>
        <v>#DIV/0!</v>
      </c>
      <c r="T40" s="772" t="e">
        <f t="shared" si="98"/>
        <v>#DIV/0!</v>
      </c>
      <c r="U40" s="771"/>
      <c r="V40" s="770"/>
      <c r="W40" s="771"/>
      <c r="X40" s="771"/>
      <c r="Y40" s="713" t="e">
        <f t="shared" si="111"/>
        <v>#DIV/0!</v>
      </c>
      <c r="Z40" s="779" t="e">
        <f t="shared" si="99"/>
        <v>#DIV/0!</v>
      </c>
      <c r="AA40" s="771"/>
      <c r="AB40" s="770"/>
      <c r="AC40" s="771"/>
      <c r="AD40" s="771"/>
      <c r="AE40" s="718" t="e">
        <f t="shared" si="112"/>
        <v>#DIV/0!</v>
      </c>
      <c r="AF40" s="772" t="e">
        <f t="shared" si="100"/>
        <v>#DIV/0!</v>
      </c>
      <c r="AG40" s="771"/>
      <c r="AH40" s="770"/>
      <c r="AI40" s="771"/>
      <c r="AJ40" s="771"/>
      <c r="AK40" s="713" t="e">
        <f t="shared" si="113"/>
        <v>#DIV/0!</v>
      </c>
      <c r="AL40" s="779" t="e">
        <f t="shared" si="101"/>
        <v>#DIV/0!</v>
      </c>
      <c r="AM40" s="771"/>
      <c r="AN40" s="770"/>
      <c r="AO40" s="771"/>
      <c r="AP40" s="771"/>
      <c r="AQ40" s="718" t="e">
        <f t="shared" si="114"/>
        <v>#DIV/0!</v>
      </c>
      <c r="AR40" s="772" t="e">
        <f t="shared" si="102"/>
        <v>#DIV/0!</v>
      </c>
      <c r="AS40" s="771"/>
      <c r="AT40" s="770"/>
      <c r="AU40" s="771"/>
      <c r="AV40" s="771"/>
      <c r="AW40" s="713" t="e">
        <f t="shared" si="115"/>
        <v>#DIV/0!</v>
      </c>
      <c r="AX40" s="779" t="e">
        <f t="shared" si="103"/>
        <v>#DIV/0!</v>
      </c>
      <c r="AY40" s="771">
        <v>9.49</v>
      </c>
      <c r="AZ40" s="770">
        <v>0.16550000000000001</v>
      </c>
      <c r="BA40" s="771">
        <v>9.5299999999999994</v>
      </c>
      <c r="BB40" s="771">
        <v>0.11</v>
      </c>
      <c r="BC40" s="718">
        <f t="shared" si="116"/>
        <v>1.1542497376705143E-2</v>
      </c>
      <c r="BD40" s="772">
        <f t="shared" si="104"/>
        <v>1.0042149631190727</v>
      </c>
      <c r="BE40" s="771">
        <v>9.49</v>
      </c>
      <c r="BF40" s="770">
        <v>0.16550000000000001</v>
      </c>
      <c r="BG40" s="771">
        <v>9.64</v>
      </c>
      <c r="BH40" s="771">
        <v>0.14000000000000001</v>
      </c>
      <c r="BI40" s="713">
        <f t="shared" si="105"/>
        <v>1.4522821576763486E-2</v>
      </c>
      <c r="BJ40" s="779">
        <f t="shared" si="106"/>
        <v>1.0158061116965227</v>
      </c>
      <c r="BK40" s="771">
        <v>9.49</v>
      </c>
      <c r="BL40" s="770">
        <v>0.16830000000000001</v>
      </c>
      <c r="BM40" s="771">
        <v>9.86</v>
      </c>
      <c r="BN40" s="771">
        <v>0.11</v>
      </c>
      <c r="BO40" s="718">
        <f t="shared" si="107"/>
        <v>1.1156186612576065E-2</v>
      </c>
      <c r="BP40" s="772">
        <f t="shared" si="108"/>
        <v>1.0389884088514225</v>
      </c>
      <c r="BQ40" s="771">
        <v>9.49</v>
      </c>
      <c r="BR40" s="770">
        <v>0.16089999999999999</v>
      </c>
      <c r="BS40" s="771">
        <v>9.4</v>
      </c>
      <c r="BT40" s="771">
        <v>0.11</v>
      </c>
      <c r="BU40" s="713">
        <f t="shared" si="118"/>
        <v>1.1702127659574468E-2</v>
      </c>
      <c r="BV40" s="779">
        <f t="shared" si="117"/>
        <v>0.99051633298208641</v>
      </c>
      <c r="BW40" s="771">
        <v>9.49</v>
      </c>
      <c r="BX40" s="770">
        <v>0.16200000000000001</v>
      </c>
      <c r="BY40" s="771">
        <v>9.2899999999999991</v>
      </c>
      <c r="BZ40" s="771">
        <v>0.11</v>
      </c>
      <c r="CA40" s="718">
        <f>BZ40/BY40</f>
        <v>1.1840688912809474E-2</v>
      </c>
      <c r="CB40" s="772">
        <f t="shared" si="119"/>
        <v>0.97892518440463638</v>
      </c>
      <c r="CC40" s="725"/>
      <c r="CD40" s="725"/>
      <c r="CE40" s="725"/>
      <c r="CF40" s="720"/>
      <c r="CG40" s="720"/>
      <c r="CH40" s="720"/>
      <c r="CI40" s="720"/>
      <c r="CJ40" s="720"/>
      <c r="CK40" s="720"/>
      <c r="CL40" s="720"/>
      <c r="CM40" s="720"/>
      <c r="CN40" s="720"/>
      <c r="CO40" s="720"/>
      <c r="CP40" s="720"/>
      <c r="CQ40" s="720"/>
      <c r="CR40" s="720"/>
      <c r="CS40" s="720"/>
      <c r="CT40" s="720"/>
      <c r="CU40" s="720"/>
      <c r="CV40" s="720"/>
      <c r="CW40" s="720"/>
      <c r="CX40" s="720"/>
      <c r="CY40" s="720"/>
      <c r="CZ40" s="720"/>
      <c r="DA40" s="720"/>
      <c r="DB40" s="720"/>
      <c r="DC40" s="720"/>
      <c r="DD40" s="720"/>
      <c r="DE40" s="720"/>
      <c r="DF40" s="720"/>
      <c r="DG40" s="720"/>
      <c r="DH40" s="720"/>
      <c r="DI40" s="720"/>
      <c r="DJ40" s="720"/>
      <c r="DK40" s="720"/>
      <c r="DL40" s="720"/>
      <c r="DM40" s="720"/>
      <c r="DN40" s="720"/>
      <c r="DO40" s="720"/>
      <c r="DP40" s="720"/>
      <c r="DQ40" s="720"/>
      <c r="DR40" s="720"/>
    </row>
    <row r="41" spans="1:122" s="642" customFormat="1" ht="15.75" customHeight="1">
      <c r="A41" s="720"/>
      <c r="B41" s="708" t="str">
        <f t="shared" si="95"/>
        <v>CPTR11</v>
      </c>
      <c r="C41" s="709">
        <f>E41/D41</f>
        <v>0</v>
      </c>
      <c r="D41" s="707">
        <f>M67</f>
        <v>1</v>
      </c>
      <c r="E41" s="710">
        <f>O67+C65</f>
        <v>0</v>
      </c>
      <c r="F41" s="720"/>
      <c r="G41" s="767" t="s">
        <v>566</v>
      </c>
      <c r="H41" s="714" t="str">
        <f>H14</f>
        <v>VGIA11</v>
      </c>
      <c r="I41" s="771"/>
      <c r="J41" s="770"/>
      <c r="K41" s="771"/>
      <c r="L41" s="771"/>
      <c r="M41" s="713" t="e">
        <f t="shared" si="109"/>
        <v>#DIV/0!</v>
      </c>
      <c r="N41" s="779" t="e">
        <f t="shared" si="97"/>
        <v>#DIV/0!</v>
      </c>
      <c r="O41" s="771"/>
      <c r="P41" s="770"/>
      <c r="Q41" s="771"/>
      <c r="R41" s="771"/>
      <c r="S41" s="718" t="e">
        <f t="shared" si="110"/>
        <v>#DIV/0!</v>
      </c>
      <c r="T41" s="772" t="e">
        <f t="shared" si="98"/>
        <v>#DIV/0!</v>
      </c>
      <c r="U41" s="771"/>
      <c r="V41" s="770"/>
      <c r="W41" s="771"/>
      <c r="X41" s="771"/>
      <c r="Y41" s="713" t="e">
        <f t="shared" si="111"/>
        <v>#DIV/0!</v>
      </c>
      <c r="Z41" s="779" t="e">
        <f t="shared" si="99"/>
        <v>#DIV/0!</v>
      </c>
      <c r="AA41" s="771"/>
      <c r="AB41" s="770"/>
      <c r="AC41" s="771"/>
      <c r="AD41" s="771"/>
      <c r="AE41" s="718" t="e">
        <f t="shared" si="112"/>
        <v>#DIV/0!</v>
      </c>
      <c r="AF41" s="772" t="e">
        <f t="shared" si="100"/>
        <v>#DIV/0!</v>
      </c>
      <c r="AG41" s="771"/>
      <c r="AH41" s="770"/>
      <c r="AI41" s="771"/>
      <c r="AJ41" s="771"/>
      <c r="AK41" s="713" t="e">
        <f t="shared" si="113"/>
        <v>#DIV/0!</v>
      </c>
      <c r="AL41" s="779" t="e">
        <f t="shared" si="101"/>
        <v>#DIV/0!</v>
      </c>
      <c r="AM41" s="771"/>
      <c r="AN41" s="770"/>
      <c r="AO41" s="771"/>
      <c r="AP41" s="771"/>
      <c r="AQ41" s="718" t="e">
        <f t="shared" si="114"/>
        <v>#DIV/0!</v>
      </c>
      <c r="AR41" s="772" t="e">
        <f t="shared" si="102"/>
        <v>#DIV/0!</v>
      </c>
      <c r="AS41" s="771"/>
      <c r="AT41" s="770"/>
      <c r="AU41" s="771"/>
      <c r="AV41" s="771"/>
      <c r="AW41" s="713" t="e">
        <f t="shared" si="115"/>
        <v>#DIV/0!</v>
      </c>
      <c r="AX41" s="779" t="e">
        <f t="shared" si="103"/>
        <v>#DIV/0!</v>
      </c>
      <c r="AY41" s="771">
        <v>9.5</v>
      </c>
      <c r="AZ41" s="770">
        <v>0.19020000000000001</v>
      </c>
      <c r="BA41" s="771">
        <v>9.68</v>
      </c>
      <c r="BB41" s="771">
        <v>0.13</v>
      </c>
      <c r="BC41" s="718">
        <f t="shared" si="116"/>
        <v>1.3429752066115703E-2</v>
      </c>
      <c r="BD41" s="772">
        <f t="shared" si="104"/>
        <v>1.0189473684210526</v>
      </c>
      <c r="BE41" s="771">
        <v>9.5</v>
      </c>
      <c r="BF41" s="770">
        <v>0.19020000000000001</v>
      </c>
      <c r="BG41" s="771">
        <v>9.5500000000000007</v>
      </c>
      <c r="BH41" s="771">
        <v>0.13</v>
      </c>
      <c r="BI41" s="713">
        <f t="shared" si="105"/>
        <v>1.3612565445026177E-2</v>
      </c>
      <c r="BJ41" s="779">
        <f t="shared" si="106"/>
        <v>1.0052631578947369</v>
      </c>
      <c r="BK41" s="771">
        <v>9.51</v>
      </c>
      <c r="BL41" s="770">
        <v>0.17469999999999999</v>
      </c>
      <c r="BM41" s="771">
        <v>9.52</v>
      </c>
      <c r="BN41" s="771">
        <v>0.12</v>
      </c>
      <c r="BO41" s="718">
        <f t="shared" si="107"/>
        <v>1.2605042016806723E-2</v>
      </c>
      <c r="BP41" s="772">
        <f t="shared" si="108"/>
        <v>1.0010515247108307</v>
      </c>
      <c r="BQ41" s="771">
        <v>9.5</v>
      </c>
      <c r="BR41" s="770">
        <v>0.17580000000000001</v>
      </c>
      <c r="BS41" s="771">
        <v>9.3800000000000008</v>
      </c>
      <c r="BT41" s="771">
        <v>0.1</v>
      </c>
      <c r="BU41" s="713">
        <f t="shared" si="118"/>
        <v>1.0660980810234541E-2</v>
      </c>
      <c r="BV41" s="779">
        <f t="shared" si="117"/>
        <v>0.98736842105263167</v>
      </c>
      <c r="BW41" s="771">
        <v>9.6300000000000008</v>
      </c>
      <c r="BX41" s="770">
        <v>0.19070000000000001</v>
      </c>
      <c r="BY41" s="771">
        <v>8.6999999999999993</v>
      </c>
      <c r="BZ41" s="771">
        <v>0.1</v>
      </c>
      <c r="CA41" s="718">
        <f>BZ41/BY41</f>
        <v>1.149425287356322E-2</v>
      </c>
      <c r="CB41" s="772">
        <f t="shared" si="119"/>
        <v>0.90342679127725845</v>
      </c>
      <c r="CC41" s="725"/>
      <c r="CD41" s="725"/>
      <c r="CE41" s="725"/>
      <c r="CF41" s="720"/>
      <c r="CG41" s="720"/>
      <c r="CH41" s="720"/>
      <c r="CI41" s="720"/>
      <c r="CJ41" s="720"/>
      <c r="CK41" s="720"/>
      <c r="CL41" s="720"/>
      <c r="CM41" s="720"/>
      <c r="CN41" s="720"/>
      <c r="CO41" s="720"/>
      <c r="CP41" s="720"/>
      <c r="CQ41" s="720"/>
      <c r="CR41" s="720"/>
      <c r="CS41" s="720"/>
      <c r="CT41" s="720"/>
      <c r="CU41" s="720"/>
      <c r="CV41" s="720"/>
      <c r="CW41" s="720"/>
      <c r="CX41" s="720"/>
      <c r="CY41" s="720"/>
      <c r="CZ41" s="720"/>
      <c r="DA41" s="720"/>
      <c r="DB41" s="720"/>
      <c r="DC41" s="720"/>
      <c r="DD41" s="720"/>
      <c r="DE41" s="720"/>
      <c r="DF41" s="720"/>
      <c r="DG41" s="720"/>
      <c r="DH41" s="720"/>
      <c r="DI41" s="720"/>
      <c r="DJ41" s="720"/>
      <c r="DK41" s="720"/>
      <c r="DL41" s="720"/>
      <c r="DM41" s="720"/>
      <c r="DN41" s="720"/>
      <c r="DO41" s="720"/>
      <c r="DP41" s="720"/>
      <c r="DQ41" s="720"/>
      <c r="DR41" s="720"/>
    </row>
    <row r="42" spans="1:122" s="642" customFormat="1" ht="15.75">
      <c r="A42" s="720"/>
      <c r="B42" s="708" t="str">
        <f t="shared" si="95"/>
        <v>JPPA11</v>
      </c>
      <c r="C42" s="709">
        <f t="shared" si="96"/>
        <v>0</v>
      </c>
      <c r="D42" s="707">
        <f>R67</f>
        <v>1</v>
      </c>
      <c r="E42" s="710">
        <f>T67+C66</f>
        <v>0</v>
      </c>
      <c r="F42" s="720"/>
      <c r="G42" s="767" t="s">
        <v>638</v>
      </c>
      <c r="H42" s="715" t="str">
        <f>L53</f>
        <v>CPTR11</v>
      </c>
      <c r="I42" s="771"/>
      <c r="J42" s="770"/>
      <c r="K42" s="771"/>
      <c r="L42" s="771"/>
      <c r="M42" s="713" t="e">
        <f t="shared" si="109"/>
        <v>#DIV/0!</v>
      </c>
      <c r="N42" s="779" t="e">
        <f t="shared" si="97"/>
        <v>#DIV/0!</v>
      </c>
      <c r="O42" s="771"/>
      <c r="P42" s="770"/>
      <c r="Q42" s="771"/>
      <c r="R42" s="771"/>
      <c r="S42" s="718" t="e">
        <f t="shared" si="110"/>
        <v>#DIV/0!</v>
      </c>
      <c r="T42" s="772" t="e">
        <f t="shared" si="98"/>
        <v>#DIV/0!</v>
      </c>
      <c r="U42" s="771"/>
      <c r="V42" s="770"/>
      <c r="W42" s="771"/>
      <c r="X42" s="771"/>
      <c r="Y42" s="713" t="e">
        <f t="shared" si="111"/>
        <v>#DIV/0!</v>
      </c>
      <c r="Z42" s="779" t="e">
        <f t="shared" si="99"/>
        <v>#DIV/0!</v>
      </c>
      <c r="AA42" s="771"/>
      <c r="AB42" s="770"/>
      <c r="AC42" s="771"/>
      <c r="AD42" s="771"/>
      <c r="AE42" s="718" t="e">
        <f t="shared" si="112"/>
        <v>#DIV/0!</v>
      </c>
      <c r="AF42" s="772" t="e">
        <f t="shared" si="100"/>
        <v>#DIV/0!</v>
      </c>
      <c r="AG42" s="771"/>
      <c r="AH42" s="770"/>
      <c r="AI42" s="771"/>
      <c r="AJ42" s="771"/>
      <c r="AK42" s="713" t="e">
        <f t="shared" si="113"/>
        <v>#DIV/0!</v>
      </c>
      <c r="AL42" s="779" t="e">
        <f t="shared" si="101"/>
        <v>#DIV/0!</v>
      </c>
      <c r="AM42" s="771"/>
      <c r="AN42" s="770"/>
      <c r="AO42" s="771"/>
      <c r="AP42" s="771"/>
      <c r="AQ42" s="718" t="e">
        <f t="shared" si="114"/>
        <v>#DIV/0!</v>
      </c>
      <c r="AR42" s="772" t="e">
        <f t="shared" si="102"/>
        <v>#DIV/0!</v>
      </c>
      <c r="AS42" s="771"/>
      <c r="AT42" s="770"/>
      <c r="AU42" s="771"/>
      <c r="AV42" s="771"/>
      <c r="AW42" s="713" t="e">
        <f t="shared" si="115"/>
        <v>#DIV/0!</v>
      </c>
      <c r="AX42" s="779" t="e">
        <f t="shared" si="103"/>
        <v>#DIV/0!</v>
      </c>
      <c r="AY42" s="771">
        <v>98.38</v>
      </c>
      <c r="AZ42" s="770">
        <v>0.17199999999999999</v>
      </c>
      <c r="BA42" s="771">
        <v>97.99</v>
      </c>
      <c r="BB42" s="771">
        <v>1.2</v>
      </c>
      <c r="BC42" s="718">
        <f t="shared" si="116"/>
        <v>1.2246147566078171E-2</v>
      </c>
      <c r="BD42" s="772">
        <f t="shared" si="104"/>
        <v>0.99603577963000611</v>
      </c>
      <c r="BE42" s="771">
        <v>98.38</v>
      </c>
      <c r="BF42" s="770">
        <v>0.17199999999999999</v>
      </c>
      <c r="BG42" s="771">
        <v>97.4</v>
      </c>
      <c r="BH42" s="771">
        <v>1.35</v>
      </c>
      <c r="BI42" s="713">
        <f t="shared" si="105"/>
        <v>1.3860369609856264E-2</v>
      </c>
      <c r="BJ42" s="779">
        <f t="shared" si="106"/>
        <v>0.99003862573693846</v>
      </c>
      <c r="BK42" s="771">
        <v>9.76</v>
      </c>
      <c r="BL42" s="770">
        <v>0.16850000000000001</v>
      </c>
      <c r="BM42" s="771">
        <v>9.9600000000000009</v>
      </c>
      <c r="BN42" s="771">
        <v>0.1</v>
      </c>
      <c r="BO42" s="718">
        <f t="shared" si="107"/>
        <v>1.0040160642570281E-2</v>
      </c>
      <c r="BP42" s="772">
        <f t="shared" si="108"/>
        <v>1.0204918032786887</v>
      </c>
      <c r="BQ42" s="1153"/>
      <c r="BR42" s="1154"/>
      <c r="BS42" s="1154"/>
      <c r="BT42" s="1155"/>
      <c r="BU42" s="713" t="e">
        <f t="shared" si="118"/>
        <v>#DIV/0!</v>
      </c>
      <c r="BV42" s="779" t="e">
        <f t="shared" si="117"/>
        <v>#DIV/0!</v>
      </c>
      <c r="BW42" s="1156"/>
      <c r="BX42" s="1157"/>
      <c r="BY42" s="1157"/>
      <c r="BZ42" s="1158"/>
      <c r="CA42" s="718"/>
      <c r="CB42" s="772"/>
      <c r="CC42" s="725"/>
      <c r="CD42" s="725"/>
      <c r="CE42" s="725"/>
      <c r="CF42" s="720"/>
      <c r="CG42" s="720"/>
      <c r="CH42" s="720"/>
      <c r="CI42" s="720"/>
      <c r="CJ42" s="720"/>
      <c r="CK42" s="720"/>
      <c r="CL42" s="720"/>
      <c r="CM42" s="720"/>
      <c r="CN42" s="720"/>
      <c r="CO42" s="720"/>
      <c r="CP42" s="720"/>
      <c r="CQ42" s="720"/>
      <c r="CR42" s="720"/>
      <c r="CS42" s="720"/>
      <c r="CT42" s="720"/>
      <c r="CU42" s="720"/>
      <c r="CV42" s="720"/>
      <c r="CW42" s="720"/>
      <c r="CX42" s="720"/>
      <c r="CY42" s="720"/>
      <c r="CZ42" s="720"/>
      <c r="DA42" s="720"/>
      <c r="DB42" s="720"/>
      <c r="DC42" s="720"/>
      <c r="DD42" s="720"/>
      <c r="DE42" s="720"/>
      <c r="DF42" s="720"/>
      <c r="DG42" s="720"/>
      <c r="DH42" s="720"/>
      <c r="DI42" s="720"/>
      <c r="DJ42" s="720"/>
      <c r="DK42" s="720"/>
      <c r="DL42" s="720"/>
      <c r="DM42" s="720"/>
      <c r="DN42" s="720"/>
      <c r="DO42" s="720"/>
      <c r="DP42" s="720"/>
      <c r="DQ42" s="720"/>
      <c r="DR42" s="720"/>
    </row>
    <row r="43" spans="1:122" s="642" customFormat="1" ht="15.75">
      <c r="A43" s="720"/>
      <c r="B43" s="708" t="str">
        <f t="shared" si="95"/>
        <v>FGAA11</v>
      </c>
      <c r="C43" s="709">
        <f t="shared" si="96"/>
        <v>9.2417307692307684</v>
      </c>
      <c r="D43" s="707">
        <f>W67</f>
        <v>104</v>
      </c>
      <c r="E43" s="710">
        <f>Y67+C67</f>
        <v>961.14</v>
      </c>
      <c r="F43" s="720"/>
      <c r="G43" s="767" t="s">
        <v>639</v>
      </c>
      <c r="H43" s="716" t="str">
        <f>Q53</f>
        <v>JPPA11</v>
      </c>
      <c r="I43" s="771"/>
      <c r="J43" s="770"/>
      <c r="K43" s="771"/>
      <c r="L43" s="771"/>
      <c r="M43" s="713" t="e">
        <f t="shared" si="109"/>
        <v>#DIV/0!</v>
      </c>
      <c r="N43" s="779" t="e">
        <f t="shared" si="97"/>
        <v>#DIV/0!</v>
      </c>
      <c r="O43" s="771"/>
      <c r="P43" s="770"/>
      <c r="Q43" s="771"/>
      <c r="R43" s="771"/>
      <c r="S43" s="718" t="e">
        <f t="shared" si="110"/>
        <v>#DIV/0!</v>
      </c>
      <c r="T43" s="772" t="e">
        <f t="shared" si="98"/>
        <v>#DIV/0!</v>
      </c>
      <c r="U43" s="771"/>
      <c r="V43" s="770"/>
      <c r="W43" s="771"/>
      <c r="X43" s="771"/>
      <c r="Y43" s="713" t="e">
        <f t="shared" si="111"/>
        <v>#DIV/0!</v>
      </c>
      <c r="Z43" s="779" t="e">
        <f t="shared" si="99"/>
        <v>#DIV/0!</v>
      </c>
      <c r="AA43" s="771"/>
      <c r="AB43" s="770"/>
      <c r="AC43" s="771"/>
      <c r="AD43" s="771"/>
      <c r="AE43" s="718" t="e">
        <f t="shared" si="112"/>
        <v>#DIV/0!</v>
      </c>
      <c r="AF43" s="772" t="e">
        <f t="shared" si="100"/>
        <v>#DIV/0!</v>
      </c>
      <c r="AG43" s="771"/>
      <c r="AH43" s="770"/>
      <c r="AI43" s="771"/>
      <c r="AJ43" s="771"/>
      <c r="AK43" s="713" t="e">
        <f t="shared" si="113"/>
        <v>#DIV/0!</v>
      </c>
      <c r="AL43" s="779" t="e">
        <f t="shared" si="101"/>
        <v>#DIV/0!</v>
      </c>
      <c r="AM43" s="771"/>
      <c r="AN43" s="770"/>
      <c r="AO43" s="771"/>
      <c r="AP43" s="771"/>
      <c r="AQ43" s="718" t="e">
        <f t="shared" si="114"/>
        <v>#DIV/0!</v>
      </c>
      <c r="AR43" s="772" t="e">
        <f t="shared" si="102"/>
        <v>#DIV/0!</v>
      </c>
      <c r="AS43" s="771"/>
      <c r="AT43" s="770"/>
      <c r="AU43" s="771"/>
      <c r="AV43" s="771"/>
      <c r="AW43" s="713" t="e">
        <f t="shared" si="115"/>
        <v>#DIV/0!</v>
      </c>
      <c r="AX43" s="779" t="e">
        <f t="shared" si="103"/>
        <v>#DIV/0!</v>
      </c>
      <c r="AY43" s="771">
        <v>99.25</v>
      </c>
      <c r="AZ43" s="770">
        <v>0.1719</v>
      </c>
      <c r="BA43" s="771">
        <v>100.38</v>
      </c>
      <c r="BB43" s="771">
        <v>1.25</v>
      </c>
      <c r="BC43" s="718">
        <f t="shared" si="116"/>
        <v>1.2452679816696554E-2</v>
      </c>
      <c r="BD43" s="772">
        <f t="shared" si="104"/>
        <v>1.0113853904282115</v>
      </c>
      <c r="BE43" s="771">
        <v>98.68</v>
      </c>
      <c r="BF43" s="770">
        <v>0.16619999999999999</v>
      </c>
      <c r="BG43" s="771">
        <v>103.95</v>
      </c>
      <c r="BH43" s="771">
        <v>1.1499999999999999</v>
      </c>
      <c r="BI43" s="713">
        <f t="shared" si="105"/>
        <v>1.1063011063011063E-2</v>
      </c>
      <c r="BJ43" s="779">
        <f t="shared" si="106"/>
        <v>1.053404945277665</v>
      </c>
      <c r="BK43" s="771">
        <v>98.68</v>
      </c>
      <c r="BL43" s="770">
        <v>0.16189999999999999</v>
      </c>
      <c r="BM43" s="771">
        <v>99</v>
      </c>
      <c r="BN43" s="771">
        <v>1.1000000000000001</v>
      </c>
      <c r="BO43" s="718">
        <f t="shared" si="107"/>
        <v>1.1111111111111112E-2</v>
      </c>
      <c r="BP43" s="772">
        <f t="shared" si="108"/>
        <v>1.0032428050263478</v>
      </c>
      <c r="BQ43" s="771">
        <v>9.59</v>
      </c>
      <c r="BR43" s="770">
        <v>0.16320000000000001</v>
      </c>
      <c r="BS43" s="771">
        <v>9.84</v>
      </c>
      <c r="BT43" s="771">
        <v>0.12</v>
      </c>
      <c r="BU43" s="713">
        <f t="shared" si="118"/>
        <v>1.2195121951219513E-2</v>
      </c>
      <c r="BV43" s="779">
        <f t="shared" si="117"/>
        <v>1.0260688216892597</v>
      </c>
      <c r="BW43" s="771">
        <v>97.79</v>
      </c>
      <c r="BX43" s="770">
        <v>0.1666</v>
      </c>
      <c r="BY43" s="771">
        <v>92.3</v>
      </c>
      <c r="BZ43" s="771">
        <v>1.05</v>
      </c>
      <c r="CA43" s="718">
        <f>BZ43/BY43</f>
        <v>1.1375947995666307E-2</v>
      </c>
      <c r="CB43" s="772">
        <f t="shared" si="119"/>
        <v>0.94385929031598315</v>
      </c>
      <c r="CC43" s="725"/>
      <c r="CD43" s="725"/>
      <c r="CE43" s="725"/>
      <c r="CF43" s="720"/>
      <c r="CG43" s="720"/>
      <c r="CH43" s="720"/>
      <c r="CI43" s="720"/>
      <c r="CJ43" s="720"/>
      <c r="CK43" s="720"/>
      <c r="CL43" s="720"/>
      <c r="CM43" s="720"/>
      <c r="CN43" s="720"/>
      <c r="CO43" s="720"/>
      <c r="CP43" s="720"/>
      <c r="CQ43" s="720"/>
      <c r="CR43" s="720"/>
      <c r="CS43" s="720"/>
      <c r="CT43" s="720"/>
      <c r="CU43" s="720"/>
      <c r="CV43" s="720"/>
      <c r="CW43" s="720"/>
      <c r="CX43" s="720"/>
      <c r="CY43" s="720"/>
      <c r="CZ43" s="720"/>
      <c r="DA43" s="720"/>
      <c r="DB43" s="720"/>
      <c r="DC43" s="720"/>
      <c r="DD43" s="720"/>
      <c r="DE43" s="720"/>
      <c r="DF43" s="720"/>
      <c r="DG43" s="720"/>
      <c r="DH43" s="720"/>
      <c r="DI43" s="720"/>
      <c r="DJ43" s="720"/>
      <c r="DK43" s="720"/>
      <c r="DL43" s="720"/>
      <c r="DM43" s="720"/>
      <c r="DN43" s="720"/>
      <c r="DO43" s="720"/>
      <c r="DP43" s="720"/>
      <c r="DQ43" s="720"/>
      <c r="DR43" s="720"/>
    </row>
    <row r="44" spans="1:122" s="642" customFormat="1" ht="15.75">
      <c r="A44" s="720"/>
      <c r="B44" s="708" t="str">
        <f t="shared" si="95"/>
        <v>VCRI11</v>
      </c>
      <c r="C44" s="709">
        <f t="shared" si="96"/>
        <v>0</v>
      </c>
      <c r="D44" s="707">
        <f>AB67</f>
        <v>1</v>
      </c>
      <c r="E44" s="710">
        <f>AD67+C68</f>
        <v>0</v>
      </c>
      <c r="F44" s="720"/>
      <c r="G44" s="767" t="s">
        <v>640</v>
      </c>
      <c r="H44" s="716" t="str">
        <f>V53</f>
        <v>FGAA11</v>
      </c>
      <c r="I44" s="771"/>
      <c r="J44" s="770"/>
      <c r="K44" s="771"/>
      <c r="L44" s="771"/>
      <c r="M44" s="713" t="e">
        <f t="shared" si="109"/>
        <v>#DIV/0!</v>
      </c>
      <c r="N44" s="779" t="e">
        <f t="shared" si="97"/>
        <v>#DIV/0!</v>
      </c>
      <c r="O44" s="771"/>
      <c r="P44" s="770"/>
      <c r="Q44" s="771"/>
      <c r="R44" s="771"/>
      <c r="S44" s="718" t="e">
        <f t="shared" si="110"/>
        <v>#DIV/0!</v>
      </c>
      <c r="T44" s="772" t="e">
        <f t="shared" si="98"/>
        <v>#DIV/0!</v>
      </c>
      <c r="U44" s="771"/>
      <c r="V44" s="770"/>
      <c r="W44" s="771"/>
      <c r="X44" s="771"/>
      <c r="Y44" s="713" t="e">
        <f t="shared" si="111"/>
        <v>#DIV/0!</v>
      </c>
      <c r="Z44" s="779" t="e">
        <f t="shared" si="99"/>
        <v>#DIV/0!</v>
      </c>
      <c r="AA44" s="771"/>
      <c r="AB44" s="770"/>
      <c r="AC44" s="771"/>
      <c r="AD44" s="771"/>
      <c r="AE44" s="718" t="e">
        <f t="shared" si="112"/>
        <v>#DIV/0!</v>
      </c>
      <c r="AF44" s="772" t="e">
        <f t="shared" si="100"/>
        <v>#DIV/0!</v>
      </c>
      <c r="AG44" s="771"/>
      <c r="AH44" s="770"/>
      <c r="AI44" s="771"/>
      <c r="AJ44" s="771"/>
      <c r="AK44" s="713" t="e">
        <f t="shared" si="113"/>
        <v>#DIV/0!</v>
      </c>
      <c r="AL44" s="779" t="e">
        <f t="shared" si="101"/>
        <v>#DIV/0!</v>
      </c>
      <c r="AM44" s="771"/>
      <c r="AN44" s="770"/>
      <c r="AO44" s="771"/>
      <c r="AP44" s="771"/>
      <c r="AQ44" s="718" t="e">
        <f t="shared" si="114"/>
        <v>#DIV/0!</v>
      </c>
      <c r="AR44" s="772" t="e">
        <f t="shared" si="102"/>
        <v>#DIV/0!</v>
      </c>
      <c r="AS44" s="771"/>
      <c r="AT44" s="770"/>
      <c r="AU44" s="771"/>
      <c r="AV44" s="771"/>
      <c r="AW44" s="713" t="e">
        <f t="shared" si="115"/>
        <v>#DIV/0!</v>
      </c>
      <c r="AX44" s="779" t="e">
        <f t="shared" si="103"/>
        <v>#DIV/0!</v>
      </c>
      <c r="AY44" s="771">
        <v>9.59</v>
      </c>
      <c r="AZ44" s="770">
        <v>0.17899999999999999</v>
      </c>
      <c r="BA44" s="771">
        <v>10.01</v>
      </c>
      <c r="BB44" s="771">
        <v>0.13</v>
      </c>
      <c r="BC44" s="718">
        <f t="shared" si="116"/>
        <v>1.2987012987012988E-2</v>
      </c>
      <c r="BD44" s="772">
        <f t="shared" si="104"/>
        <v>1.0437956204379562</v>
      </c>
      <c r="BE44" s="771">
        <v>9.59</v>
      </c>
      <c r="BF44" s="770">
        <v>0.17899999999999999</v>
      </c>
      <c r="BG44" s="771">
        <v>10.14</v>
      </c>
      <c r="BH44" s="771">
        <v>0.13</v>
      </c>
      <c r="BI44" s="713">
        <f t="shared" si="105"/>
        <v>1.282051282051282E-2</v>
      </c>
      <c r="BJ44" s="779">
        <f t="shared" si="106"/>
        <v>1.0573514077163713</v>
      </c>
      <c r="BK44" s="771">
        <v>9.59</v>
      </c>
      <c r="BL44" s="770">
        <v>0.16700000000000001</v>
      </c>
      <c r="BM44" s="771">
        <v>10.039999999999999</v>
      </c>
      <c r="BN44" s="771">
        <v>0.12</v>
      </c>
      <c r="BO44" s="718">
        <f t="shared" si="107"/>
        <v>1.1952191235059761E-2</v>
      </c>
      <c r="BP44" s="772">
        <f t="shared" si="108"/>
        <v>1.0469238790406672</v>
      </c>
      <c r="BQ44" s="771">
        <v>9.59</v>
      </c>
      <c r="BR44" s="770">
        <v>0.16309999999999999</v>
      </c>
      <c r="BS44" s="771">
        <v>9.84</v>
      </c>
      <c r="BT44" s="771">
        <v>0.115</v>
      </c>
      <c r="BU44" s="713">
        <f t="shared" si="118"/>
        <v>1.16869918699187E-2</v>
      </c>
      <c r="BV44" s="779">
        <f t="shared" si="117"/>
        <v>1.0260688216892597</v>
      </c>
      <c r="BW44" s="771">
        <v>9.58</v>
      </c>
      <c r="BX44" s="770">
        <v>0.17130000000000001</v>
      </c>
      <c r="BY44" s="771">
        <v>9.49</v>
      </c>
      <c r="BZ44" s="771">
        <v>0.11</v>
      </c>
      <c r="CA44" s="718">
        <f>BZ44/BY44</f>
        <v>1.1591148577449946E-2</v>
      </c>
      <c r="CB44" s="772">
        <f t="shared" si="119"/>
        <v>0.99060542797494777</v>
      </c>
      <c r="CC44" s="725"/>
      <c r="CD44" s="725"/>
      <c r="CE44" s="725"/>
      <c r="CF44" s="720"/>
      <c r="CG44" s="720"/>
      <c r="CH44" s="720"/>
      <c r="CI44" s="720"/>
      <c r="CJ44" s="720"/>
      <c r="CK44" s="720"/>
      <c r="CL44" s="720"/>
      <c r="CM44" s="720"/>
      <c r="CN44" s="720"/>
      <c r="CO44" s="720"/>
      <c r="CP44" s="720"/>
      <c r="CQ44" s="720"/>
      <c r="CR44" s="720"/>
      <c r="CS44" s="720"/>
      <c r="CT44" s="720"/>
      <c r="CU44" s="720"/>
      <c r="CV44" s="720"/>
      <c r="CW44" s="720"/>
      <c r="CX44" s="720"/>
      <c r="CY44" s="720"/>
      <c r="CZ44" s="720"/>
      <c r="DA44" s="720"/>
      <c r="DB44" s="720"/>
      <c r="DC44" s="720"/>
      <c r="DD44" s="720"/>
      <c r="DE44" s="720"/>
      <c r="DF44" s="720"/>
      <c r="DG44" s="720"/>
      <c r="DH44" s="720"/>
      <c r="DI44" s="720"/>
      <c r="DJ44" s="720"/>
      <c r="DK44" s="720"/>
      <c r="DL44" s="720"/>
      <c r="DM44" s="720"/>
      <c r="DN44" s="720"/>
      <c r="DO44" s="720"/>
      <c r="DP44" s="720"/>
      <c r="DQ44" s="720"/>
      <c r="DR44" s="720"/>
    </row>
    <row r="45" spans="1:122" s="642" customFormat="1" ht="15.75">
      <c r="A45" s="720"/>
      <c r="B45" s="708" t="str">
        <f t="shared" si="95"/>
        <v>BBFI11</v>
      </c>
      <c r="C45" s="709">
        <f t="shared" si="96"/>
        <v>0</v>
      </c>
      <c r="D45" s="707">
        <f>AG67</f>
        <v>1</v>
      </c>
      <c r="E45" s="710">
        <f>AI67+C69</f>
        <v>0</v>
      </c>
      <c r="F45" s="720"/>
      <c r="G45" s="767" t="s">
        <v>641</v>
      </c>
      <c r="H45" s="716" t="str">
        <f>AA53</f>
        <v>VCRI11</v>
      </c>
      <c r="I45" s="771"/>
      <c r="J45" s="770"/>
      <c r="K45" s="771"/>
      <c r="L45" s="771"/>
      <c r="M45" s="713" t="e">
        <f t="shared" si="109"/>
        <v>#DIV/0!</v>
      </c>
      <c r="N45" s="779" t="e">
        <f t="shared" si="97"/>
        <v>#DIV/0!</v>
      </c>
      <c r="O45" s="771"/>
      <c r="P45" s="770"/>
      <c r="Q45" s="771"/>
      <c r="R45" s="771"/>
      <c r="S45" s="718" t="e">
        <f t="shared" si="110"/>
        <v>#DIV/0!</v>
      </c>
      <c r="T45" s="772" t="e">
        <f t="shared" si="98"/>
        <v>#DIV/0!</v>
      </c>
      <c r="U45" s="771"/>
      <c r="V45" s="770"/>
      <c r="W45" s="771"/>
      <c r="X45" s="771"/>
      <c r="Y45" s="713" t="e">
        <f t="shared" si="111"/>
        <v>#DIV/0!</v>
      </c>
      <c r="Z45" s="779" t="e">
        <f t="shared" si="99"/>
        <v>#DIV/0!</v>
      </c>
      <c r="AA45" s="771"/>
      <c r="AB45" s="770"/>
      <c r="AC45" s="771"/>
      <c r="AD45" s="771"/>
      <c r="AE45" s="718" t="e">
        <f t="shared" si="112"/>
        <v>#DIV/0!</v>
      </c>
      <c r="AF45" s="772" t="e">
        <f t="shared" si="100"/>
        <v>#DIV/0!</v>
      </c>
      <c r="AG45" s="771"/>
      <c r="AH45" s="770"/>
      <c r="AI45" s="771"/>
      <c r="AJ45" s="771"/>
      <c r="AK45" s="713" t="e">
        <f t="shared" si="113"/>
        <v>#DIV/0!</v>
      </c>
      <c r="AL45" s="779" t="e">
        <f t="shared" si="101"/>
        <v>#DIV/0!</v>
      </c>
      <c r="AM45" s="771"/>
      <c r="AN45" s="770"/>
      <c r="AO45" s="771"/>
      <c r="AP45" s="771"/>
      <c r="AQ45" s="718" t="e">
        <f t="shared" si="114"/>
        <v>#DIV/0!</v>
      </c>
      <c r="AR45" s="772" t="e">
        <f t="shared" si="102"/>
        <v>#DIV/0!</v>
      </c>
      <c r="AS45" s="771"/>
      <c r="AT45" s="770"/>
      <c r="AU45" s="771"/>
      <c r="AV45" s="771"/>
      <c r="AW45" s="713" t="e">
        <f t="shared" si="115"/>
        <v>#DIV/0!</v>
      </c>
      <c r="AX45" s="779" t="e">
        <f t="shared" si="103"/>
        <v>#DIV/0!</v>
      </c>
      <c r="AY45" s="771">
        <v>9.64</v>
      </c>
      <c r="AZ45" s="770">
        <v>0.15859999999999999</v>
      </c>
      <c r="BA45" s="771">
        <v>8.77</v>
      </c>
      <c r="BB45" s="771">
        <v>0.1</v>
      </c>
      <c r="BC45" s="718">
        <f t="shared" si="116"/>
        <v>1.1402508551881414E-2</v>
      </c>
      <c r="BD45" s="772">
        <f t="shared" si="104"/>
        <v>0.90975103734439822</v>
      </c>
      <c r="BE45" s="771">
        <v>9.6199999999999992</v>
      </c>
      <c r="BF45" s="770">
        <v>0.15759999999999999</v>
      </c>
      <c r="BG45" s="771">
        <v>8.64</v>
      </c>
      <c r="BH45" s="771">
        <v>0.09</v>
      </c>
      <c r="BI45" s="713">
        <f t="shared" si="105"/>
        <v>1.0416666666666666E-2</v>
      </c>
      <c r="BJ45" s="779">
        <f t="shared" si="106"/>
        <v>0.89812889812889829</v>
      </c>
      <c r="BK45" s="771">
        <v>9.6199999999999992</v>
      </c>
      <c r="BL45" s="770">
        <v>0.1547</v>
      </c>
      <c r="BM45" s="771">
        <v>8.31</v>
      </c>
      <c r="BN45" s="771">
        <v>7.4999999999999997E-2</v>
      </c>
      <c r="BO45" s="718">
        <f t="shared" si="107"/>
        <v>9.0252707581227436E-3</v>
      </c>
      <c r="BP45" s="772">
        <f t="shared" si="108"/>
        <v>0.8638253638253639</v>
      </c>
      <c r="BQ45" s="771">
        <v>9.52</v>
      </c>
      <c r="BR45" s="770">
        <v>0.1547</v>
      </c>
      <c r="BS45" s="771">
        <v>8.2200000000000006</v>
      </c>
      <c r="BT45" s="771">
        <v>0.08</v>
      </c>
      <c r="BU45" s="713">
        <f t="shared" si="118"/>
        <v>9.7323600973236012E-3</v>
      </c>
      <c r="BV45" s="779">
        <f t="shared" si="117"/>
        <v>0.86344537815126066</v>
      </c>
      <c r="BW45" s="771">
        <v>9.6300000000000008</v>
      </c>
      <c r="BX45" s="770">
        <v>0.1484</v>
      </c>
      <c r="BY45" s="771">
        <v>8.0500000000000007</v>
      </c>
      <c r="BZ45" s="771">
        <v>0.08</v>
      </c>
      <c r="CA45" s="718">
        <f>BZ45/BY45</f>
        <v>9.9378881987577626E-3</v>
      </c>
      <c r="CB45" s="772">
        <f t="shared" si="119"/>
        <v>0.83592938733125655</v>
      </c>
      <c r="CC45" s="725"/>
      <c r="CD45" s="725"/>
      <c r="CE45" s="725"/>
      <c r="CF45" s="720"/>
      <c r="CG45" s="720"/>
      <c r="CH45" s="720"/>
      <c r="CI45" s="720"/>
      <c r="CJ45" s="720"/>
      <c r="CK45" s="720"/>
      <c r="CL45" s="720"/>
      <c r="CM45" s="720"/>
      <c r="CN45" s="720"/>
      <c r="CO45" s="720"/>
      <c r="CP45" s="720"/>
      <c r="CQ45" s="720"/>
      <c r="CR45" s="720"/>
      <c r="CS45" s="720"/>
      <c r="CT45" s="720"/>
      <c r="CU45" s="720"/>
      <c r="CV45" s="720"/>
      <c r="CW45" s="720"/>
      <c r="CX45" s="720"/>
      <c r="CY45" s="720"/>
      <c r="CZ45" s="720"/>
      <c r="DA45" s="720"/>
      <c r="DB45" s="720"/>
      <c r="DC45" s="720"/>
      <c r="DD45" s="720"/>
      <c r="DE45" s="720"/>
      <c r="DF45" s="720"/>
      <c r="DG45" s="720"/>
      <c r="DH45" s="720"/>
      <c r="DI45" s="720"/>
      <c r="DJ45" s="720"/>
      <c r="DK45" s="720"/>
      <c r="DL45" s="720"/>
      <c r="DM45" s="720"/>
      <c r="DN45" s="720"/>
      <c r="DO45" s="720"/>
      <c r="DP45" s="720"/>
      <c r="DQ45" s="720"/>
      <c r="DR45" s="720"/>
    </row>
    <row r="46" spans="1:122" s="642" customFormat="1" ht="15.75">
      <c r="A46" s="720"/>
      <c r="B46" s="708" t="str">
        <f t="shared" si="95"/>
        <v>RBOP11</v>
      </c>
      <c r="C46" s="709">
        <f t="shared" si="96"/>
        <v>0</v>
      </c>
      <c r="D46" s="707">
        <f>AL67</f>
        <v>1</v>
      </c>
      <c r="E46" s="710">
        <f>AN67+C70</f>
        <v>0</v>
      </c>
      <c r="F46" s="720"/>
      <c r="G46" s="767" t="s">
        <v>642</v>
      </c>
      <c r="H46" s="716" t="str">
        <f>AF53</f>
        <v>BBFI11</v>
      </c>
      <c r="I46" s="771"/>
      <c r="J46" s="770"/>
      <c r="K46" s="771"/>
      <c r="L46" s="771"/>
      <c r="M46" s="713" t="e">
        <f t="shared" si="109"/>
        <v>#DIV/0!</v>
      </c>
      <c r="N46" s="779" t="e">
        <f t="shared" si="97"/>
        <v>#DIV/0!</v>
      </c>
      <c r="O46" s="771"/>
      <c r="P46" s="770"/>
      <c r="Q46" s="771"/>
      <c r="R46" s="771"/>
      <c r="S46" s="718" t="e">
        <f t="shared" si="110"/>
        <v>#DIV/0!</v>
      </c>
      <c r="T46" s="772" t="e">
        <f t="shared" si="98"/>
        <v>#DIV/0!</v>
      </c>
      <c r="U46" s="771"/>
      <c r="V46" s="770"/>
      <c r="W46" s="771"/>
      <c r="X46" s="771"/>
      <c r="Y46" s="713" t="e">
        <f t="shared" si="111"/>
        <v>#DIV/0!</v>
      </c>
      <c r="Z46" s="779" t="e">
        <f t="shared" si="99"/>
        <v>#DIV/0!</v>
      </c>
      <c r="AA46" s="771"/>
      <c r="AB46" s="770"/>
      <c r="AC46" s="771"/>
      <c r="AD46" s="771"/>
      <c r="AE46" s="718" t="e">
        <f t="shared" si="112"/>
        <v>#DIV/0!</v>
      </c>
      <c r="AF46" s="772" t="e">
        <f t="shared" si="100"/>
        <v>#DIV/0!</v>
      </c>
      <c r="AG46" s="771"/>
      <c r="AH46" s="770"/>
      <c r="AI46" s="771"/>
      <c r="AJ46" s="771"/>
      <c r="AK46" s="713" t="e">
        <f t="shared" si="113"/>
        <v>#DIV/0!</v>
      </c>
      <c r="AL46" s="779" t="e">
        <f t="shared" si="101"/>
        <v>#DIV/0!</v>
      </c>
      <c r="AM46" s="771"/>
      <c r="AN46" s="770"/>
      <c r="AO46" s="771"/>
      <c r="AP46" s="771"/>
      <c r="AQ46" s="718" t="e">
        <f t="shared" si="114"/>
        <v>#DIV/0!</v>
      </c>
      <c r="AR46" s="772" t="e">
        <f t="shared" si="102"/>
        <v>#DIV/0!</v>
      </c>
      <c r="AS46" s="771"/>
      <c r="AT46" s="770"/>
      <c r="AU46" s="771"/>
      <c r="AV46" s="771"/>
      <c r="AW46" s="713" t="e">
        <f t="shared" si="115"/>
        <v>#DIV/0!</v>
      </c>
      <c r="AX46" s="779" t="e">
        <f t="shared" si="103"/>
        <v>#DIV/0!</v>
      </c>
      <c r="AY46" s="771">
        <v>2147</v>
      </c>
      <c r="AZ46" s="770">
        <v>0.24329999999999999</v>
      </c>
      <c r="BA46" s="771">
        <v>1120.5</v>
      </c>
      <c r="BB46" s="771">
        <v>6.21</v>
      </c>
      <c r="BC46" s="718">
        <f t="shared" si="116"/>
        <v>5.5421686746987952E-3</v>
      </c>
      <c r="BD46" s="772">
        <f t="shared" si="104"/>
        <v>0.52189101071262223</v>
      </c>
      <c r="BE46" s="771">
        <v>2147.7199999999998</v>
      </c>
      <c r="BF46" s="770">
        <v>0.24360000000000001</v>
      </c>
      <c r="BG46" s="771">
        <v>998</v>
      </c>
      <c r="BH46" s="771">
        <v>7.73</v>
      </c>
      <c r="BI46" s="713">
        <f t="shared" si="105"/>
        <v>7.7454909819639284E-3</v>
      </c>
      <c r="BJ46" s="779">
        <f t="shared" si="106"/>
        <v>0.46467882219283707</v>
      </c>
      <c r="BK46" s="771">
        <v>2147.7199999999998</v>
      </c>
      <c r="BL46" s="770">
        <v>0.22589999999999999</v>
      </c>
      <c r="BM46" s="771">
        <v>969</v>
      </c>
      <c r="BN46" s="771">
        <v>7.59</v>
      </c>
      <c r="BO46" s="718">
        <f t="shared" ref="BO46:BO47" si="121">BN46/BM46</f>
        <v>7.8328173374613008E-3</v>
      </c>
      <c r="BP46" s="772">
        <f t="shared" ref="BP46:BP47" si="122">BM46/BK46</f>
        <v>0.45117613096679271</v>
      </c>
      <c r="BQ46" s="771">
        <v>2147.94</v>
      </c>
      <c r="BR46" s="770">
        <v>0.2356</v>
      </c>
      <c r="BS46" s="771">
        <v>922.98</v>
      </c>
      <c r="BT46" s="771">
        <v>7.39</v>
      </c>
      <c r="BU46" s="713">
        <f t="shared" si="118"/>
        <v>8.0066740341069136E-3</v>
      </c>
      <c r="BV46" s="779">
        <f t="shared" si="117"/>
        <v>0.42970474035587586</v>
      </c>
      <c r="BW46" s="771">
        <v>2147.98</v>
      </c>
      <c r="BX46" s="770">
        <v>0.15870000000000001</v>
      </c>
      <c r="BY46" s="771">
        <v>1113.5</v>
      </c>
      <c r="BZ46" s="771">
        <v>7.21</v>
      </c>
      <c r="CA46" s="718">
        <f>BZ46/BY46</f>
        <v>6.4750785810507409E-3</v>
      </c>
      <c r="CB46" s="772">
        <f t="shared" si="119"/>
        <v>0.51839402601513984</v>
      </c>
      <c r="CC46" s="725"/>
      <c r="CD46" s="725"/>
      <c r="CE46" s="725"/>
      <c r="CF46" s="720"/>
      <c r="CG46" s="720"/>
      <c r="CH46" s="720"/>
      <c r="CI46" s="720"/>
      <c r="CJ46" s="720"/>
      <c r="CK46" s="720"/>
      <c r="CL46" s="720"/>
      <c r="CM46" s="720"/>
      <c r="CN46" s="720"/>
      <c r="CO46" s="720"/>
      <c r="CP46" s="720"/>
      <c r="CQ46" s="720"/>
      <c r="CR46" s="720"/>
      <c r="CS46" s="720"/>
      <c r="CT46" s="720"/>
      <c r="CU46" s="720"/>
      <c r="CV46" s="720"/>
      <c r="CW46" s="720"/>
      <c r="CX46" s="720"/>
      <c r="CY46" s="720"/>
      <c r="CZ46" s="720"/>
      <c r="DA46" s="720"/>
      <c r="DB46" s="720"/>
      <c r="DC46" s="720"/>
      <c r="DD46" s="720"/>
      <c r="DE46" s="720"/>
      <c r="DF46" s="720"/>
      <c r="DG46" s="720"/>
      <c r="DH46" s="720"/>
      <c r="DI46" s="720"/>
      <c r="DJ46" s="720"/>
      <c r="DK46" s="720"/>
      <c r="DL46" s="720"/>
      <c r="DM46" s="720"/>
      <c r="DN46" s="720"/>
      <c r="DO46" s="720"/>
      <c r="DP46" s="720"/>
      <c r="DQ46" s="720"/>
      <c r="DR46" s="720"/>
    </row>
    <row r="47" spans="1:122" s="642" customFormat="1" ht="15.75">
      <c r="A47" s="720"/>
      <c r="B47" s="720"/>
      <c r="C47" s="1010" t="s">
        <v>45</v>
      </c>
      <c r="D47" s="1010"/>
      <c r="E47" s="711">
        <f>SUM(E31:E46)+E49+E52</f>
        <v>27408.789000000001</v>
      </c>
      <c r="F47" s="720"/>
      <c r="G47" s="767" t="s">
        <v>643</v>
      </c>
      <c r="H47" s="716" t="str">
        <f>AK53</f>
        <v>RBOP11</v>
      </c>
      <c r="I47" s="771"/>
      <c r="J47" s="770"/>
      <c r="K47" s="771"/>
      <c r="L47" s="771"/>
      <c r="M47" s="713" t="e">
        <f t="shared" si="109"/>
        <v>#DIV/0!</v>
      </c>
      <c r="N47" s="779" t="e">
        <f>K47/I47</f>
        <v>#DIV/0!</v>
      </c>
      <c r="O47" s="771"/>
      <c r="P47" s="770"/>
      <c r="Q47" s="771"/>
      <c r="R47" s="771"/>
      <c r="S47" s="718" t="e">
        <f t="shared" si="110"/>
        <v>#DIV/0!</v>
      </c>
      <c r="T47" s="772" t="e">
        <f>Q47/O47</f>
        <v>#DIV/0!</v>
      </c>
      <c r="U47" s="771"/>
      <c r="V47" s="770"/>
      <c r="W47" s="771"/>
      <c r="X47" s="771"/>
      <c r="Y47" s="713" t="e">
        <f t="shared" si="111"/>
        <v>#DIV/0!</v>
      </c>
      <c r="Z47" s="779" t="e">
        <f>W47/U47</f>
        <v>#DIV/0!</v>
      </c>
      <c r="AA47" s="771"/>
      <c r="AB47" s="770"/>
      <c r="AC47" s="771"/>
      <c r="AD47" s="771"/>
      <c r="AE47" s="718" t="e">
        <f t="shared" si="112"/>
        <v>#DIV/0!</v>
      </c>
      <c r="AF47" s="772" t="e">
        <f>AC47/AA47</f>
        <v>#DIV/0!</v>
      </c>
      <c r="AG47" s="771"/>
      <c r="AH47" s="770"/>
      <c r="AI47" s="771"/>
      <c r="AJ47" s="771"/>
      <c r="AK47" s="713" t="e">
        <f t="shared" si="113"/>
        <v>#DIV/0!</v>
      </c>
      <c r="AL47" s="779" t="e">
        <f>AI47/AG47</f>
        <v>#DIV/0!</v>
      </c>
      <c r="AM47" s="771"/>
      <c r="AN47" s="770"/>
      <c r="AO47" s="771"/>
      <c r="AP47" s="771"/>
      <c r="AQ47" s="718" t="e">
        <f t="shared" si="114"/>
        <v>#DIV/0!</v>
      </c>
      <c r="AR47" s="772" t="e">
        <f>AO47/AM47</f>
        <v>#DIV/0!</v>
      </c>
      <c r="AS47" s="771"/>
      <c r="AT47" s="770"/>
      <c r="AU47" s="771"/>
      <c r="AV47" s="771"/>
      <c r="AW47" s="713" t="e">
        <f t="shared" si="115"/>
        <v>#DIV/0!</v>
      </c>
      <c r="AX47" s="779" t="e">
        <f>AU47/AS47</f>
        <v>#DIV/0!</v>
      </c>
      <c r="AY47" s="771">
        <v>770.86</v>
      </c>
      <c r="AZ47" s="770">
        <v>0.3397</v>
      </c>
      <c r="BA47" s="771">
        <v>340</v>
      </c>
      <c r="BB47" s="771">
        <v>2.4</v>
      </c>
      <c r="BC47" s="718">
        <f t="shared" si="116"/>
        <v>7.0588235294117641E-3</v>
      </c>
      <c r="BD47" s="772">
        <f>BA47/AY47</f>
        <v>0.44106582258775912</v>
      </c>
      <c r="BE47" s="771">
        <v>844.81</v>
      </c>
      <c r="BF47" s="770">
        <v>0.32900000000000001</v>
      </c>
      <c r="BG47" s="771">
        <v>312.01</v>
      </c>
      <c r="BH47" s="771">
        <v>2.4</v>
      </c>
      <c r="BI47" s="713">
        <f t="shared" si="105"/>
        <v>7.6920611518861573E-3</v>
      </c>
      <c r="BJ47" s="779">
        <f>BG47/BE47</f>
        <v>0.36932564718694144</v>
      </c>
      <c r="BK47" s="771">
        <v>841.88</v>
      </c>
      <c r="BL47" s="770">
        <v>0.32250000000000001</v>
      </c>
      <c r="BM47" s="771">
        <v>294</v>
      </c>
      <c r="BN47" s="771">
        <v>2.4</v>
      </c>
      <c r="BO47" s="718">
        <f t="shared" si="121"/>
        <v>8.163265306122448E-3</v>
      </c>
      <c r="BP47" s="772">
        <f t="shared" si="122"/>
        <v>0.34921841592626029</v>
      </c>
      <c r="BQ47" s="771">
        <v>839.84</v>
      </c>
      <c r="BR47" s="770">
        <v>0.31519999999999998</v>
      </c>
      <c r="BS47" s="771">
        <v>282.99</v>
      </c>
      <c r="BT47" s="771">
        <v>2.4</v>
      </c>
      <c r="BU47" s="713">
        <f t="shared" si="118"/>
        <v>8.4808650482349202E-3</v>
      </c>
      <c r="BV47" s="779">
        <f>BS47/BQ47</f>
        <v>0.33695703943608307</v>
      </c>
      <c r="BW47" s="771">
        <v>836.09</v>
      </c>
      <c r="BX47" s="770">
        <v>0.2157</v>
      </c>
      <c r="BY47" s="771">
        <v>251.4</v>
      </c>
      <c r="BZ47" s="771">
        <v>4.5</v>
      </c>
      <c r="CA47" s="718">
        <f>BZ47/BY47</f>
        <v>1.7899761336515514E-2</v>
      </c>
      <c r="CB47" s="772">
        <f>BY47/BW47</f>
        <v>0.30068533291870492</v>
      </c>
      <c r="CC47" s="725"/>
      <c r="CD47" s="725"/>
      <c r="CE47" s="725"/>
      <c r="CF47" s="720"/>
      <c r="CG47" s="720"/>
      <c r="CH47" s="720"/>
      <c r="CI47" s="720"/>
      <c r="CJ47" s="720"/>
      <c r="CK47" s="720"/>
      <c r="CL47" s="720"/>
      <c r="CM47" s="720"/>
      <c r="CN47" s="720"/>
      <c r="CO47" s="720"/>
      <c r="CP47" s="720"/>
      <c r="CQ47" s="720"/>
      <c r="CR47" s="720"/>
      <c r="CS47" s="720"/>
      <c r="CT47" s="720"/>
      <c r="CU47" s="720"/>
      <c r="CV47" s="720"/>
      <c r="CW47" s="720"/>
      <c r="CX47" s="720"/>
      <c r="CY47" s="720"/>
      <c r="CZ47" s="720"/>
      <c r="DA47" s="720"/>
      <c r="DB47" s="720"/>
      <c r="DC47" s="720"/>
      <c r="DD47" s="720"/>
      <c r="DE47" s="720"/>
      <c r="DF47" s="720"/>
      <c r="DG47" s="720"/>
      <c r="DH47" s="720"/>
      <c r="DI47" s="720"/>
      <c r="DJ47" s="720"/>
      <c r="DK47" s="720"/>
      <c r="DL47" s="720"/>
      <c r="DM47" s="720"/>
      <c r="DN47" s="720"/>
      <c r="DO47" s="720"/>
      <c r="DP47" s="720"/>
      <c r="DQ47" s="720"/>
      <c r="DR47" s="720"/>
    </row>
    <row r="48" spans="1:122" s="720" customFormat="1" ht="15.75">
      <c r="CC48" s="725"/>
      <c r="CD48" s="725"/>
      <c r="CE48" s="725"/>
    </row>
    <row r="49" spans="1:146" s="642" customFormat="1" ht="15.75">
      <c r="A49" s="720"/>
      <c r="B49" s="731" t="s">
        <v>623</v>
      </c>
      <c r="C49" s="732">
        <f>E49/D49</f>
        <v>103.33</v>
      </c>
      <c r="D49" s="731">
        <v>1</v>
      </c>
      <c r="E49" s="732">
        <v>103.33</v>
      </c>
      <c r="F49" s="720"/>
      <c r="G49" s="720"/>
      <c r="H49" s="720"/>
      <c r="I49" s="720"/>
      <c r="J49" s="720"/>
      <c r="K49" s="720"/>
      <c r="L49" s="720"/>
      <c r="M49" s="720"/>
      <c r="N49" s="720"/>
      <c r="O49" s="720"/>
      <c r="P49" s="720"/>
      <c r="Q49" s="720"/>
      <c r="R49" s="720"/>
      <c r="S49" s="720"/>
      <c r="T49" s="720"/>
      <c r="U49" s="720"/>
      <c r="V49" s="720"/>
      <c r="W49" s="720"/>
      <c r="X49" s="720"/>
      <c r="Y49" s="720"/>
      <c r="Z49" s="720"/>
      <c r="AA49" s="720"/>
      <c r="AB49" s="720"/>
      <c r="AC49" s="720"/>
      <c r="AD49" s="720"/>
      <c r="AE49" s="720"/>
      <c r="AF49" s="720"/>
      <c r="AG49" s="720"/>
      <c r="AH49" s="720"/>
      <c r="AI49" s="720"/>
      <c r="AJ49" s="720"/>
      <c r="AK49" s="720"/>
      <c r="AL49" s="720"/>
      <c r="AM49" s="720"/>
      <c r="AN49" s="720"/>
      <c r="AO49" s="720"/>
      <c r="AP49" s="720"/>
      <c r="AQ49" s="720"/>
      <c r="AR49" s="720"/>
      <c r="AS49" s="720"/>
      <c r="AT49" s="720"/>
      <c r="AU49" s="720"/>
      <c r="AV49" s="720"/>
      <c r="AW49" s="720"/>
      <c r="AX49" s="720"/>
      <c r="AY49" s="720"/>
      <c r="AZ49" s="720"/>
      <c r="BA49" s="720"/>
      <c r="BB49" s="720"/>
      <c r="BC49" s="720"/>
      <c r="BD49" s="720"/>
      <c r="BE49" s="720"/>
      <c r="BF49" s="720"/>
      <c r="BG49" s="720"/>
      <c r="BH49" s="720"/>
      <c r="BI49" s="720"/>
      <c r="BJ49" s="720"/>
      <c r="BK49" s="720"/>
      <c r="BL49" s="720"/>
      <c r="BM49" s="720"/>
      <c r="BN49" s="720"/>
      <c r="BO49" s="720"/>
      <c r="BP49" s="720"/>
      <c r="BQ49" s="720"/>
      <c r="BR49" s="720"/>
      <c r="BS49" s="720"/>
      <c r="BT49" s="720"/>
      <c r="BU49" s="720"/>
      <c r="BV49" s="720"/>
      <c r="BW49" s="720"/>
      <c r="BX49" s="720"/>
      <c r="BY49" s="720"/>
      <c r="BZ49" s="720"/>
      <c r="CA49" s="720"/>
      <c r="CB49" s="720"/>
      <c r="CC49" s="725"/>
      <c r="CD49" s="725"/>
      <c r="CE49" s="725"/>
      <c r="CF49" s="720"/>
      <c r="CG49" s="720"/>
      <c r="CH49" s="720"/>
      <c r="CI49" s="720"/>
      <c r="CJ49" s="720"/>
      <c r="CK49" s="720"/>
      <c r="CL49" s="720"/>
      <c r="CM49" s="720"/>
      <c r="CN49" s="720"/>
      <c r="CO49" s="720"/>
      <c r="CP49" s="720"/>
      <c r="CQ49" s="720"/>
      <c r="CR49" s="720"/>
      <c r="CS49" s="720"/>
      <c r="CT49" s="720"/>
      <c r="CU49" s="720"/>
      <c r="CV49" s="720"/>
      <c r="CW49" s="720"/>
      <c r="CX49" s="720"/>
      <c r="CY49" s="720"/>
      <c r="CZ49" s="720"/>
      <c r="DA49" s="720"/>
      <c r="DB49" s="720"/>
      <c r="DC49" s="720"/>
      <c r="DD49" s="720"/>
      <c r="DE49" s="720"/>
      <c r="DF49" s="720"/>
      <c r="DG49" s="720"/>
      <c r="DH49" s="720"/>
      <c r="DI49" s="720"/>
      <c r="DJ49" s="720"/>
      <c r="DK49" s="720"/>
      <c r="DL49" s="720"/>
      <c r="DM49" s="720"/>
      <c r="DN49" s="720"/>
      <c r="DO49" s="720"/>
      <c r="DP49" s="720"/>
      <c r="DQ49" s="720"/>
      <c r="DR49" s="720"/>
      <c r="DS49" s="720"/>
      <c r="DT49" s="720"/>
      <c r="DU49" s="720"/>
      <c r="DV49" s="720"/>
      <c r="DW49" s="720"/>
      <c r="DX49" s="720"/>
      <c r="DY49" s="720"/>
      <c r="DZ49" s="720"/>
      <c r="EA49" s="720"/>
      <c r="EB49" s="720"/>
      <c r="EC49" s="720"/>
      <c r="ED49" s="720"/>
      <c r="EE49" s="720"/>
      <c r="EF49" s="720"/>
      <c r="EG49" s="720"/>
      <c r="EH49" s="720"/>
      <c r="EI49" s="720"/>
      <c r="EJ49" s="720"/>
      <c r="EK49" s="720"/>
      <c r="EL49" s="720"/>
      <c r="EM49" s="720"/>
      <c r="EN49" s="720"/>
      <c r="EO49" s="720"/>
      <c r="EP49" s="720"/>
    </row>
    <row r="50" spans="1:146" s="642" customFormat="1" ht="15.75">
      <c r="A50" s="720"/>
      <c r="B50" s="731"/>
      <c r="C50" s="732"/>
      <c r="D50" s="731"/>
      <c r="E50" s="732"/>
      <c r="F50" s="720"/>
      <c r="G50" s="720"/>
      <c r="H50" s="720"/>
      <c r="I50" s="720"/>
      <c r="J50" s="720"/>
      <c r="K50" s="720"/>
      <c r="L50" s="720"/>
      <c r="M50" s="720"/>
      <c r="N50" s="720"/>
      <c r="O50" s="720"/>
      <c r="P50" s="720"/>
      <c r="Q50" s="720"/>
      <c r="R50" s="720"/>
      <c r="S50" s="720"/>
      <c r="T50" s="720"/>
      <c r="U50" s="720"/>
      <c r="V50" s="720"/>
      <c r="W50" s="720"/>
      <c r="X50" s="720"/>
      <c r="Y50" s="720"/>
      <c r="Z50" s="720"/>
      <c r="AA50" s="720"/>
      <c r="AB50" s="720"/>
      <c r="AC50" s="720"/>
      <c r="AD50" s="720"/>
      <c r="AE50" s="720"/>
      <c r="AF50" s="720"/>
      <c r="AG50" s="720"/>
      <c r="AH50" s="720"/>
      <c r="AI50" s="720"/>
      <c r="AJ50" s="720"/>
      <c r="AK50" s="720"/>
      <c r="AL50" s="720"/>
      <c r="AM50" s="720"/>
      <c r="AN50" s="720"/>
      <c r="AO50" s="720"/>
      <c r="AP50" s="720"/>
      <c r="AQ50" s="720"/>
      <c r="AR50" s="720"/>
      <c r="AS50" s="720"/>
      <c r="AT50" s="720"/>
      <c r="AU50" s="720"/>
      <c r="AV50" s="720"/>
      <c r="AW50" s="720"/>
      <c r="AX50" s="720"/>
      <c r="AY50" s="720"/>
      <c r="AZ50" s="720"/>
      <c r="BA50" s="720"/>
      <c r="BB50" s="720"/>
      <c r="BC50" s="720"/>
      <c r="BD50" s="720"/>
      <c r="BE50" s="720"/>
      <c r="BF50" s="725"/>
      <c r="BG50" s="1127"/>
      <c r="BH50" s="1127"/>
      <c r="BI50" s="725"/>
      <c r="BJ50" s="725"/>
      <c r="BK50" s="725"/>
      <c r="BL50" s="725"/>
      <c r="BM50" s="725"/>
      <c r="BN50" s="725"/>
      <c r="BO50" s="725"/>
      <c r="BP50" s="725"/>
      <c r="BQ50" s="725"/>
      <c r="BR50" s="725"/>
      <c r="BS50" s="725"/>
      <c r="BT50" s="725"/>
      <c r="BU50" s="725"/>
      <c r="BV50" s="725"/>
      <c r="BW50" s="725"/>
      <c r="BX50" s="725"/>
      <c r="BY50" s="725"/>
      <c r="BZ50" s="725"/>
      <c r="CA50" s="725"/>
      <c r="CB50" s="725"/>
      <c r="CC50" s="725"/>
      <c r="CD50" s="725"/>
      <c r="CE50" s="725"/>
      <c r="CF50" s="720"/>
      <c r="CG50" s="720"/>
      <c r="CH50" s="720"/>
      <c r="CI50" s="720"/>
      <c r="CJ50" s="720"/>
      <c r="CK50" s="720"/>
      <c r="CL50" s="720"/>
      <c r="CM50" s="720"/>
      <c r="CN50" s="720"/>
      <c r="CO50" s="720"/>
      <c r="CP50" s="720"/>
      <c r="CQ50" s="720"/>
      <c r="CR50" s="720"/>
      <c r="CS50" s="720"/>
      <c r="CT50" s="720"/>
      <c r="CU50" s="720"/>
      <c r="CV50" s="720"/>
      <c r="CW50" s="720"/>
      <c r="CX50" s="720"/>
      <c r="CY50" s="720"/>
      <c r="CZ50" s="720"/>
      <c r="DA50" s="720"/>
      <c r="DB50" s="720"/>
      <c r="DC50" s="720"/>
      <c r="DD50" s="720"/>
      <c r="DE50" s="720"/>
      <c r="DF50" s="720"/>
      <c r="DG50" s="720"/>
      <c r="DH50" s="720"/>
      <c r="DI50" s="720"/>
      <c r="DJ50" s="720"/>
      <c r="DK50" s="720"/>
      <c r="DL50" s="720"/>
      <c r="DM50" s="720"/>
      <c r="DN50" s="720"/>
      <c r="DO50" s="720"/>
      <c r="DP50" s="720"/>
      <c r="DQ50" s="720"/>
      <c r="DR50" s="720"/>
      <c r="DS50" s="720"/>
      <c r="DT50" s="720"/>
      <c r="DU50" s="720"/>
      <c r="DV50" s="720"/>
      <c r="DW50" s="720"/>
      <c r="DX50" s="720"/>
      <c r="DY50" s="720"/>
      <c r="DZ50" s="720"/>
      <c r="EA50" s="720"/>
      <c r="EB50" s="720"/>
      <c r="EC50" s="720"/>
      <c r="ED50" s="720"/>
      <c r="EE50" s="720"/>
      <c r="EF50" s="720"/>
      <c r="EG50" s="720"/>
      <c r="EH50" s="720"/>
      <c r="EI50" s="720"/>
      <c r="EJ50" s="720"/>
      <c r="EK50" s="720"/>
      <c r="EL50" s="720"/>
      <c r="EM50" s="720"/>
      <c r="EN50" s="720"/>
      <c r="EO50" s="720"/>
      <c r="EP50" s="720"/>
    </row>
    <row r="51" spans="1:146" s="642" customFormat="1" ht="16.5" thickBot="1">
      <c r="A51" s="720"/>
      <c r="B51" s="731"/>
      <c r="C51" s="732"/>
      <c r="D51" s="731"/>
      <c r="E51" s="732"/>
      <c r="F51" s="720"/>
      <c r="G51" s="720"/>
      <c r="H51" s="720"/>
      <c r="I51" s="720"/>
      <c r="J51" s="720"/>
      <c r="K51" s="720"/>
      <c r="L51" s="720"/>
      <c r="M51" s="720"/>
      <c r="N51" s="720"/>
      <c r="O51" s="720"/>
      <c r="P51" s="720"/>
      <c r="Q51" s="720"/>
      <c r="R51" s="720"/>
      <c r="S51" s="720"/>
      <c r="T51" s="720"/>
      <c r="U51" s="720"/>
      <c r="V51" s="720"/>
      <c r="W51" s="720"/>
      <c r="X51" s="720"/>
      <c r="Y51" s="720"/>
      <c r="Z51" s="720"/>
      <c r="AA51" s="720"/>
      <c r="AB51" s="720"/>
      <c r="AC51" s="720"/>
      <c r="AD51" s="720"/>
      <c r="AE51" s="720"/>
      <c r="AF51" s="720"/>
      <c r="AG51" s="720"/>
      <c r="AH51" s="720"/>
      <c r="AI51" s="720"/>
      <c r="AJ51" s="720"/>
      <c r="AK51" s="720"/>
      <c r="AL51" s="720"/>
      <c r="AM51" s="720"/>
      <c r="AN51" s="720"/>
      <c r="AO51" s="720"/>
      <c r="AP51" s="720"/>
      <c r="AQ51" s="720"/>
      <c r="AR51" s="720"/>
      <c r="AS51" s="720"/>
      <c r="AT51" s="720"/>
      <c r="AU51" s="720"/>
      <c r="AV51" s="720"/>
      <c r="AW51" s="720"/>
      <c r="AX51" s="720"/>
      <c r="AY51" s="720"/>
      <c r="AZ51" s="720"/>
      <c r="BA51" s="720"/>
      <c r="BB51" s="720"/>
      <c r="BC51" s="720"/>
      <c r="BD51" s="720"/>
      <c r="BE51" s="720"/>
      <c r="BF51" s="725"/>
      <c r="BG51" s="725"/>
      <c r="BH51" s="725"/>
      <c r="BI51" s="725"/>
      <c r="BJ51" s="725"/>
      <c r="BK51" s="725"/>
      <c r="BL51" s="725"/>
      <c r="BM51" s="725"/>
      <c r="BN51" s="725"/>
      <c r="BO51" s="725"/>
      <c r="BP51" s="725"/>
      <c r="BQ51" s="725"/>
      <c r="BR51" s="725"/>
      <c r="BS51" s="725"/>
      <c r="BT51" s="725"/>
      <c r="BU51" s="725"/>
      <c r="BV51" s="725"/>
      <c r="BW51" s="725"/>
      <c r="BX51" s="725"/>
      <c r="BY51" s="725"/>
      <c r="BZ51" s="725"/>
      <c r="CA51" s="725"/>
      <c r="CB51" s="725"/>
      <c r="CC51" s="725"/>
      <c r="CD51" s="725"/>
      <c r="CE51" s="725"/>
      <c r="CF51" s="720"/>
      <c r="CG51" s="720"/>
      <c r="CH51" s="720"/>
      <c r="CI51" s="720"/>
      <c r="CJ51" s="720"/>
      <c r="CK51" s="720"/>
      <c r="CL51" s="720"/>
      <c r="CM51" s="720"/>
      <c r="CN51" s="720"/>
      <c r="CO51" s="720"/>
      <c r="CP51" s="720"/>
      <c r="CQ51" s="720"/>
      <c r="CR51" s="720"/>
      <c r="CS51" s="720"/>
      <c r="CT51" s="720"/>
      <c r="CU51" s="720"/>
      <c r="CV51" s="720"/>
      <c r="CW51" s="720"/>
      <c r="CX51" s="720"/>
      <c r="CY51" s="720"/>
      <c r="CZ51" s="720"/>
      <c r="DA51" s="720"/>
      <c r="DB51" s="720"/>
      <c r="DC51" s="720"/>
      <c r="DD51" s="720"/>
      <c r="DE51" s="720"/>
      <c r="DF51" s="720"/>
      <c r="DG51" s="720"/>
      <c r="DH51" s="720"/>
      <c r="DI51" s="720"/>
      <c r="DJ51" s="720"/>
      <c r="DK51" s="720"/>
      <c r="DL51" s="720"/>
      <c r="DM51" s="720"/>
      <c r="DN51" s="720"/>
      <c r="DO51" s="720"/>
      <c r="DP51" s="720"/>
      <c r="DQ51" s="720"/>
      <c r="DR51" s="720"/>
      <c r="DS51" s="720"/>
      <c r="DT51" s="720"/>
      <c r="DU51" s="720"/>
      <c r="DV51" s="720"/>
      <c r="DW51" s="720"/>
      <c r="DX51" s="720"/>
      <c r="DY51" s="720"/>
      <c r="DZ51" s="720"/>
      <c r="EA51" s="720"/>
      <c r="EB51" s="720"/>
      <c r="EC51" s="720"/>
      <c r="ED51" s="720"/>
      <c r="EE51" s="720"/>
      <c r="EF51" s="720"/>
      <c r="EG51" s="720"/>
      <c r="EH51" s="720"/>
      <c r="EI51" s="720"/>
      <c r="EJ51" s="720"/>
      <c r="EK51" s="720"/>
      <c r="EL51" s="720"/>
      <c r="EM51" s="720"/>
      <c r="EN51" s="720"/>
      <c r="EO51" s="720"/>
      <c r="EP51" s="720"/>
    </row>
    <row r="52" spans="1:146" s="642" customFormat="1" ht="15.75">
      <c r="A52" s="719"/>
      <c r="B52" s="731" t="s">
        <v>248</v>
      </c>
      <c r="C52" s="732">
        <f>E52/D52</f>
        <v>5.7422222222222219</v>
      </c>
      <c r="D52" s="731">
        <v>9</v>
      </c>
      <c r="E52" s="732">
        <v>51.68</v>
      </c>
      <c r="F52" s="720"/>
      <c r="G52" s="720"/>
      <c r="H52" s="720"/>
      <c r="I52" s="720"/>
      <c r="J52" s="720"/>
      <c r="K52" s="651"/>
      <c r="L52" s="1125" t="s">
        <v>621</v>
      </c>
      <c r="M52" s="1125"/>
      <c r="N52" s="1125"/>
      <c r="O52" s="1125"/>
      <c r="P52" s="1125"/>
      <c r="Q52" s="1125"/>
      <c r="R52" s="1125"/>
      <c r="S52" s="1125"/>
      <c r="T52" s="1125"/>
      <c r="U52" s="1125"/>
      <c r="V52" s="1125"/>
      <c r="W52" s="1125"/>
      <c r="X52" s="1125"/>
      <c r="Y52" s="1125"/>
      <c r="Z52" s="1125"/>
      <c r="AA52" s="1125"/>
      <c r="AB52" s="1125"/>
      <c r="AC52" s="1125"/>
      <c r="AD52" s="1125"/>
      <c r="AE52" s="1125"/>
      <c r="AF52" s="1125"/>
      <c r="AG52" s="1125"/>
      <c r="AH52" s="1125"/>
      <c r="AI52" s="1125"/>
      <c r="AJ52" s="1125"/>
      <c r="AK52" s="1125"/>
      <c r="AL52" s="1125"/>
      <c r="AM52" s="1125"/>
      <c r="AN52" s="1125"/>
      <c r="AO52" s="1126"/>
      <c r="BF52" s="643"/>
      <c r="BG52" s="643"/>
      <c r="BH52" s="643"/>
      <c r="BI52" s="643"/>
      <c r="BJ52" s="643"/>
      <c r="BK52" s="643"/>
      <c r="BL52" s="643"/>
      <c r="BM52" s="643"/>
      <c r="BN52" s="643"/>
      <c r="BO52" s="643"/>
      <c r="BP52" s="643"/>
      <c r="BQ52" s="643"/>
      <c r="BR52" s="643"/>
      <c r="BS52" s="643"/>
      <c r="BT52" s="643"/>
      <c r="BU52" s="643"/>
      <c r="BV52" s="643"/>
      <c r="BW52" s="643"/>
      <c r="BX52" s="643"/>
      <c r="BY52" s="643"/>
      <c r="BZ52" s="643"/>
      <c r="CA52" s="643"/>
      <c r="CB52" s="643"/>
      <c r="CC52" s="724"/>
      <c r="CD52" s="724"/>
      <c r="CE52" s="724"/>
      <c r="CF52" s="720"/>
      <c r="CG52" s="720"/>
      <c r="CH52" s="720"/>
      <c r="CI52" s="720"/>
      <c r="CJ52" s="720"/>
      <c r="CK52" s="720"/>
      <c r="CL52" s="720"/>
      <c r="CM52" s="720"/>
      <c r="CN52" s="720"/>
      <c r="CO52" s="720"/>
      <c r="CP52" s="720"/>
      <c r="CQ52" s="720"/>
      <c r="CR52" s="720"/>
      <c r="CS52" s="720"/>
      <c r="CT52" s="720"/>
      <c r="CU52" s="720"/>
      <c r="CV52" s="720"/>
      <c r="CW52" s="720"/>
      <c r="CX52" s="720"/>
      <c r="CY52" s="720"/>
      <c r="CZ52" s="720"/>
      <c r="DA52" s="720"/>
      <c r="DB52" s="720"/>
      <c r="DC52" s="720"/>
      <c r="DD52" s="720"/>
      <c r="DE52" s="720"/>
      <c r="DF52" s="720"/>
      <c r="DG52" s="720"/>
      <c r="DH52" s="720"/>
      <c r="DI52" s="720"/>
      <c r="DJ52" s="720"/>
      <c r="DK52" s="720"/>
      <c r="DL52" s="720"/>
      <c r="DM52" s="720"/>
      <c r="DN52" s="720"/>
      <c r="DO52" s="720"/>
      <c r="DP52" s="720"/>
      <c r="DQ52" s="720"/>
      <c r="DR52" s="720"/>
    </row>
    <row r="53" spans="1:146" s="642" customFormat="1" ht="15.75">
      <c r="A53" s="719"/>
      <c r="B53" s="1011">
        <v>2022</v>
      </c>
      <c r="C53" s="1012"/>
      <c r="D53" s="719"/>
      <c r="E53" s="720"/>
      <c r="F53" s="720"/>
      <c r="G53" s="720"/>
      <c r="H53" s="720"/>
      <c r="I53" s="720"/>
      <c r="J53" s="720"/>
      <c r="K53" s="652"/>
      <c r="L53" s="912" t="s">
        <v>611</v>
      </c>
      <c r="M53" s="912"/>
      <c r="N53" s="912"/>
      <c r="O53" s="912"/>
      <c r="P53" s="328"/>
      <c r="Q53" s="912" t="s">
        <v>612</v>
      </c>
      <c r="R53" s="912"/>
      <c r="S53" s="912"/>
      <c r="T53" s="912"/>
      <c r="U53" s="328"/>
      <c r="V53" s="912" t="s">
        <v>613</v>
      </c>
      <c r="W53" s="912"/>
      <c r="X53" s="912"/>
      <c r="Y53" s="912"/>
      <c r="Z53" s="328"/>
      <c r="AA53" s="912" t="s">
        <v>574</v>
      </c>
      <c r="AB53" s="912"/>
      <c r="AC53" s="912"/>
      <c r="AD53" s="912"/>
      <c r="AE53" s="322"/>
      <c r="AF53" s="912" t="s">
        <v>614</v>
      </c>
      <c r="AG53" s="912"/>
      <c r="AH53" s="912"/>
      <c r="AI53" s="912"/>
      <c r="AJ53" s="650"/>
      <c r="AK53" s="912" t="s">
        <v>615</v>
      </c>
      <c r="AL53" s="912"/>
      <c r="AM53" s="912"/>
      <c r="AN53" s="912"/>
      <c r="AO53" s="653"/>
      <c r="AS53" s="824" t="s">
        <v>689</v>
      </c>
      <c r="AT53" s="824" t="s">
        <v>562</v>
      </c>
      <c r="AU53" s="827">
        <f>E40</f>
        <v>5844.59</v>
      </c>
      <c r="AV53" s="827"/>
      <c r="AW53" s="1090">
        <f>SUM(AU53:AU57)</f>
        <v>19969.849999999999</v>
      </c>
      <c r="AX53" s="1090">
        <f>AW53+AW58</f>
        <v>27253.78</v>
      </c>
      <c r="AY53" s="1093">
        <f>AW53/AX53</f>
        <v>0.73273689007543175</v>
      </c>
      <c r="BE53" s="642" t="str">
        <f>B40</f>
        <v>VGIA11</v>
      </c>
      <c r="BF53" s="837">
        <f>E40</f>
        <v>5844.59</v>
      </c>
      <c r="BG53" s="838">
        <v>2843.26</v>
      </c>
      <c r="BH53" s="837">
        <f>BG53-BF53</f>
        <v>-3001.33</v>
      </c>
      <c r="BI53" s="643"/>
      <c r="BJ53" s="643"/>
      <c r="BK53" s="643"/>
      <c r="BL53" s="643"/>
      <c r="BM53" s="643"/>
      <c r="BN53" s="643"/>
      <c r="BO53" s="643"/>
      <c r="BP53" s="643"/>
      <c r="BQ53" s="643"/>
      <c r="BR53" s="643"/>
      <c r="BS53" s="643"/>
      <c r="BT53" s="643"/>
      <c r="BU53" s="643"/>
      <c r="BV53" s="643"/>
      <c r="BW53" s="643"/>
      <c r="BX53" s="643"/>
      <c r="BY53" s="643"/>
      <c r="BZ53" s="643"/>
      <c r="CA53" s="643"/>
      <c r="CB53" s="643"/>
      <c r="CC53" s="724"/>
      <c r="CD53" s="724"/>
      <c r="CE53" s="724"/>
      <c r="CF53" s="720"/>
      <c r="CG53" s="720"/>
      <c r="CH53" s="720"/>
      <c r="CI53" s="720"/>
      <c r="CJ53" s="720"/>
      <c r="CK53" s="720"/>
      <c r="CL53" s="720"/>
      <c r="CM53" s="720"/>
      <c r="CN53" s="720"/>
      <c r="CO53" s="720"/>
      <c r="CP53" s="720"/>
      <c r="CQ53" s="720"/>
      <c r="CR53" s="720"/>
      <c r="CS53" s="720"/>
      <c r="CT53" s="720"/>
      <c r="CU53" s="720"/>
      <c r="CV53" s="720"/>
      <c r="CW53" s="720"/>
      <c r="CX53" s="720"/>
      <c r="CY53" s="720"/>
      <c r="CZ53" s="720"/>
      <c r="DA53" s="720"/>
      <c r="DB53" s="720"/>
      <c r="DC53" s="720"/>
      <c r="DD53" s="720"/>
      <c r="DE53" s="720"/>
      <c r="DF53" s="720"/>
      <c r="DG53" s="720"/>
      <c r="DH53" s="720"/>
      <c r="DI53" s="720"/>
      <c r="DJ53" s="720"/>
      <c r="DK53" s="720"/>
      <c r="DL53" s="720"/>
      <c r="DM53" s="720"/>
      <c r="DN53" s="720"/>
      <c r="DO53" s="720"/>
      <c r="DP53" s="720"/>
      <c r="DQ53" s="720"/>
      <c r="DR53" s="720"/>
    </row>
    <row r="54" spans="1:146" s="275" customFormat="1" ht="15.75">
      <c r="A54" s="719"/>
      <c r="B54" s="737" t="s">
        <v>209</v>
      </c>
      <c r="C54" s="738" t="s">
        <v>2</v>
      </c>
      <c r="D54" s="719"/>
      <c r="E54" s="719"/>
      <c r="F54" s="719"/>
      <c r="G54" s="719"/>
      <c r="H54" s="719"/>
      <c r="I54" s="719"/>
      <c r="J54" s="719"/>
      <c r="K54" s="652"/>
      <c r="L54" s="186" t="s">
        <v>1</v>
      </c>
      <c r="M54" s="186" t="s">
        <v>232</v>
      </c>
      <c r="N54" s="294" t="s">
        <v>231</v>
      </c>
      <c r="O54" s="294" t="s">
        <v>230</v>
      </c>
      <c r="P54" s="328"/>
      <c r="Q54" s="186" t="s">
        <v>1</v>
      </c>
      <c r="R54" s="186" t="s">
        <v>232</v>
      </c>
      <c r="S54" s="294" t="s">
        <v>231</v>
      </c>
      <c r="T54" s="294" t="s">
        <v>230</v>
      </c>
      <c r="U54" s="328"/>
      <c r="V54" s="186" t="s">
        <v>1</v>
      </c>
      <c r="W54" s="186" t="s">
        <v>232</v>
      </c>
      <c r="X54" s="294" t="s">
        <v>231</v>
      </c>
      <c r="Y54" s="294" t="s">
        <v>230</v>
      </c>
      <c r="Z54" s="328"/>
      <c r="AA54" s="186" t="s">
        <v>1</v>
      </c>
      <c r="AB54" s="186" t="s">
        <v>232</v>
      </c>
      <c r="AC54" s="294" t="s">
        <v>231</v>
      </c>
      <c r="AD54" s="294" t="s">
        <v>230</v>
      </c>
      <c r="AE54" s="322"/>
      <c r="AF54" s="186" t="s">
        <v>1</v>
      </c>
      <c r="AG54" s="186" t="s">
        <v>232</v>
      </c>
      <c r="AH54" s="294" t="s">
        <v>231</v>
      </c>
      <c r="AI54" s="294" t="s">
        <v>230</v>
      </c>
      <c r="AJ54" s="322"/>
      <c r="AK54" s="186" t="s">
        <v>1</v>
      </c>
      <c r="AL54" s="186" t="s">
        <v>232</v>
      </c>
      <c r="AM54" s="294" t="s">
        <v>231</v>
      </c>
      <c r="AN54" s="294" t="s">
        <v>230</v>
      </c>
      <c r="AO54" s="654"/>
      <c r="AS54" s="825" t="s">
        <v>690</v>
      </c>
      <c r="AT54" s="825" t="s">
        <v>241</v>
      </c>
      <c r="AU54" s="828">
        <f>E36</f>
        <v>7184.09</v>
      </c>
      <c r="AV54" s="830"/>
      <c r="AW54" s="1091"/>
      <c r="AX54" s="1091"/>
      <c r="AY54" s="1094"/>
      <c r="BE54" s="275" t="str">
        <f>B36</f>
        <v>RZAK11</v>
      </c>
      <c r="BF54" s="279">
        <f>E36</f>
        <v>7184.09</v>
      </c>
      <c r="BG54" s="276">
        <v>2517</v>
      </c>
      <c r="BH54" s="837">
        <f t="shared" ref="BH54:BH63" si="123">BG54-BF54</f>
        <v>-4667.09</v>
      </c>
      <c r="CC54" s="719"/>
      <c r="CD54" s="719"/>
      <c r="CE54" s="719"/>
      <c r="CF54" s="719"/>
      <c r="CG54" s="719"/>
      <c r="CH54" s="719"/>
      <c r="CI54" s="719"/>
      <c r="CJ54" s="719"/>
      <c r="CK54" s="719"/>
      <c r="CL54" s="719"/>
      <c r="CM54" s="719"/>
      <c r="CN54" s="719"/>
      <c r="CO54" s="719"/>
      <c r="CP54" s="719"/>
      <c r="CQ54" s="719"/>
      <c r="CR54" s="719"/>
      <c r="CS54" s="719"/>
      <c r="CT54" s="719"/>
      <c r="CU54" s="719"/>
      <c r="CV54" s="719"/>
      <c r="CW54" s="719"/>
      <c r="CX54" s="719"/>
      <c r="CY54" s="719"/>
      <c r="CZ54" s="719"/>
      <c r="DA54" s="719"/>
      <c r="DB54" s="719"/>
      <c r="DC54" s="719"/>
      <c r="DD54" s="719"/>
      <c r="DE54" s="719"/>
      <c r="DF54" s="719"/>
      <c r="DG54" s="719"/>
      <c r="DH54" s="719"/>
      <c r="DI54" s="719"/>
      <c r="DJ54" s="719"/>
      <c r="DK54" s="719"/>
      <c r="DL54" s="719"/>
      <c r="DM54" s="719"/>
      <c r="DN54" s="719"/>
      <c r="DO54" s="719"/>
      <c r="DP54" s="719"/>
      <c r="DQ54" s="719"/>
      <c r="DR54" s="719"/>
    </row>
    <row r="55" spans="1:146" s="275" customFormat="1" ht="15.75">
      <c r="A55" s="719"/>
      <c r="B55" s="739" t="str">
        <f t="shared" ref="B55:B70" si="124">H32</f>
        <v>MXRF11</v>
      </c>
      <c r="C55" s="740">
        <v>147.82</v>
      </c>
      <c r="D55" s="719"/>
      <c r="E55" s="719"/>
      <c r="F55" s="719"/>
      <c r="G55" s="719"/>
      <c r="H55" s="719"/>
      <c r="I55" s="719"/>
      <c r="J55" s="719"/>
      <c r="K55" s="652"/>
      <c r="L55" s="299"/>
      <c r="M55" s="625">
        <v>1</v>
      </c>
      <c r="N55" s="298"/>
      <c r="O55" s="294">
        <f t="shared" ref="O55:O66" si="125">N55*M55</f>
        <v>0</v>
      </c>
      <c r="P55" s="328"/>
      <c r="Q55" s="299"/>
      <c r="R55" s="625">
        <v>1</v>
      </c>
      <c r="S55" s="298"/>
      <c r="T55" s="294">
        <f t="shared" ref="T55:T66" si="126">S55*R55</f>
        <v>0</v>
      </c>
      <c r="U55" s="328"/>
      <c r="V55" s="299">
        <v>45159</v>
      </c>
      <c r="W55" s="625">
        <v>20</v>
      </c>
      <c r="X55" s="298">
        <v>9.99</v>
      </c>
      <c r="Y55" s="294">
        <f t="shared" ref="Y55:Y66" si="127">X55*W55</f>
        <v>199.8</v>
      </c>
      <c r="Z55" s="328"/>
      <c r="AA55" s="633"/>
      <c r="AB55" s="427">
        <v>1</v>
      </c>
      <c r="AC55" s="624"/>
      <c r="AD55" s="294">
        <f t="shared" ref="AD55:AD66" si="128">AC55*AB55</f>
        <v>0</v>
      </c>
      <c r="AE55" s="322"/>
      <c r="AF55" s="299"/>
      <c r="AG55" s="625">
        <v>1</v>
      </c>
      <c r="AH55" s="298"/>
      <c r="AI55" s="294">
        <f t="shared" ref="AI55:AI66" si="129">AH55*AG55</f>
        <v>0</v>
      </c>
      <c r="AJ55" s="322"/>
      <c r="AK55" s="299"/>
      <c r="AL55" s="625">
        <v>1</v>
      </c>
      <c r="AM55" s="298"/>
      <c r="AN55" s="294">
        <f t="shared" ref="AN55:AN66" si="130">AM55*AL55</f>
        <v>0</v>
      </c>
      <c r="AO55" s="654"/>
      <c r="AS55" s="825" t="s">
        <v>691</v>
      </c>
      <c r="AT55" s="825" t="s">
        <v>613</v>
      </c>
      <c r="AU55" s="828">
        <f>E43</f>
        <v>961.14</v>
      </c>
      <c r="AV55" s="828">
        <f>AU55-AU56</f>
        <v>-2885.54</v>
      </c>
      <c r="AW55" s="1091"/>
      <c r="AX55" s="1091"/>
      <c r="AY55" s="1094"/>
      <c r="BE55" s="275" t="str">
        <f>B38</f>
        <v>URPR11</v>
      </c>
      <c r="BF55" s="279">
        <f>E38</f>
        <v>3846.68</v>
      </c>
      <c r="BG55" s="276">
        <v>1720</v>
      </c>
      <c r="BH55" s="837">
        <f t="shared" si="123"/>
        <v>-2126.6799999999998</v>
      </c>
      <c r="CC55" s="719"/>
      <c r="CD55" s="719"/>
      <c r="CE55" s="719"/>
      <c r="CF55" s="719"/>
      <c r="CG55" s="719"/>
      <c r="CH55" s="719"/>
      <c r="CI55" s="719"/>
      <c r="CJ55" s="719"/>
      <c r="CK55" s="719"/>
      <c r="CL55" s="719"/>
      <c r="CM55" s="719"/>
      <c r="CN55" s="719"/>
      <c r="CO55" s="719"/>
      <c r="CP55" s="719"/>
      <c r="CQ55" s="719"/>
      <c r="CR55" s="719"/>
      <c r="CS55" s="719"/>
      <c r="CT55" s="719"/>
      <c r="CU55" s="719"/>
      <c r="CV55" s="719"/>
      <c r="CW55" s="719"/>
      <c r="CX55" s="719"/>
      <c r="CY55" s="719"/>
      <c r="CZ55" s="719"/>
      <c r="DA55" s="719"/>
      <c r="DB55" s="719"/>
      <c r="DC55" s="719"/>
      <c r="DD55" s="719"/>
      <c r="DE55" s="719"/>
      <c r="DF55" s="719"/>
      <c r="DG55" s="719"/>
      <c r="DH55" s="719"/>
      <c r="DI55" s="719"/>
      <c r="DJ55" s="719"/>
      <c r="DK55" s="719"/>
      <c r="DL55" s="719"/>
      <c r="DM55" s="719"/>
      <c r="DN55" s="719"/>
      <c r="DO55" s="719"/>
      <c r="DP55" s="719"/>
      <c r="DQ55" s="719"/>
      <c r="DR55" s="719"/>
    </row>
    <row r="56" spans="1:146" s="275" customFormat="1" ht="15.75">
      <c r="A56" s="719"/>
      <c r="B56" s="739" t="str">
        <f t="shared" si="124"/>
        <v>BIME11</v>
      </c>
      <c r="C56" s="740">
        <v>34.58</v>
      </c>
      <c r="D56" s="719"/>
      <c r="E56" s="719"/>
      <c r="F56" s="719"/>
      <c r="G56" s="719"/>
      <c r="H56" s="719"/>
      <c r="I56" s="719"/>
      <c r="J56" s="719"/>
      <c r="K56" s="652"/>
      <c r="L56" s="299"/>
      <c r="M56" s="625"/>
      <c r="N56" s="298"/>
      <c r="O56" s="294">
        <f t="shared" si="125"/>
        <v>0</v>
      </c>
      <c r="P56" s="328"/>
      <c r="Q56" s="299"/>
      <c r="R56" s="625"/>
      <c r="S56" s="298"/>
      <c r="T56" s="294">
        <f t="shared" si="126"/>
        <v>0</v>
      </c>
      <c r="U56" s="328"/>
      <c r="V56" s="299">
        <v>45226</v>
      </c>
      <c r="W56" s="625">
        <v>9</v>
      </c>
      <c r="X56" s="298">
        <v>9.76</v>
      </c>
      <c r="Y56" s="294">
        <f t="shared" si="127"/>
        <v>87.84</v>
      </c>
      <c r="Z56" s="328"/>
      <c r="AA56" s="299"/>
      <c r="AB56" s="625"/>
      <c r="AC56" s="298"/>
      <c r="AD56" s="294">
        <f t="shared" si="128"/>
        <v>0</v>
      </c>
      <c r="AE56" s="322"/>
      <c r="AF56" s="299"/>
      <c r="AG56" s="625"/>
      <c r="AH56" s="298"/>
      <c r="AI56" s="294">
        <f t="shared" si="129"/>
        <v>0</v>
      </c>
      <c r="AJ56" s="322"/>
      <c r="AK56" s="299"/>
      <c r="AL56" s="625"/>
      <c r="AM56" s="298"/>
      <c r="AN56" s="294">
        <f t="shared" si="130"/>
        <v>0</v>
      </c>
      <c r="AO56" s="654"/>
      <c r="AS56" s="825" t="s">
        <v>691</v>
      </c>
      <c r="AT56" s="825" t="s">
        <v>234</v>
      </c>
      <c r="AU56" s="828">
        <f>E38</f>
        <v>3846.68</v>
      </c>
      <c r="AV56" s="830"/>
      <c r="AW56" s="1091"/>
      <c r="AX56" s="1091"/>
      <c r="AY56" s="1094"/>
      <c r="BE56" s="275" t="str">
        <f>B39</f>
        <v>XPCA11</v>
      </c>
      <c r="BF56" s="279">
        <f>E39</f>
        <v>2133.3500000000004</v>
      </c>
      <c r="BG56" s="276">
        <v>1392</v>
      </c>
      <c r="BH56" s="837">
        <f t="shared" si="123"/>
        <v>-741.35000000000036</v>
      </c>
      <c r="CC56" s="719"/>
      <c r="CD56" s="719"/>
      <c r="CE56" s="719"/>
      <c r="CF56" s="719"/>
      <c r="CG56" s="719"/>
      <c r="CH56" s="719"/>
      <c r="CI56" s="719"/>
      <c r="CJ56" s="719"/>
      <c r="CK56" s="719"/>
      <c r="CL56" s="719"/>
      <c r="CM56" s="719"/>
      <c r="CN56" s="719"/>
      <c r="CO56" s="719"/>
      <c r="CP56" s="719"/>
      <c r="CQ56" s="719"/>
      <c r="CR56" s="719"/>
      <c r="CS56" s="719"/>
      <c r="CT56" s="719"/>
      <c r="CU56" s="719"/>
      <c r="CV56" s="719"/>
      <c r="CW56" s="719"/>
      <c r="CX56" s="719"/>
      <c r="CY56" s="719"/>
      <c r="CZ56" s="719"/>
      <c r="DA56" s="719"/>
      <c r="DB56" s="719"/>
      <c r="DC56" s="719"/>
      <c r="DD56" s="719"/>
      <c r="DE56" s="719"/>
      <c r="DF56" s="719"/>
      <c r="DG56" s="719"/>
      <c r="DH56" s="719"/>
      <c r="DI56" s="719"/>
      <c r="DJ56" s="719"/>
      <c r="DK56" s="719"/>
      <c r="DL56" s="719"/>
      <c r="DM56" s="719"/>
      <c r="DN56" s="719"/>
      <c r="DO56" s="719"/>
      <c r="DP56" s="719"/>
      <c r="DQ56" s="719"/>
      <c r="DR56" s="719"/>
    </row>
    <row r="57" spans="1:146" s="275" customFormat="1" ht="15.75">
      <c r="A57" s="719"/>
      <c r="B57" s="739" t="str">
        <f t="shared" si="124"/>
        <v>TGAR11</v>
      </c>
      <c r="C57" s="740">
        <v>0.2</v>
      </c>
      <c r="D57" s="719"/>
      <c r="E57" s="719"/>
      <c r="F57" s="719"/>
      <c r="G57" s="719"/>
      <c r="H57" s="719"/>
      <c r="I57" s="719"/>
      <c r="J57" s="719"/>
      <c r="K57" s="652"/>
      <c r="L57" s="299"/>
      <c r="M57" s="625"/>
      <c r="N57" s="298"/>
      <c r="O57" s="294">
        <f t="shared" si="125"/>
        <v>0</v>
      </c>
      <c r="P57" s="328"/>
      <c r="Q57" s="299"/>
      <c r="R57" s="625"/>
      <c r="S57" s="298"/>
      <c r="T57" s="294">
        <f t="shared" si="126"/>
        <v>0</v>
      </c>
      <c r="U57" s="328"/>
      <c r="V57" s="299">
        <v>45279</v>
      </c>
      <c r="W57" s="625">
        <v>75</v>
      </c>
      <c r="X57" s="298">
        <v>8.98</v>
      </c>
      <c r="Y57" s="294">
        <f t="shared" si="127"/>
        <v>673.5</v>
      </c>
      <c r="Z57" s="328"/>
      <c r="AA57" s="299"/>
      <c r="AB57" s="625"/>
      <c r="AC57" s="298"/>
      <c r="AD57" s="294">
        <f t="shared" si="128"/>
        <v>0</v>
      </c>
      <c r="AE57" s="322"/>
      <c r="AF57" s="299"/>
      <c r="AG57" s="625"/>
      <c r="AH57" s="298"/>
      <c r="AI57" s="294">
        <f t="shared" si="129"/>
        <v>0</v>
      </c>
      <c r="AJ57" s="322"/>
      <c r="AK57" s="299"/>
      <c r="AL57" s="625"/>
      <c r="AM57" s="298"/>
      <c r="AN57" s="294">
        <f t="shared" si="130"/>
        <v>0</v>
      </c>
      <c r="AO57" s="654"/>
      <c r="AS57" s="826" t="s">
        <v>692</v>
      </c>
      <c r="AT57" s="826" t="s">
        <v>345</v>
      </c>
      <c r="AU57" s="829">
        <f>E39</f>
        <v>2133.3500000000004</v>
      </c>
      <c r="AV57" s="831"/>
      <c r="AW57" s="1092"/>
      <c r="AX57" s="1091"/>
      <c r="AY57" s="1094"/>
      <c r="BE57" s="275" t="str">
        <f>B33</f>
        <v>TGAR11</v>
      </c>
      <c r="BF57" s="279">
        <f>E33</f>
        <v>2133.2199999999998</v>
      </c>
      <c r="BG57" s="276">
        <v>845.46</v>
      </c>
      <c r="BH57" s="837">
        <f t="shared" si="123"/>
        <v>-1287.7599999999998</v>
      </c>
      <c r="CC57" s="719"/>
      <c r="CD57" s="719"/>
      <c r="CE57" s="719"/>
      <c r="CF57" s="719"/>
      <c r="CG57" s="719"/>
      <c r="CH57" s="719"/>
      <c r="CI57" s="719"/>
      <c r="CJ57" s="719"/>
      <c r="CK57" s="719"/>
      <c r="CL57" s="719"/>
      <c r="CM57" s="719"/>
      <c r="CN57" s="719"/>
      <c r="CO57" s="719"/>
      <c r="CP57" s="719"/>
      <c r="CQ57" s="719"/>
      <c r="CR57" s="719"/>
      <c r="CS57" s="719"/>
      <c r="CT57" s="719"/>
      <c r="CU57" s="719"/>
      <c r="CV57" s="719"/>
      <c r="CW57" s="719"/>
      <c r="CX57" s="719"/>
      <c r="CY57" s="719"/>
      <c r="CZ57" s="719"/>
      <c r="DA57" s="719"/>
      <c r="DB57" s="719"/>
      <c r="DC57" s="719"/>
      <c r="DD57" s="719"/>
      <c r="DE57" s="719"/>
      <c r="DF57" s="719"/>
      <c r="DG57" s="719"/>
      <c r="DH57" s="719"/>
      <c r="DI57" s="719"/>
      <c r="DJ57" s="719"/>
      <c r="DK57" s="719"/>
      <c r="DL57" s="719"/>
      <c r="DM57" s="719"/>
      <c r="DN57" s="719"/>
      <c r="DO57" s="719"/>
      <c r="DP57" s="719"/>
      <c r="DQ57" s="719"/>
      <c r="DR57" s="719"/>
    </row>
    <row r="58" spans="1:146" s="275" customFormat="1" ht="15.75">
      <c r="A58" s="719"/>
      <c r="B58" s="739" t="str">
        <f t="shared" si="124"/>
        <v>OURE11</v>
      </c>
      <c r="C58" s="740">
        <v>0.02</v>
      </c>
      <c r="D58" s="719"/>
      <c r="E58" s="719"/>
      <c r="F58" s="719"/>
      <c r="G58" s="719"/>
      <c r="H58" s="719"/>
      <c r="I58" s="719"/>
      <c r="J58" s="719"/>
      <c r="K58" s="652"/>
      <c r="L58" s="299"/>
      <c r="M58" s="625"/>
      <c r="N58" s="298"/>
      <c r="O58" s="294">
        <f t="shared" si="125"/>
        <v>0</v>
      </c>
      <c r="P58" s="328"/>
      <c r="Q58" s="299"/>
      <c r="R58" s="625"/>
      <c r="S58" s="298"/>
      <c r="T58" s="294">
        <f t="shared" si="126"/>
        <v>0</v>
      </c>
      <c r="U58" s="328"/>
      <c r="V58" s="299"/>
      <c r="W58" s="625"/>
      <c r="X58" s="298"/>
      <c r="Y58" s="294">
        <f t="shared" si="127"/>
        <v>0</v>
      </c>
      <c r="Z58" s="328"/>
      <c r="AA58" s="299"/>
      <c r="AB58" s="625"/>
      <c r="AC58" s="298"/>
      <c r="AD58" s="294">
        <f t="shared" si="128"/>
        <v>0</v>
      </c>
      <c r="AE58" s="322"/>
      <c r="AF58" s="299"/>
      <c r="AG58" s="625"/>
      <c r="AH58" s="298"/>
      <c r="AI58" s="294">
        <f t="shared" si="129"/>
        <v>0</v>
      </c>
      <c r="AJ58" s="322"/>
      <c r="AK58" s="299"/>
      <c r="AL58" s="625"/>
      <c r="AM58" s="298"/>
      <c r="AN58" s="294">
        <f t="shared" si="130"/>
        <v>0</v>
      </c>
      <c r="AO58" s="654"/>
      <c r="AS58" s="825" t="s">
        <v>689</v>
      </c>
      <c r="AT58" s="825" t="s">
        <v>557</v>
      </c>
      <c r="AU58" s="828">
        <f>E34</f>
        <v>1895.67</v>
      </c>
      <c r="AV58" s="828">
        <f>AU58-1200</f>
        <v>695.67000000000007</v>
      </c>
      <c r="AW58" s="1085">
        <f>SUM(AU58:AU60)</f>
        <v>7283.93</v>
      </c>
      <c r="AX58" s="1091"/>
      <c r="AY58" s="1095">
        <f>AW58/AX53</f>
        <v>0.26726310992456831</v>
      </c>
      <c r="BE58" s="275" t="str">
        <f>B35</f>
        <v>AIEC11</v>
      </c>
      <c r="BF58" s="279">
        <f>E35</f>
        <v>3255.0400000000004</v>
      </c>
      <c r="BG58" s="276">
        <v>843</v>
      </c>
      <c r="BH58" s="837">
        <f t="shared" si="123"/>
        <v>-2412.0400000000004</v>
      </c>
      <c r="CC58" s="719"/>
      <c r="CD58" s="719"/>
      <c r="CE58" s="719"/>
      <c r="CF58" s="719"/>
      <c r="CG58" s="719"/>
      <c r="CH58" s="719"/>
      <c r="CI58" s="719"/>
      <c r="CJ58" s="719"/>
      <c r="CK58" s="719"/>
      <c r="CL58" s="719"/>
      <c r="CM58" s="719"/>
      <c r="CN58" s="719"/>
      <c r="CO58" s="719"/>
      <c r="CP58" s="719"/>
      <c r="CQ58" s="719"/>
      <c r="CR58" s="719"/>
      <c r="CS58" s="719"/>
      <c r="CT58" s="719"/>
      <c r="CU58" s="719"/>
      <c r="CV58" s="719"/>
      <c r="CW58" s="719"/>
      <c r="CX58" s="719"/>
      <c r="CY58" s="719"/>
      <c r="CZ58" s="719"/>
      <c r="DA58" s="719"/>
      <c r="DB58" s="719"/>
      <c r="DC58" s="719"/>
      <c r="DD58" s="719"/>
      <c r="DE58" s="719"/>
      <c r="DF58" s="719"/>
      <c r="DG58" s="719"/>
      <c r="DH58" s="719"/>
      <c r="DI58" s="719"/>
      <c r="DJ58" s="719"/>
      <c r="DK58" s="719"/>
      <c r="DL58" s="719"/>
      <c r="DM58" s="719"/>
      <c r="DN58" s="719"/>
      <c r="DO58" s="719"/>
      <c r="DP58" s="719"/>
      <c r="DQ58" s="719"/>
      <c r="DR58" s="719"/>
    </row>
    <row r="59" spans="1:146" s="275" customFormat="1" ht="15.75">
      <c r="A59" s="719"/>
      <c r="B59" s="739" t="str">
        <f t="shared" si="124"/>
        <v>AIEC11</v>
      </c>
      <c r="C59" s="740">
        <v>0.26</v>
      </c>
      <c r="D59" s="719"/>
      <c r="E59" s="719"/>
      <c r="F59" s="719"/>
      <c r="G59" s="719"/>
      <c r="H59" s="719"/>
      <c r="I59" s="719"/>
      <c r="J59" s="719"/>
      <c r="K59" s="652"/>
      <c r="L59" s="299"/>
      <c r="M59" s="625"/>
      <c r="N59" s="298"/>
      <c r="O59" s="294">
        <f t="shared" si="125"/>
        <v>0</v>
      </c>
      <c r="P59" s="328"/>
      <c r="Q59" s="299"/>
      <c r="R59" s="625"/>
      <c r="S59" s="298"/>
      <c r="T59" s="294">
        <f t="shared" si="126"/>
        <v>0</v>
      </c>
      <c r="U59" s="328"/>
      <c r="V59" s="299"/>
      <c r="W59" s="625"/>
      <c r="X59" s="298"/>
      <c r="Y59" s="294">
        <f t="shared" si="127"/>
        <v>0</v>
      </c>
      <c r="Z59" s="328"/>
      <c r="AA59" s="299"/>
      <c r="AB59" s="625"/>
      <c r="AC59" s="298"/>
      <c r="AD59" s="294">
        <f t="shared" si="128"/>
        <v>0</v>
      </c>
      <c r="AE59" s="322"/>
      <c r="AF59" s="299"/>
      <c r="AG59" s="625"/>
      <c r="AH59" s="298"/>
      <c r="AI59" s="294">
        <f t="shared" si="129"/>
        <v>0</v>
      </c>
      <c r="AJ59" s="322"/>
      <c r="AK59" s="299"/>
      <c r="AL59" s="625"/>
      <c r="AM59" s="298"/>
      <c r="AN59" s="294">
        <f t="shared" si="130"/>
        <v>0</v>
      </c>
      <c r="AO59" s="654"/>
      <c r="AS59" s="825" t="s">
        <v>690</v>
      </c>
      <c r="AT59" s="825" t="s">
        <v>292</v>
      </c>
      <c r="AU59" s="828">
        <f>E33</f>
        <v>2133.2199999999998</v>
      </c>
      <c r="AV59" s="828">
        <f>AU59-1000</f>
        <v>1133.2199999999998</v>
      </c>
      <c r="AW59" s="1086"/>
      <c r="AX59" s="1091"/>
      <c r="AY59" s="1095"/>
      <c r="BE59" s="275" t="str">
        <f>B32</f>
        <v>BIME11</v>
      </c>
      <c r="BF59" s="279">
        <f>E32</f>
        <v>-2.4000000000086175E-3</v>
      </c>
      <c r="BG59" s="276">
        <v>0</v>
      </c>
      <c r="BH59" s="837">
        <f t="shared" si="123"/>
        <v>2.4000000000086175E-3</v>
      </c>
      <c r="CC59" s="719"/>
      <c r="CD59" s="719"/>
      <c r="CE59" s="719"/>
      <c r="CF59" s="719"/>
      <c r="CG59" s="719"/>
      <c r="CH59" s="719"/>
      <c r="CI59" s="719"/>
      <c r="CJ59" s="719"/>
      <c r="CK59" s="719"/>
      <c r="CL59" s="719"/>
      <c r="CM59" s="719"/>
      <c r="CN59" s="719"/>
      <c r="CO59" s="719"/>
      <c r="CP59" s="719"/>
      <c r="CQ59" s="719"/>
      <c r="CR59" s="719"/>
      <c r="CS59" s="719"/>
      <c r="CT59" s="719"/>
      <c r="CU59" s="719"/>
      <c r="CV59" s="719"/>
      <c r="CW59" s="719"/>
      <c r="CX59" s="719"/>
      <c r="CY59" s="719"/>
      <c r="CZ59" s="719"/>
      <c r="DA59" s="719"/>
      <c r="DB59" s="719"/>
      <c r="DC59" s="719"/>
      <c r="DD59" s="719"/>
      <c r="DE59" s="719"/>
      <c r="DF59" s="719"/>
      <c r="DG59" s="719"/>
      <c r="DH59" s="719"/>
      <c r="DI59" s="719"/>
      <c r="DJ59" s="719"/>
      <c r="DK59" s="719"/>
      <c r="DL59" s="719"/>
      <c r="DM59" s="719"/>
      <c r="DN59" s="719"/>
      <c r="DO59" s="719"/>
      <c r="DP59" s="719"/>
      <c r="DQ59" s="719"/>
      <c r="DR59" s="719"/>
    </row>
    <row r="60" spans="1:146" s="275" customFormat="1" ht="15.75">
      <c r="A60" s="719"/>
      <c r="B60" s="739" t="str">
        <f t="shared" si="124"/>
        <v>RZAK11</v>
      </c>
      <c r="C60" s="740">
        <v>97.52</v>
      </c>
      <c r="D60" s="719"/>
      <c r="E60" s="719"/>
      <c r="F60" s="719"/>
      <c r="G60" s="719"/>
      <c r="H60" s="719"/>
      <c r="I60" s="719"/>
      <c r="J60" s="719"/>
      <c r="K60" s="652"/>
      <c r="L60" s="299"/>
      <c r="M60" s="625"/>
      <c r="N60" s="298"/>
      <c r="O60" s="294">
        <f t="shared" si="125"/>
        <v>0</v>
      </c>
      <c r="P60" s="328"/>
      <c r="Q60" s="299"/>
      <c r="R60" s="625"/>
      <c r="S60" s="298"/>
      <c r="T60" s="294">
        <f t="shared" si="126"/>
        <v>0</v>
      </c>
      <c r="U60" s="328"/>
      <c r="V60" s="299"/>
      <c r="W60" s="625"/>
      <c r="X60" s="298"/>
      <c r="Y60" s="294">
        <f t="shared" si="127"/>
        <v>0</v>
      </c>
      <c r="Z60" s="328"/>
      <c r="AA60" s="299"/>
      <c r="AB60" s="625"/>
      <c r="AC60" s="298"/>
      <c r="AD60" s="294">
        <f t="shared" si="128"/>
        <v>0</v>
      </c>
      <c r="AE60" s="322"/>
      <c r="AF60" s="299"/>
      <c r="AG60" s="625"/>
      <c r="AH60" s="298"/>
      <c r="AI60" s="294">
        <f t="shared" si="129"/>
        <v>0</v>
      </c>
      <c r="AJ60" s="322"/>
      <c r="AK60" s="299"/>
      <c r="AL60" s="625"/>
      <c r="AM60" s="298"/>
      <c r="AN60" s="294">
        <f t="shared" si="130"/>
        <v>0</v>
      </c>
      <c r="AO60" s="654"/>
      <c r="AS60" s="826" t="s">
        <v>691</v>
      </c>
      <c r="AT60" s="826" t="s">
        <v>342</v>
      </c>
      <c r="AU60" s="829">
        <f>E35</f>
        <v>3255.0400000000004</v>
      </c>
      <c r="AV60" s="831"/>
      <c r="AW60" s="1087"/>
      <c r="AX60" s="1092"/>
      <c r="AY60" s="1096"/>
      <c r="BE60" s="275" t="str">
        <f>B43</f>
        <v>FGAA11</v>
      </c>
      <c r="BF60" s="279">
        <f>E43</f>
        <v>961.14</v>
      </c>
      <c r="BG60" s="276">
        <v>279.56</v>
      </c>
      <c r="BH60" s="837">
        <f t="shared" si="123"/>
        <v>-681.57999999999993</v>
      </c>
      <c r="CC60" s="719"/>
      <c r="CD60" s="719"/>
      <c r="CE60" s="719"/>
      <c r="CF60" s="719"/>
      <c r="CG60" s="719"/>
      <c r="CH60" s="719"/>
      <c r="CI60" s="719"/>
      <c r="CJ60" s="719"/>
      <c r="CK60" s="719"/>
      <c r="CL60" s="719"/>
      <c r="CM60" s="719"/>
      <c r="CN60" s="719"/>
      <c r="CO60" s="719"/>
      <c r="CP60" s="719"/>
      <c r="CQ60" s="719"/>
      <c r="CR60" s="719"/>
      <c r="CS60" s="719"/>
      <c r="CT60" s="719"/>
      <c r="CU60" s="719"/>
      <c r="CV60" s="719"/>
      <c r="CW60" s="719"/>
      <c r="CX60" s="719"/>
      <c r="CY60" s="719"/>
      <c r="CZ60" s="719"/>
      <c r="DA60" s="719"/>
      <c r="DB60" s="719"/>
      <c r="DC60" s="719"/>
      <c r="DD60" s="719"/>
      <c r="DE60" s="719"/>
      <c r="DF60" s="719"/>
      <c r="DG60" s="719"/>
      <c r="DH60" s="719"/>
      <c r="DI60" s="719"/>
      <c r="DJ60" s="719"/>
      <c r="DK60" s="719"/>
      <c r="DL60" s="719"/>
      <c r="DM60" s="719"/>
      <c r="DN60" s="719"/>
      <c r="DO60" s="719"/>
      <c r="DP60" s="719"/>
      <c r="DQ60" s="719"/>
      <c r="DR60" s="719"/>
    </row>
    <row r="61" spans="1:146" s="275" customFormat="1" ht="15.75">
      <c r="A61" s="719"/>
      <c r="B61" s="739" t="str">
        <f t="shared" si="124"/>
        <v>VGHF11</v>
      </c>
      <c r="C61" s="740">
        <v>114.75</v>
      </c>
      <c r="D61" s="719"/>
      <c r="E61" s="719"/>
      <c r="F61" s="719"/>
      <c r="G61" s="719"/>
      <c r="H61" s="719"/>
      <c r="I61" s="719"/>
      <c r="J61" s="719"/>
      <c r="K61" s="652"/>
      <c r="L61" s="299"/>
      <c r="M61" s="625"/>
      <c r="N61" s="298"/>
      <c r="O61" s="294">
        <f t="shared" si="125"/>
        <v>0</v>
      </c>
      <c r="P61" s="328"/>
      <c r="Q61" s="299"/>
      <c r="R61" s="625"/>
      <c r="S61" s="298"/>
      <c r="T61" s="294">
        <f t="shared" si="126"/>
        <v>0</v>
      </c>
      <c r="U61" s="328"/>
      <c r="V61" s="299"/>
      <c r="W61" s="625"/>
      <c r="X61" s="298"/>
      <c r="Y61" s="294">
        <f t="shared" si="127"/>
        <v>0</v>
      </c>
      <c r="Z61" s="328"/>
      <c r="AA61" s="299"/>
      <c r="AB61" s="625"/>
      <c r="AC61" s="298"/>
      <c r="AD61" s="294">
        <f t="shared" si="128"/>
        <v>0</v>
      </c>
      <c r="AE61" s="322"/>
      <c r="AF61" s="299"/>
      <c r="AG61" s="625"/>
      <c r="AH61" s="298"/>
      <c r="AI61" s="294">
        <f t="shared" si="129"/>
        <v>0</v>
      </c>
      <c r="AJ61" s="322"/>
      <c r="AK61" s="299"/>
      <c r="AL61" s="625"/>
      <c r="AM61" s="298"/>
      <c r="AN61" s="294">
        <f t="shared" si="130"/>
        <v>0</v>
      </c>
      <c r="AO61" s="654"/>
      <c r="BE61" s="275" t="s">
        <v>623</v>
      </c>
      <c r="BF61" s="276">
        <v>103.33</v>
      </c>
      <c r="BG61" s="276">
        <v>72.48</v>
      </c>
      <c r="BH61" s="837">
        <f t="shared" si="123"/>
        <v>-30.849999999999994</v>
      </c>
      <c r="CC61" s="719"/>
      <c r="CD61" s="719"/>
      <c r="CE61" s="719"/>
      <c r="CF61" s="719"/>
      <c r="CG61" s="719"/>
      <c r="CH61" s="719"/>
      <c r="CI61" s="719"/>
      <c r="CJ61" s="719"/>
      <c r="CK61" s="719"/>
      <c r="CL61" s="719"/>
      <c r="CM61" s="719"/>
      <c r="CN61" s="719"/>
      <c r="CO61" s="719"/>
      <c r="CP61" s="719"/>
      <c r="CQ61" s="719"/>
      <c r="CR61" s="719"/>
      <c r="CS61" s="719"/>
      <c r="CT61" s="719"/>
      <c r="CU61" s="719"/>
      <c r="CV61" s="719"/>
      <c r="CW61" s="719"/>
      <c r="CX61" s="719"/>
      <c r="CY61" s="719"/>
      <c r="CZ61" s="719"/>
      <c r="DA61" s="719"/>
      <c r="DB61" s="719"/>
      <c r="DC61" s="719"/>
      <c r="DD61" s="719"/>
      <c r="DE61" s="719"/>
      <c r="DF61" s="719"/>
      <c r="DG61" s="719"/>
      <c r="DH61" s="719"/>
      <c r="DI61" s="719"/>
      <c r="DJ61" s="719"/>
      <c r="DK61" s="719"/>
      <c r="DL61" s="719"/>
      <c r="DM61" s="719"/>
      <c r="DN61" s="719"/>
      <c r="DO61" s="719"/>
      <c r="DP61" s="719"/>
      <c r="DQ61" s="719"/>
      <c r="DR61" s="719"/>
    </row>
    <row r="62" spans="1:146" s="275" customFormat="1" ht="15.75">
      <c r="A62" s="719"/>
      <c r="B62" s="739" t="str">
        <f t="shared" si="124"/>
        <v>URPR11</v>
      </c>
      <c r="C62" s="740">
        <v>102.69</v>
      </c>
      <c r="D62" s="719"/>
      <c r="E62" s="719"/>
      <c r="F62" s="719"/>
      <c r="G62" s="719"/>
      <c r="H62" s="719"/>
      <c r="I62" s="719"/>
      <c r="J62" s="719"/>
      <c r="K62" s="652"/>
      <c r="L62" s="299"/>
      <c r="M62" s="625"/>
      <c r="N62" s="298"/>
      <c r="O62" s="294">
        <f t="shared" si="125"/>
        <v>0</v>
      </c>
      <c r="P62" s="328"/>
      <c r="Q62" s="299"/>
      <c r="R62" s="625"/>
      <c r="S62" s="298"/>
      <c r="T62" s="294">
        <f t="shared" si="126"/>
        <v>0</v>
      </c>
      <c r="U62" s="328"/>
      <c r="V62" s="299"/>
      <c r="W62" s="625"/>
      <c r="X62" s="298"/>
      <c r="Y62" s="294">
        <f t="shared" si="127"/>
        <v>0</v>
      </c>
      <c r="Z62" s="328"/>
      <c r="AA62" s="299"/>
      <c r="AB62" s="625"/>
      <c r="AC62" s="298"/>
      <c r="AD62" s="294">
        <f t="shared" si="128"/>
        <v>0</v>
      </c>
      <c r="AE62" s="322"/>
      <c r="AF62" s="299"/>
      <c r="AG62" s="625"/>
      <c r="AH62" s="298"/>
      <c r="AI62" s="294">
        <f t="shared" si="129"/>
        <v>0</v>
      </c>
      <c r="AJ62" s="322"/>
      <c r="AK62" s="299"/>
      <c r="AL62" s="625"/>
      <c r="AM62" s="298"/>
      <c r="AN62" s="294">
        <f t="shared" si="130"/>
        <v>0</v>
      </c>
      <c r="AO62" s="654"/>
      <c r="BE62" s="275" t="str">
        <f>B34</f>
        <v>OURE11</v>
      </c>
      <c r="BF62" s="279">
        <f>E34</f>
        <v>1895.67</v>
      </c>
      <c r="BG62" s="276">
        <v>73.959999999999994</v>
      </c>
      <c r="BH62" s="837">
        <f t="shared" si="123"/>
        <v>-1821.71</v>
      </c>
      <c r="CC62" s="719"/>
      <c r="CD62" s="719"/>
      <c r="CE62" s="719"/>
      <c r="CF62" s="719"/>
      <c r="CG62" s="719"/>
      <c r="CH62" s="719"/>
      <c r="CI62" s="719"/>
      <c r="CJ62" s="719"/>
      <c r="CK62" s="719"/>
      <c r="CL62" s="719"/>
      <c r="CM62" s="719"/>
      <c r="CN62" s="719"/>
      <c r="CO62" s="719"/>
      <c r="CP62" s="719"/>
      <c r="CQ62" s="719"/>
      <c r="CR62" s="719"/>
      <c r="CS62" s="719"/>
      <c r="CT62" s="719"/>
      <c r="CU62" s="719"/>
      <c r="CV62" s="719"/>
      <c r="CW62" s="719"/>
      <c r="CX62" s="719"/>
      <c r="CY62" s="719"/>
      <c r="CZ62" s="719"/>
      <c r="DA62" s="719"/>
      <c r="DB62" s="719"/>
      <c r="DC62" s="719"/>
      <c r="DD62" s="719"/>
      <c r="DE62" s="719"/>
      <c r="DF62" s="719"/>
      <c r="DG62" s="719"/>
      <c r="DH62" s="719"/>
      <c r="DI62" s="719"/>
      <c r="DJ62" s="719"/>
      <c r="DK62" s="719"/>
      <c r="DL62" s="719"/>
      <c r="DM62" s="719"/>
      <c r="DN62" s="719"/>
      <c r="DO62" s="719"/>
      <c r="DP62" s="719"/>
      <c r="DQ62" s="719"/>
      <c r="DR62" s="719"/>
    </row>
    <row r="63" spans="1:146" s="275" customFormat="1" ht="15.75">
      <c r="A63" s="719"/>
      <c r="B63" s="739" t="str">
        <f t="shared" si="124"/>
        <v>XPCA11</v>
      </c>
      <c r="C63" s="740">
        <v>0.54</v>
      </c>
      <c r="D63" s="719"/>
      <c r="E63" s="719"/>
      <c r="F63" s="719"/>
      <c r="G63" s="719"/>
      <c r="H63" s="719"/>
      <c r="I63" s="719"/>
      <c r="J63" s="719"/>
      <c r="K63" s="652"/>
      <c r="L63" s="299"/>
      <c r="M63" s="625"/>
      <c r="N63" s="298"/>
      <c r="O63" s="294">
        <f t="shared" si="125"/>
        <v>0</v>
      </c>
      <c r="P63" s="328"/>
      <c r="Q63" s="299"/>
      <c r="R63" s="625"/>
      <c r="S63" s="298"/>
      <c r="T63" s="294">
        <f t="shared" si="126"/>
        <v>0</v>
      </c>
      <c r="U63" s="328"/>
      <c r="V63" s="299"/>
      <c r="W63" s="625"/>
      <c r="X63" s="298"/>
      <c r="Y63" s="294">
        <f t="shared" si="127"/>
        <v>0</v>
      </c>
      <c r="Z63" s="328"/>
      <c r="AA63" s="299"/>
      <c r="AB63" s="625"/>
      <c r="AC63" s="298"/>
      <c r="AD63" s="294">
        <f t="shared" si="128"/>
        <v>0</v>
      </c>
      <c r="AE63" s="322"/>
      <c r="AF63" s="299"/>
      <c r="AG63" s="625"/>
      <c r="AH63" s="298"/>
      <c r="AI63" s="294">
        <f t="shared" si="129"/>
        <v>0</v>
      </c>
      <c r="AJ63" s="322"/>
      <c r="AK63" s="299"/>
      <c r="AL63" s="625"/>
      <c r="AM63" s="298"/>
      <c r="AN63" s="294">
        <f t="shared" si="130"/>
        <v>0</v>
      </c>
      <c r="AO63" s="654"/>
      <c r="BE63" s="275" t="s">
        <v>248</v>
      </c>
      <c r="BF63" s="276">
        <f>9*5.74</f>
        <v>51.660000000000004</v>
      </c>
      <c r="BG63" s="276">
        <v>35.1</v>
      </c>
      <c r="BH63" s="837">
        <f t="shared" si="123"/>
        <v>-16.560000000000002</v>
      </c>
      <c r="CC63" s="719"/>
      <c r="CD63" s="719"/>
      <c r="CE63" s="719"/>
      <c r="CF63" s="719"/>
      <c r="CG63" s="719"/>
      <c r="CH63" s="719"/>
      <c r="CI63" s="719"/>
      <c r="CJ63" s="719"/>
      <c r="CK63" s="719"/>
      <c r="CL63" s="719"/>
      <c r="CM63" s="719"/>
      <c r="CN63" s="719"/>
      <c r="CO63" s="719"/>
      <c r="CP63" s="719"/>
      <c r="CQ63" s="719"/>
      <c r="CR63" s="719"/>
      <c r="CS63" s="719"/>
      <c r="CT63" s="719"/>
      <c r="CU63" s="719"/>
      <c r="CV63" s="719"/>
      <c r="CW63" s="719"/>
      <c r="CX63" s="719"/>
      <c r="CY63" s="719"/>
      <c r="CZ63" s="719"/>
      <c r="DA63" s="719"/>
      <c r="DB63" s="719"/>
      <c r="DC63" s="719"/>
      <c r="DD63" s="719"/>
      <c r="DE63" s="719"/>
      <c r="DF63" s="719"/>
      <c r="DG63" s="719"/>
      <c r="DH63" s="719"/>
      <c r="DI63" s="719"/>
      <c r="DJ63" s="719"/>
      <c r="DK63" s="719"/>
      <c r="DL63" s="719"/>
      <c r="DM63" s="719"/>
      <c r="DN63" s="719"/>
      <c r="DO63" s="719"/>
      <c r="DP63" s="719"/>
      <c r="DQ63" s="719"/>
      <c r="DR63" s="719"/>
    </row>
    <row r="64" spans="1:146" s="275" customFormat="1">
      <c r="A64" s="719"/>
      <c r="B64" s="739" t="str">
        <f t="shared" si="124"/>
        <v>VGIA11</v>
      </c>
      <c r="C64" s="740">
        <v>0.25</v>
      </c>
      <c r="D64" s="719"/>
      <c r="E64" s="719"/>
      <c r="F64" s="719"/>
      <c r="G64" s="719"/>
      <c r="H64" s="719"/>
      <c r="I64" s="719"/>
      <c r="J64" s="719"/>
      <c r="K64" s="652"/>
      <c r="L64" s="299"/>
      <c r="M64" s="625"/>
      <c r="N64" s="298"/>
      <c r="O64" s="294">
        <f t="shared" si="125"/>
        <v>0</v>
      </c>
      <c r="P64" s="328"/>
      <c r="Q64" s="299"/>
      <c r="R64" s="625"/>
      <c r="S64" s="298"/>
      <c r="T64" s="294">
        <f t="shared" si="126"/>
        <v>0</v>
      </c>
      <c r="U64" s="328"/>
      <c r="V64" s="299"/>
      <c r="W64" s="625"/>
      <c r="X64" s="298"/>
      <c r="Y64" s="294">
        <f t="shared" si="127"/>
        <v>0</v>
      </c>
      <c r="Z64" s="328"/>
      <c r="AA64" s="299"/>
      <c r="AB64" s="625"/>
      <c r="AC64" s="298"/>
      <c r="AD64" s="294">
        <f t="shared" si="128"/>
        <v>0</v>
      </c>
      <c r="AE64" s="322"/>
      <c r="AF64" s="299"/>
      <c r="AG64" s="625"/>
      <c r="AH64" s="298"/>
      <c r="AI64" s="294">
        <f t="shared" si="129"/>
        <v>0</v>
      </c>
      <c r="AJ64" s="322"/>
      <c r="AK64" s="299"/>
      <c r="AL64" s="625"/>
      <c r="AM64" s="298"/>
      <c r="AN64" s="294">
        <f t="shared" si="130"/>
        <v>0</v>
      </c>
      <c r="AO64" s="654"/>
      <c r="CC64" s="719"/>
      <c r="CD64" s="719"/>
      <c r="CE64" s="719"/>
      <c r="CF64" s="719"/>
      <c r="CG64" s="719"/>
      <c r="CH64" s="719"/>
      <c r="CI64" s="719"/>
      <c r="CJ64" s="719"/>
      <c r="CK64" s="719"/>
      <c r="CL64" s="719"/>
      <c r="CM64" s="719"/>
      <c r="CN64" s="719"/>
      <c r="CO64" s="719"/>
      <c r="CP64" s="719"/>
      <c r="CQ64" s="719"/>
      <c r="CR64" s="719"/>
      <c r="CS64" s="719"/>
      <c r="CT64" s="719"/>
      <c r="CU64" s="719"/>
      <c r="CV64" s="719"/>
      <c r="CW64" s="719"/>
      <c r="CX64" s="719"/>
      <c r="CY64" s="719"/>
      <c r="CZ64" s="719"/>
      <c r="DA64" s="719"/>
      <c r="DB64" s="719"/>
      <c r="DC64" s="719"/>
      <c r="DD64" s="719"/>
      <c r="DE64" s="719"/>
      <c r="DF64" s="719"/>
      <c r="DG64" s="719"/>
      <c r="DH64" s="719"/>
      <c r="DI64" s="719"/>
      <c r="DJ64" s="719"/>
      <c r="DK64" s="719"/>
      <c r="DL64" s="719"/>
      <c r="DM64" s="719"/>
      <c r="DN64" s="719"/>
      <c r="DO64" s="719"/>
      <c r="DP64" s="719"/>
      <c r="DQ64" s="719"/>
      <c r="DR64" s="719"/>
    </row>
    <row r="65" spans="1:122" s="275" customFormat="1">
      <c r="A65" s="785" t="s">
        <v>604</v>
      </c>
      <c r="B65" s="739" t="str">
        <f t="shared" si="124"/>
        <v>CPTR11</v>
      </c>
      <c r="C65" s="740">
        <v>0</v>
      </c>
      <c r="D65" s="719"/>
      <c r="E65" s="719"/>
      <c r="F65" s="719"/>
      <c r="G65" s="719"/>
      <c r="H65" s="719"/>
      <c r="I65" s="719"/>
      <c r="J65" s="719"/>
      <c r="K65" s="652"/>
      <c r="L65" s="299"/>
      <c r="M65" s="625"/>
      <c r="N65" s="298"/>
      <c r="O65" s="294">
        <f t="shared" si="125"/>
        <v>0</v>
      </c>
      <c r="P65" s="328"/>
      <c r="Q65" s="299"/>
      <c r="R65" s="625"/>
      <c r="S65" s="298"/>
      <c r="T65" s="294">
        <f t="shared" si="126"/>
        <v>0</v>
      </c>
      <c r="U65" s="328"/>
      <c r="V65" s="299"/>
      <c r="W65" s="625"/>
      <c r="X65" s="298"/>
      <c r="Y65" s="294">
        <f t="shared" si="127"/>
        <v>0</v>
      </c>
      <c r="Z65" s="328"/>
      <c r="AA65" s="299"/>
      <c r="AB65" s="625"/>
      <c r="AC65" s="298"/>
      <c r="AD65" s="294">
        <f t="shared" si="128"/>
        <v>0</v>
      </c>
      <c r="AE65" s="322"/>
      <c r="AF65" s="299"/>
      <c r="AG65" s="625"/>
      <c r="AH65" s="298"/>
      <c r="AI65" s="294">
        <f t="shared" si="129"/>
        <v>0</v>
      </c>
      <c r="AJ65" s="322"/>
      <c r="AK65" s="299"/>
      <c r="AL65" s="625"/>
      <c r="AM65" s="298"/>
      <c r="AN65" s="294">
        <f t="shared" si="130"/>
        <v>0</v>
      </c>
      <c r="AO65" s="654"/>
      <c r="CC65" s="719"/>
      <c r="CD65" s="719"/>
      <c r="CE65" s="719"/>
      <c r="CF65" s="719"/>
      <c r="CG65" s="719"/>
      <c r="CH65" s="719"/>
      <c r="CI65" s="719"/>
      <c r="CJ65" s="719"/>
      <c r="CK65" s="719"/>
      <c r="CL65" s="719"/>
      <c r="CM65" s="719"/>
      <c r="CN65" s="719"/>
      <c r="CO65" s="719"/>
      <c r="CP65" s="719"/>
      <c r="CQ65" s="719"/>
      <c r="CR65" s="719"/>
      <c r="CS65" s="719"/>
      <c r="CT65" s="719"/>
      <c r="CU65" s="719"/>
      <c r="CV65" s="719"/>
      <c r="CW65" s="719"/>
      <c r="CX65" s="719"/>
      <c r="CY65" s="719"/>
      <c r="CZ65" s="719"/>
      <c r="DA65" s="719"/>
      <c r="DB65" s="719"/>
      <c r="DC65" s="719"/>
      <c r="DD65" s="719"/>
      <c r="DE65" s="719"/>
      <c r="DF65" s="719"/>
      <c r="DG65" s="719"/>
      <c r="DH65" s="719"/>
      <c r="DI65" s="719"/>
      <c r="DJ65" s="719"/>
      <c r="DK65" s="719"/>
      <c r="DL65" s="719"/>
      <c r="DM65" s="719"/>
      <c r="DN65" s="719"/>
      <c r="DO65" s="719"/>
      <c r="DP65" s="719"/>
      <c r="DQ65" s="719"/>
      <c r="DR65" s="719"/>
    </row>
    <row r="66" spans="1:122" s="275" customFormat="1" ht="15.75">
      <c r="A66" s="785" t="s">
        <v>584</v>
      </c>
      <c r="B66" s="739" t="str">
        <f t="shared" si="124"/>
        <v>JPPA11</v>
      </c>
      <c r="C66" s="740">
        <v>0</v>
      </c>
      <c r="D66" s="719"/>
      <c r="E66" s="719"/>
      <c r="F66" s="719"/>
      <c r="G66" s="719"/>
      <c r="H66" s="719"/>
      <c r="I66" s="719"/>
      <c r="J66" s="719"/>
      <c r="K66" s="652"/>
      <c r="L66" s="299"/>
      <c r="M66" s="625"/>
      <c r="N66" s="298"/>
      <c r="O66" s="294">
        <f t="shared" si="125"/>
        <v>0</v>
      </c>
      <c r="P66" s="328"/>
      <c r="Q66" s="299"/>
      <c r="R66" s="625"/>
      <c r="S66" s="298"/>
      <c r="T66" s="294">
        <f t="shared" si="126"/>
        <v>0</v>
      </c>
      <c r="U66" s="328"/>
      <c r="V66" s="299"/>
      <c r="W66" s="625"/>
      <c r="X66" s="298"/>
      <c r="Y66" s="294">
        <f t="shared" si="127"/>
        <v>0</v>
      </c>
      <c r="Z66" s="328"/>
      <c r="AA66" s="299"/>
      <c r="AB66" s="625"/>
      <c r="AC66" s="298"/>
      <c r="AD66" s="294">
        <f t="shared" si="128"/>
        <v>0</v>
      </c>
      <c r="AE66" s="322"/>
      <c r="AF66" s="299"/>
      <c r="AG66" s="625"/>
      <c r="AH66" s="298"/>
      <c r="AI66" s="294">
        <f t="shared" si="129"/>
        <v>0</v>
      </c>
      <c r="AJ66" s="322"/>
      <c r="AK66" s="299"/>
      <c r="AL66" s="625"/>
      <c r="AM66" s="298"/>
      <c r="AN66" s="294">
        <f t="shared" si="130"/>
        <v>0</v>
      </c>
      <c r="AO66" s="654"/>
      <c r="BG66" s="279">
        <f>E47+BH66</f>
        <v>10621.841399999998</v>
      </c>
      <c r="BH66" s="837">
        <f>SUM(BH53:BH63)</f>
        <v>-16786.947600000003</v>
      </c>
      <c r="BI66" s="279">
        <f>IF((BH66-D27)&gt;0,(BH66-D27),(BH66-D27)*-1)</f>
        <v>15634.048600000002</v>
      </c>
      <c r="CC66" s="719"/>
      <c r="CD66" s="719"/>
      <c r="CE66" s="719"/>
      <c r="CF66" s="719"/>
      <c r="CG66" s="719"/>
      <c r="CH66" s="719"/>
      <c r="CI66" s="719"/>
      <c r="CJ66" s="719"/>
      <c r="CK66" s="719"/>
      <c r="CL66" s="719"/>
      <c r="CM66" s="719"/>
      <c r="CN66" s="719"/>
      <c r="CO66" s="719"/>
      <c r="CP66" s="719"/>
      <c r="CQ66" s="719"/>
      <c r="CR66" s="719"/>
      <c r="CS66" s="719"/>
      <c r="CT66" s="719"/>
      <c r="CU66" s="719"/>
      <c r="CV66" s="719"/>
      <c r="CW66" s="719"/>
      <c r="CX66" s="719"/>
      <c r="CY66" s="719"/>
      <c r="CZ66" s="719"/>
      <c r="DA66" s="719"/>
      <c r="DB66" s="719"/>
      <c r="DC66" s="719"/>
      <c r="DD66" s="719"/>
      <c r="DE66" s="719"/>
      <c r="DF66" s="719"/>
      <c r="DG66" s="719"/>
      <c r="DH66" s="719"/>
      <c r="DI66" s="719"/>
      <c r="DJ66" s="719"/>
      <c r="DK66" s="719"/>
      <c r="DL66" s="719"/>
      <c r="DM66" s="719"/>
      <c r="DN66" s="719"/>
      <c r="DO66" s="719"/>
      <c r="DP66" s="719"/>
      <c r="DQ66" s="719"/>
      <c r="DR66" s="719"/>
    </row>
    <row r="67" spans="1:122" s="275" customFormat="1" ht="15.75">
      <c r="A67" s="785" t="s">
        <v>587</v>
      </c>
      <c r="B67" s="739" t="str">
        <f t="shared" si="124"/>
        <v>FGAA11</v>
      </c>
      <c r="C67" s="740">
        <v>0</v>
      </c>
      <c r="D67" s="719"/>
      <c r="E67" s="719"/>
      <c r="F67" s="719"/>
      <c r="G67" s="719"/>
      <c r="H67" s="719"/>
      <c r="I67" s="719"/>
      <c r="J67" s="719"/>
      <c r="K67" s="652"/>
      <c r="L67" s="186" t="s">
        <v>229</v>
      </c>
      <c r="M67" s="186">
        <f>SUM(M55:M66)+M68</f>
        <v>1</v>
      </c>
      <c r="N67" s="294"/>
      <c r="O67" s="294">
        <f>SUM(O55:O66)</f>
        <v>0</v>
      </c>
      <c r="P67" s="328"/>
      <c r="Q67" s="186" t="s">
        <v>229</v>
      </c>
      <c r="R67" s="186">
        <f>SUM(R55:R66)+R68</f>
        <v>1</v>
      </c>
      <c r="S67" s="294"/>
      <c r="T67" s="294">
        <f>SUM(T55:T66)</f>
        <v>0</v>
      </c>
      <c r="U67" s="328"/>
      <c r="V67" s="186" t="s">
        <v>229</v>
      </c>
      <c r="W67" s="186">
        <f>SUM(W55:W66)+W68</f>
        <v>104</v>
      </c>
      <c r="X67" s="294"/>
      <c r="Y67" s="294">
        <f>SUM(Y55:Y66)</f>
        <v>961.14</v>
      </c>
      <c r="Z67" s="328"/>
      <c r="AA67" s="186" t="s">
        <v>229</v>
      </c>
      <c r="AB67" s="186">
        <f>SUM(AB55:AB66)+AB68</f>
        <v>1</v>
      </c>
      <c r="AC67" s="294"/>
      <c r="AD67" s="294">
        <f>SUM(AD55:AD66)</f>
        <v>0</v>
      </c>
      <c r="AE67" s="322"/>
      <c r="AF67" s="186" t="s">
        <v>229</v>
      </c>
      <c r="AG67" s="186">
        <f>SUM(AG55:AG66)+AG68</f>
        <v>1</v>
      </c>
      <c r="AH67" s="294"/>
      <c r="AI67" s="294">
        <f>SUM(AI55:AI66)</f>
        <v>0</v>
      </c>
      <c r="AJ67" s="322"/>
      <c r="AK67" s="186" t="s">
        <v>229</v>
      </c>
      <c r="AL67" s="186">
        <f>SUM(AL55:AL66)+AL68</f>
        <v>1</v>
      </c>
      <c r="AM67" s="294"/>
      <c r="AN67" s="294">
        <f>SUM(AN55:AN66)</f>
        <v>0</v>
      </c>
      <c r="AO67" s="654"/>
      <c r="BH67" s="837"/>
      <c r="CC67" s="719"/>
      <c r="CD67" s="719"/>
      <c r="CE67" s="719"/>
      <c r="CF67" s="719"/>
      <c r="CG67" s="719"/>
      <c r="CH67" s="719"/>
      <c r="CI67" s="719"/>
      <c r="CJ67" s="719"/>
      <c r="CK67" s="719"/>
      <c r="CL67" s="719"/>
      <c r="CM67" s="719"/>
      <c r="CN67" s="719"/>
      <c r="CO67" s="719"/>
      <c r="CP67" s="719"/>
      <c r="CQ67" s="719"/>
      <c r="CR67" s="719"/>
      <c r="CS67" s="719"/>
      <c r="CT67" s="719"/>
      <c r="CU67" s="719"/>
      <c r="CV67" s="719"/>
      <c r="CW67" s="719"/>
      <c r="CX67" s="719"/>
      <c r="CY67" s="719"/>
      <c r="CZ67" s="719"/>
      <c r="DA67" s="719"/>
      <c r="DB67" s="719"/>
      <c r="DC67" s="719"/>
      <c r="DD67" s="719"/>
      <c r="DE67" s="719"/>
      <c r="DF67" s="719"/>
      <c r="DG67" s="719"/>
      <c r="DH67" s="719"/>
      <c r="DI67" s="719"/>
      <c r="DJ67" s="719"/>
      <c r="DK67" s="719"/>
      <c r="DL67" s="719"/>
      <c r="DM67" s="719"/>
      <c r="DN67" s="719"/>
      <c r="DO67" s="719"/>
      <c r="DP67" s="719"/>
      <c r="DQ67" s="719"/>
      <c r="DR67" s="719"/>
    </row>
    <row r="68" spans="1:122" s="275" customFormat="1" ht="15.75">
      <c r="A68" s="785" t="s">
        <v>584</v>
      </c>
      <c r="B68" s="739" t="str">
        <f t="shared" si="124"/>
        <v>VCRI11</v>
      </c>
      <c r="C68" s="740">
        <v>0</v>
      </c>
      <c r="D68" s="719"/>
      <c r="E68" s="719"/>
      <c r="F68" s="719"/>
      <c r="G68" s="719"/>
      <c r="H68" s="719"/>
      <c r="I68" s="719"/>
      <c r="J68" s="719"/>
      <c r="K68" s="652"/>
      <c r="L68" s="647"/>
      <c r="M68" s="648">
        <v>0</v>
      </c>
      <c r="N68" s="649"/>
      <c r="O68" s="649"/>
      <c r="P68" s="666"/>
      <c r="Q68" s="648"/>
      <c r="R68" s="648">
        <v>0</v>
      </c>
      <c r="S68" s="649"/>
      <c r="T68" s="649"/>
      <c r="U68" s="666"/>
      <c r="V68" s="648"/>
      <c r="W68" s="648">
        <v>0</v>
      </c>
      <c r="X68" s="649"/>
      <c r="Y68" s="649"/>
      <c r="Z68" s="666"/>
      <c r="AA68" s="648"/>
      <c r="AB68" s="648">
        <v>0</v>
      </c>
      <c r="AC68" s="649"/>
      <c r="AD68" s="649"/>
      <c r="AE68" s="666"/>
      <c r="AF68" s="648"/>
      <c r="AG68" s="648">
        <v>0</v>
      </c>
      <c r="AH68" s="649"/>
      <c r="AI68" s="649"/>
      <c r="AJ68" s="666"/>
      <c r="AK68" s="648"/>
      <c r="AL68" s="648">
        <v>0</v>
      </c>
      <c r="AM68" s="649"/>
      <c r="AN68" s="649"/>
      <c r="AO68" s="654"/>
      <c r="BH68" s="837"/>
      <c r="CC68" s="719"/>
      <c r="CD68" s="719"/>
      <c r="CE68" s="719"/>
      <c r="CF68" s="719"/>
      <c r="CG68" s="719"/>
      <c r="CH68" s="719"/>
      <c r="CI68" s="719"/>
      <c r="CJ68" s="719"/>
      <c r="CK68" s="719"/>
      <c r="CL68" s="719"/>
      <c r="CM68" s="719"/>
      <c r="CN68" s="719"/>
      <c r="CO68" s="719"/>
      <c r="CP68" s="719"/>
      <c r="CQ68" s="719"/>
      <c r="CR68" s="719"/>
      <c r="CS68" s="719"/>
      <c r="CT68" s="719"/>
      <c r="CU68" s="719"/>
      <c r="CV68" s="719"/>
      <c r="CW68" s="719"/>
      <c r="CX68" s="719"/>
      <c r="CY68" s="719"/>
      <c r="CZ68" s="719"/>
      <c r="DA68" s="719"/>
      <c r="DB68" s="719"/>
      <c r="DC68" s="719"/>
      <c r="DD68" s="719"/>
      <c r="DE68" s="719"/>
      <c r="DF68" s="719"/>
      <c r="DG68" s="719"/>
      <c r="DH68" s="719"/>
      <c r="DI68" s="719"/>
      <c r="DJ68" s="719"/>
      <c r="DK68" s="719"/>
      <c r="DL68" s="719"/>
      <c r="DM68" s="719"/>
      <c r="DN68" s="719"/>
      <c r="DO68" s="719"/>
      <c r="DP68" s="719"/>
      <c r="DQ68" s="719"/>
      <c r="DR68" s="719"/>
    </row>
    <row r="69" spans="1:122" s="275" customFormat="1" ht="15.75" thickBot="1">
      <c r="A69" s="785" t="s">
        <v>584</v>
      </c>
      <c r="B69" s="739" t="str">
        <f t="shared" si="124"/>
        <v>BBFI11</v>
      </c>
      <c r="C69" s="740">
        <v>0</v>
      </c>
      <c r="D69" s="719"/>
      <c r="E69" s="719"/>
      <c r="F69" s="719"/>
      <c r="G69" s="719"/>
      <c r="H69" s="719"/>
      <c r="I69" s="719"/>
      <c r="J69" s="719"/>
      <c r="K69" s="655"/>
      <c r="L69" s="656"/>
      <c r="M69" s="657"/>
      <c r="N69" s="658"/>
      <c r="O69" s="658"/>
      <c r="P69" s="659"/>
      <c r="Q69" s="657"/>
      <c r="R69" s="657"/>
      <c r="S69" s="658"/>
      <c r="T69" s="658"/>
      <c r="U69" s="659"/>
      <c r="V69" s="657"/>
      <c r="W69" s="657"/>
      <c r="X69" s="658"/>
      <c r="Y69" s="658"/>
      <c r="Z69" s="659"/>
      <c r="AA69" s="657"/>
      <c r="AB69" s="657"/>
      <c r="AC69" s="660"/>
      <c r="AD69" s="660"/>
      <c r="AE69" s="661"/>
      <c r="AF69" s="662"/>
      <c r="AG69" s="662"/>
      <c r="AH69" s="663"/>
      <c r="AI69" s="664"/>
      <c r="AJ69" s="661"/>
      <c r="AK69" s="661"/>
      <c r="AL69" s="661"/>
      <c r="AM69" s="661"/>
      <c r="AN69" s="661"/>
      <c r="AO69" s="665"/>
      <c r="CC69" s="719"/>
      <c r="CD69" s="719"/>
      <c r="CE69" s="719"/>
      <c r="CF69" s="719"/>
      <c r="CG69" s="719"/>
      <c r="CH69" s="719"/>
      <c r="CI69" s="719"/>
      <c r="CJ69" s="719"/>
      <c r="CK69" s="719"/>
      <c r="CL69" s="719"/>
      <c r="CM69" s="719"/>
      <c r="CN69" s="719"/>
      <c r="CO69" s="719"/>
      <c r="CP69" s="719"/>
      <c r="CQ69" s="719"/>
      <c r="CR69" s="719"/>
      <c r="CS69" s="719"/>
      <c r="CT69" s="719"/>
      <c r="CU69" s="719"/>
      <c r="CV69" s="719"/>
      <c r="CW69" s="719"/>
      <c r="CX69" s="719"/>
      <c r="CY69" s="719"/>
      <c r="CZ69" s="719"/>
      <c r="DA69" s="719"/>
      <c r="DB69" s="719"/>
      <c r="DC69" s="719"/>
      <c r="DD69" s="719"/>
      <c r="DE69" s="719"/>
      <c r="DF69" s="719"/>
      <c r="DG69" s="719"/>
      <c r="DH69" s="719"/>
      <c r="DI69" s="719"/>
      <c r="DJ69" s="719"/>
      <c r="DK69" s="719"/>
      <c r="DL69" s="719"/>
      <c r="DM69" s="719"/>
      <c r="DN69" s="719"/>
      <c r="DO69" s="719"/>
      <c r="DP69" s="719"/>
      <c r="DQ69" s="719"/>
      <c r="DR69" s="719"/>
    </row>
    <row r="70" spans="1:122" s="719" customFormat="1">
      <c r="A70" s="785" t="s">
        <v>655</v>
      </c>
      <c r="B70" s="739" t="str">
        <f t="shared" si="124"/>
        <v>RBOP11</v>
      </c>
      <c r="C70" s="740">
        <v>0</v>
      </c>
      <c r="N70" s="721"/>
      <c r="O70" s="721"/>
      <c r="S70" s="721"/>
      <c r="T70" s="721"/>
      <c r="X70" s="721"/>
      <c r="Y70" s="721"/>
      <c r="AC70" s="721"/>
      <c r="AD70" s="721"/>
      <c r="AH70" s="721"/>
      <c r="AI70" s="721"/>
    </row>
    <row r="71" spans="1:122" ht="27" customHeight="1">
      <c r="A71" s="785"/>
      <c r="B71" s="719"/>
      <c r="C71" s="719"/>
      <c r="D71" s="719"/>
      <c r="E71" s="719"/>
      <c r="F71" s="719"/>
      <c r="G71" s="719"/>
      <c r="H71" s="719"/>
      <c r="I71" s="719"/>
      <c r="J71" s="719"/>
      <c r="K71" s="334"/>
      <c r="L71" s="1031" t="s">
        <v>203</v>
      </c>
      <c r="M71" s="1031"/>
      <c r="N71" s="1031"/>
      <c r="O71" s="1031"/>
      <c r="P71" s="1031"/>
      <c r="Q71" s="1031"/>
      <c r="R71" s="1031"/>
      <c r="S71" s="1031"/>
      <c r="T71" s="1031"/>
      <c r="U71" s="1031"/>
      <c r="V71" s="1031"/>
      <c r="W71" s="1031"/>
      <c r="X71" s="1031"/>
      <c r="Y71" s="1031"/>
      <c r="Z71" s="1031"/>
      <c r="AA71" s="1031"/>
      <c r="AB71" s="1031"/>
      <c r="AC71" s="1031"/>
      <c r="AD71" s="1031"/>
      <c r="AE71" s="1031"/>
      <c r="AF71" s="1031"/>
      <c r="AG71" s="1031"/>
      <c r="AH71" s="1031"/>
      <c r="AI71" s="1031"/>
      <c r="AJ71" s="333"/>
    </row>
    <row r="72" spans="1:122">
      <c r="B72" s="719"/>
      <c r="C72" s="719"/>
      <c r="D72" s="719"/>
      <c r="E72" s="719"/>
      <c r="F72" s="719"/>
      <c r="G72" s="719"/>
      <c r="H72" s="719"/>
      <c r="I72" s="719"/>
      <c r="J72" s="719"/>
      <c r="K72" s="327"/>
      <c r="L72" s="912" t="s">
        <v>243</v>
      </c>
      <c r="M72" s="912"/>
      <c r="N72" s="912"/>
      <c r="O72" s="912"/>
      <c r="P72" s="329"/>
      <c r="Q72" s="912" t="s">
        <v>236</v>
      </c>
      <c r="R72" s="912"/>
      <c r="S72" s="912"/>
      <c r="T72" s="912"/>
      <c r="U72" s="329"/>
      <c r="V72" s="912" t="s">
        <v>292</v>
      </c>
      <c r="W72" s="912"/>
      <c r="X72" s="912"/>
      <c r="Y72" s="912"/>
      <c r="Z72" s="329"/>
      <c r="AA72" s="912" t="s">
        <v>557</v>
      </c>
      <c r="AB72" s="912"/>
      <c r="AC72" s="912"/>
      <c r="AD72" s="912"/>
      <c r="AE72" s="325"/>
      <c r="AF72" s="912" t="s">
        <v>342</v>
      </c>
      <c r="AG72" s="912"/>
      <c r="AH72" s="912"/>
      <c r="AI72" s="912"/>
      <c r="AJ72" s="325"/>
    </row>
    <row r="73" spans="1:122">
      <c r="B73" s="1113" t="s">
        <v>655</v>
      </c>
      <c r="C73" s="802" t="s">
        <v>613</v>
      </c>
      <c r="D73" s="719"/>
      <c r="E73" s="719"/>
      <c r="F73" s="719"/>
      <c r="G73" s="719"/>
      <c r="H73" s="719"/>
      <c r="I73" s="719"/>
      <c r="J73" s="719"/>
      <c r="K73" s="327"/>
      <c r="L73" s="186" t="s">
        <v>1</v>
      </c>
      <c r="M73" s="186" t="s">
        <v>232</v>
      </c>
      <c r="N73" s="294" t="s">
        <v>231</v>
      </c>
      <c r="O73" s="294" t="s">
        <v>230</v>
      </c>
      <c r="P73" s="329"/>
      <c r="Q73" s="186" t="s">
        <v>1</v>
      </c>
      <c r="R73" s="186" t="s">
        <v>232</v>
      </c>
      <c r="S73" s="294" t="s">
        <v>231</v>
      </c>
      <c r="T73" s="294" t="s">
        <v>230</v>
      </c>
      <c r="U73" s="329"/>
      <c r="V73" s="186" t="s">
        <v>1</v>
      </c>
      <c r="W73" s="186" t="s">
        <v>232</v>
      </c>
      <c r="X73" s="294" t="s">
        <v>231</v>
      </c>
      <c r="Y73" s="294" t="s">
        <v>230</v>
      </c>
      <c r="Z73" s="329"/>
      <c r="AA73" s="186" t="s">
        <v>1</v>
      </c>
      <c r="AB73" s="186" t="s">
        <v>232</v>
      </c>
      <c r="AC73" s="294" t="s">
        <v>231</v>
      </c>
      <c r="AD73" s="294" t="s">
        <v>230</v>
      </c>
      <c r="AE73" s="325"/>
      <c r="AF73" s="186" t="s">
        <v>1</v>
      </c>
      <c r="AG73" s="186" t="s">
        <v>232</v>
      </c>
      <c r="AH73" s="294" t="s">
        <v>231</v>
      </c>
      <c r="AI73" s="294" t="s">
        <v>230</v>
      </c>
      <c r="AJ73" s="325"/>
    </row>
    <row r="74" spans="1:122">
      <c r="B74" s="1113"/>
      <c r="C74" s="801"/>
      <c r="D74" s="719"/>
      <c r="E74" s="719"/>
      <c r="F74" s="719"/>
      <c r="G74" s="719"/>
      <c r="H74" s="719"/>
      <c r="I74" s="719"/>
      <c r="J74" s="719"/>
      <c r="K74" s="327"/>
      <c r="L74" s="299">
        <v>45169</v>
      </c>
      <c r="M74" s="623">
        <v>3</v>
      </c>
      <c r="N74" s="298">
        <v>10.3666</v>
      </c>
      <c r="O74" s="294">
        <f t="shared" ref="O74:O85" si="131">N74*M74</f>
        <v>31.099800000000002</v>
      </c>
      <c r="P74" s="329"/>
      <c r="Q74" s="299">
        <v>44998</v>
      </c>
      <c r="R74" s="623">
        <v>9</v>
      </c>
      <c r="S74" s="298">
        <f>7</f>
        <v>7</v>
      </c>
      <c r="T74" s="294">
        <f t="shared" ref="T74:T85" si="132">S74*R74</f>
        <v>63</v>
      </c>
      <c r="U74" s="329"/>
      <c r="V74" s="299">
        <v>45013</v>
      </c>
      <c r="W74" s="623">
        <v>1</v>
      </c>
      <c r="X74" s="298">
        <v>115.99</v>
      </c>
      <c r="Y74" s="294">
        <f t="shared" ref="Y74:Y85" si="133">X74*W74</f>
        <v>115.99</v>
      </c>
      <c r="Z74" s="329"/>
      <c r="AA74" s="633">
        <v>45119</v>
      </c>
      <c r="AB74" s="427">
        <v>1</v>
      </c>
      <c r="AC74" s="622">
        <v>83.15</v>
      </c>
      <c r="AD74" s="294">
        <f t="shared" ref="AD74:AD85" si="134">AC74*AB74</f>
        <v>83.15</v>
      </c>
      <c r="AE74" s="325"/>
      <c r="AF74" s="299">
        <v>45013</v>
      </c>
      <c r="AG74" s="623">
        <v>2</v>
      </c>
      <c r="AH74" s="298">
        <v>60.67</v>
      </c>
      <c r="AI74" s="294">
        <f t="shared" ref="AI74:AI85" si="135">AH74*AG74</f>
        <v>121.34</v>
      </c>
      <c r="AJ74" s="325"/>
    </row>
    <row r="75" spans="1:122">
      <c r="B75" s="781" t="s">
        <v>604</v>
      </c>
      <c r="C75" s="780" t="str">
        <f>AA109</f>
        <v>VGIA11</v>
      </c>
      <c r="D75" s="719"/>
      <c r="E75" s="719"/>
      <c r="F75" s="719"/>
      <c r="G75" s="719"/>
      <c r="H75" s="719"/>
      <c r="I75" s="719"/>
      <c r="J75" s="719"/>
      <c r="K75" s="327"/>
      <c r="L75" s="299">
        <v>45230</v>
      </c>
      <c r="M75" s="623">
        <v>-18</v>
      </c>
      <c r="N75" s="298">
        <v>9.94</v>
      </c>
      <c r="O75" s="294">
        <f t="shared" si="131"/>
        <v>-178.92</v>
      </c>
      <c r="P75" s="329"/>
      <c r="Q75" s="299">
        <v>45013</v>
      </c>
      <c r="R75" s="623">
        <v>16</v>
      </c>
      <c r="S75" s="298">
        <v>6.78</v>
      </c>
      <c r="T75" s="294">
        <f t="shared" si="132"/>
        <v>108.48</v>
      </c>
      <c r="U75" s="329"/>
      <c r="V75" s="299">
        <v>45082</v>
      </c>
      <c r="W75" s="623">
        <v>5</v>
      </c>
      <c r="X75" s="298">
        <v>119.25</v>
      </c>
      <c r="Y75" s="294">
        <f t="shared" si="133"/>
        <v>596.25</v>
      </c>
      <c r="Z75" s="329"/>
      <c r="AA75" s="299">
        <v>45279</v>
      </c>
      <c r="AB75" s="623">
        <v>25</v>
      </c>
      <c r="AC75" s="298">
        <v>72.5</v>
      </c>
      <c r="AD75" s="294">
        <f t="shared" si="134"/>
        <v>1812.5</v>
      </c>
      <c r="AE75" s="325"/>
      <c r="AF75" s="299">
        <v>45057</v>
      </c>
      <c r="AG75" s="623">
        <v>5</v>
      </c>
      <c r="AH75" s="298">
        <v>59.82</v>
      </c>
      <c r="AI75" s="294">
        <f t="shared" si="135"/>
        <v>299.10000000000002</v>
      </c>
      <c r="AJ75" s="325"/>
    </row>
    <row r="76" spans="1:122">
      <c r="B76" s="1003" t="s">
        <v>583</v>
      </c>
      <c r="C76" s="783" t="str">
        <f>Y109</f>
        <v>OURE11</v>
      </c>
      <c r="D76" s="782"/>
      <c r="E76" s="719"/>
      <c r="F76" s="719"/>
      <c r="G76" s="719"/>
      <c r="H76" s="719"/>
      <c r="I76" s="719"/>
      <c r="J76" s="719"/>
      <c r="K76" s="327"/>
      <c r="L76" s="299"/>
      <c r="M76" s="623">
        <v>1</v>
      </c>
      <c r="N76" s="298"/>
      <c r="O76" s="294">
        <f t="shared" si="131"/>
        <v>0</v>
      </c>
      <c r="P76" s="329"/>
      <c r="Q76" s="299">
        <v>45057</v>
      </c>
      <c r="R76" s="623">
        <f>4+3</f>
        <v>7</v>
      </c>
      <c r="S76" s="298">
        <f>6.98+6.99</f>
        <v>13.97</v>
      </c>
      <c r="T76" s="294">
        <f t="shared" si="132"/>
        <v>97.79</v>
      </c>
      <c r="U76" s="329"/>
      <c r="V76" s="299">
        <v>45119</v>
      </c>
      <c r="W76" s="623">
        <v>1</v>
      </c>
      <c r="X76" s="298">
        <v>122.23</v>
      </c>
      <c r="Y76" s="294">
        <f t="shared" si="133"/>
        <v>122.23</v>
      </c>
      <c r="Z76" s="329"/>
      <c r="AA76" s="299"/>
      <c r="AB76" s="623"/>
      <c r="AC76" s="298"/>
      <c r="AD76" s="294">
        <f t="shared" si="134"/>
        <v>0</v>
      </c>
      <c r="AE76" s="325"/>
      <c r="AF76" s="299">
        <v>45082</v>
      </c>
      <c r="AG76" s="623">
        <v>6</v>
      </c>
      <c r="AH76" s="298">
        <f>387.06/6</f>
        <v>64.510000000000005</v>
      </c>
      <c r="AI76" s="294">
        <f t="shared" si="135"/>
        <v>387.06000000000006</v>
      </c>
      <c r="AJ76" s="325"/>
    </row>
    <row r="77" spans="1:122">
      <c r="B77" s="1003"/>
      <c r="C77" s="783" t="str">
        <f>K109</f>
        <v>RZAK11</v>
      </c>
      <c r="D77" s="782"/>
      <c r="E77" s="719"/>
      <c r="F77" s="719"/>
      <c r="G77" s="719"/>
      <c r="H77" s="719"/>
      <c r="I77" s="719"/>
      <c r="J77" s="719"/>
      <c r="K77" s="327"/>
      <c r="L77" s="299"/>
      <c r="M77" s="623"/>
      <c r="N77" s="298"/>
      <c r="O77" s="294">
        <f t="shared" si="131"/>
        <v>0</v>
      </c>
      <c r="P77" s="329"/>
      <c r="Q77" s="299">
        <v>45082</v>
      </c>
      <c r="R77" s="623">
        <v>54</v>
      </c>
      <c r="S77" s="298">
        <f>399.06/54</f>
        <v>7.39</v>
      </c>
      <c r="T77" s="294">
        <f t="shared" si="132"/>
        <v>399.06</v>
      </c>
      <c r="U77" s="329"/>
      <c r="V77" s="299">
        <v>45279</v>
      </c>
      <c r="W77" s="623">
        <v>11</v>
      </c>
      <c r="X77" s="298">
        <v>118.05</v>
      </c>
      <c r="Y77" s="294">
        <f t="shared" si="133"/>
        <v>1298.55</v>
      </c>
      <c r="Z77" s="329"/>
      <c r="AA77" s="299"/>
      <c r="AB77" s="623"/>
      <c r="AC77" s="298"/>
      <c r="AD77" s="294">
        <f t="shared" si="134"/>
        <v>0</v>
      </c>
      <c r="AE77" s="325"/>
      <c r="AF77" s="299">
        <v>45099</v>
      </c>
      <c r="AG77" s="623">
        <v>2</v>
      </c>
      <c r="AH77" s="298">
        <v>68.22</v>
      </c>
      <c r="AI77" s="294">
        <f t="shared" si="135"/>
        <v>136.44</v>
      </c>
      <c r="AJ77" s="325"/>
    </row>
    <row r="78" spans="1:122">
      <c r="B78" s="1002" t="s">
        <v>584</v>
      </c>
      <c r="C78" s="784"/>
      <c r="D78" s="719"/>
      <c r="E78" s="719"/>
      <c r="F78" s="719"/>
      <c r="G78" s="719"/>
      <c r="H78" s="719"/>
      <c r="I78" s="719"/>
      <c r="J78" s="719"/>
      <c r="K78" s="327"/>
      <c r="L78" s="299"/>
      <c r="M78" s="623"/>
      <c r="N78" s="298"/>
      <c r="O78" s="294">
        <f t="shared" si="131"/>
        <v>0</v>
      </c>
      <c r="P78" s="329"/>
      <c r="Q78" s="299">
        <v>45099</v>
      </c>
      <c r="R78" s="623">
        <v>15</v>
      </c>
      <c r="S78" s="298">
        <v>7.43</v>
      </c>
      <c r="T78" s="294">
        <f t="shared" si="132"/>
        <v>111.44999999999999</v>
      </c>
      <c r="U78" s="329"/>
      <c r="V78" s="299"/>
      <c r="W78" s="623"/>
      <c r="X78" s="298"/>
      <c r="Y78" s="294">
        <f t="shared" si="133"/>
        <v>0</v>
      </c>
      <c r="Z78" s="329"/>
      <c r="AA78" s="299"/>
      <c r="AB78" s="623"/>
      <c r="AC78" s="298"/>
      <c r="AD78" s="294">
        <f t="shared" si="134"/>
        <v>0</v>
      </c>
      <c r="AE78" s="325"/>
      <c r="AF78" s="299">
        <v>45279</v>
      </c>
      <c r="AG78" s="623">
        <v>42</v>
      </c>
      <c r="AH78" s="298">
        <v>55.02</v>
      </c>
      <c r="AI78" s="294">
        <f t="shared" si="135"/>
        <v>2310.84</v>
      </c>
      <c r="AJ78" s="325"/>
    </row>
    <row r="79" spans="1:122">
      <c r="B79" s="1002"/>
      <c r="C79" s="784"/>
      <c r="D79" s="719"/>
      <c r="E79" s="719"/>
      <c r="F79" s="719"/>
      <c r="G79" s="719"/>
      <c r="H79" s="719"/>
      <c r="I79" s="719"/>
      <c r="J79" s="719"/>
      <c r="K79" s="327"/>
      <c r="L79" s="299"/>
      <c r="M79" s="623"/>
      <c r="N79" s="298"/>
      <c r="O79" s="294">
        <f t="shared" si="131"/>
        <v>0</v>
      </c>
      <c r="P79" s="329"/>
      <c r="Q79" s="299">
        <v>45133</v>
      </c>
      <c r="R79" s="623">
        <v>1</v>
      </c>
      <c r="S79" s="298">
        <v>7.74</v>
      </c>
      <c r="T79" s="294">
        <f t="shared" si="132"/>
        <v>7.74</v>
      </c>
      <c r="U79" s="329"/>
      <c r="V79" s="299"/>
      <c r="W79" s="623"/>
      <c r="X79" s="298"/>
      <c r="Y79" s="294">
        <f t="shared" si="133"/>
        <v>0</v>
      </c>
      <c r="Z79" s="329"/>
      <c r="AA79" s="299"/>
      <c r="AB79" s="623"/>
      <c r="AC79" s="298"/>
      <c r="AD79" s="294">
        <f t="shared" si="134"/>
        <v>0</v>
      </c>
      <c r="AE79" s="325"/>
      <c r="AF79" s="299"/>
      <c r="AG79" s="623"/>
      <c r="AH79" s="298"/>
      <c r="AI79" s="294">
        <f t="shared" si="135"/>
        <v>0</v>
      </c>
      <c r="AJ79" s="325"/>
    </row>
    <row r="80" spans="1:122">
      <c r="B80" s="1002"/>
      <c r="C80" s="784" t="str">
        <f>Q109</f>
        <v>URPR11</v>
      </c>
      <c r="D80" s="719"/>
      <c r="E80" s="719"/>
      <c r="F80" s="719"/>
      <c r="G80" s="719"/>
      <c r="H80" s="719"/>
      <c r="I80" s="719"/>
      <c r="J80" s="719"/>
      <c r="K80" s="327"/>
      <c r="L80" s="299"/>
      <c r="M80" s="623"/>
      <c r="N80" s="298"/>
      <c r="O80" s="294">
        <f t="shared" si="131"/>
        <v>0</v>
      </c>
      <c r="P80" s="329"/>
      <c r="Q80" s="299">
        <v>45244</v>
      </c>
      <c r="R80" s="623">
        <v>-112</v>
      </c>
      <c r="S80" s="298">
        <v>7.3402000000000003</v>
      </c>
      <c r="T80" s="294">
        <f t="shared" si="132"/>
        <v>-822.10239999999999</v>
      </c>
      <c r="U80" s="329"/>
      <c r="V80" s="299"/>
      <c r="W80" s="623"/>
      <c r="X80" s="298"/>
      <c r="Y80" s="294">
        <f t="shared" si="133"/>
        <v>0</v>
      </c>
      <c r="Z80" s="329"/>
      <c r="AA80" s="299"/>
      <c r="AB80" s="623"/>
      <c r="AC80" s="298"/>
      <c r="AD80" s="294">
        <f t="shared" si="134"/>
        <v>0</v>
      </c>
      <c r="AE80" s="325"/>
      <c r="AF80" s="299"/>
      <c r="AG80" s="623"/>
      <c r="AH80" s="298"/>
      <c r="AI80" s="294">
        <f t="shared" si="135"/>
        <v>0</v>
      </c>
      <c r="AJ80" s="325"/>
      <c r="AZ80" s="279"/>
    </row>
    <row r="81" spans="2:39">
      <c r="B81" s="1002"/>
      <c r="C81" s="784" t="str">
        <f>S109</f>
        <v>AIEC11</v>
      </c>
      <c r="D81" s="719"/>
      <c r="E81" s="719"/>
      <c r="F81" s="719"/>
      <c r="G81" s="719"/>
      <c r="H81" s="719"/>
      <c r="I81" s="719"/>
      <c r="J81" s="719"/>
      <c r="K81" s="327"/>
      <c r="L81" s="299"/>
      <c r="M81" s="623"/>
      <c r="N81" s="298"/>
      <c r="O81" s="294">
        <f t="shared" si="131"/>
        <v>0</v>
      </c>
      <c r="P81" s="329"/>
      <c r="Q81" s="299"/>
      <c r="R81" s="623">
        <v>1</v>
      </c>
      <c r="S81" s="298"/>
      <c r="T81" s="294">
        <f t="shared" si="132"/>
        <v>0</v>
      </c>
      <c r="U81" s="329"/>
      <c r="V81" s="299"/>
      <c r="W81" s="623"/>
      <c r="X81" s="298"/>
      <c r="Y81" s="294">
        <f t="shared" si="133"/>
        <v>0</v>
      </c>
      <c r="Z81" s="329"/>
      <c r="AA81" s="299"/>
      <c r="AB81" s="623"/>
      <c r="AC81" s="298"/>
      <c r="AD81" s="294">
        <f t="shared" si="134"/>
        <v>0</v>
      </c>
      <c r="AE81" s="325"/>
      <c r="AF81" s="299"/>
      <c r="AG81" s="623"/>
      <c r="AH81" s="298"/>
      <c r="AI81" s="294">
        <f t="shared" si="135"/>
        <v>0</v>
      </c>
      <c r="AJ81" s="325"/>
    </row>
    <row r="82" spans="2:39">
      <c r="B82" s="1002"/>
      <c r="C82" s="784" t="str">
        <f>U109</f>
        <v>TGAR11</v>
      </c>
      <c r="D82" s="719"/>
      <c r="E82" s="719"/>
      <c r="F82" s="719"/>
      <c r="G82" s="719"/>
      <c r="H82" s="719"/>
      <c r="I82" s="719"/>
      <c r="J82" s="719"/>
      <c r="K82" s="327"/>
      <c r="L82" s="299"/>
      <c r="M82" s="623"/>
      <c r="N82" s="298"/>
      <c r="O82" s="294">
        <f t="shared" si="131"/>
        <v>0</v>
      </c>
      <c r="P82" s="329"/>
      <c r="Q82" s="299"/>
      <c r="R82" s="623"/>
      <c r="S82" s="298"/>
      <c r="T82" s="294">
        <f t="shared" si="132"/>
        <v>0</v>
      </c>
      <c r="U82" s="329"/>
      <c r="V82" s="299"/>
      <c r="W82" s="623"/>
      <c r="X82" s="298"/>
      <c r="Y82" s="294">
        <f t="shared" si="133"/>
        <v>0</v>
      </c>
      <c r="Z82" s="329"/>
      <c r="AA82" s="299"/>
      <c r="AB82" s="623"/>
      <c r="AC82" s="298"/>
      <c r="AD82" s="294">
        <f t="shared" si="134"/>
        <v>0</v>
      </c>
      <c r="AE82" s="325"/>
      <c r="AF82" s="299"/>
      <c r="AG82" s="623"/>
      <c r="AH82" s="298"/>
      <c r="AI82" s="294">
        <f t="shared" si="135"/>
        <v>0</v>
      </c>
      <c r="AJ82" s="325"/>
    </row>
    <row r="83" spans="2:39">
      <c r="B83" s="1002"/>
      <c r="C83" s="784" t="str">
        <f>W109</f>
        <v>XPCA11</v>
      </c>
      <c r="D83" s="719"/>
      <c r="E83" s="719"/>
      <c r="F83" s="719"/>
      <c r="G83" s="719"/>
      <c r="H83" s="719"/>
      <c r="I83" s="719"/>
      <c r="J83" s="719"/>
      <c r="K83" s="327"/>
      <c r="L83" s="299"/>
      <c r="M83" s="623"/>
      <c r="N83" s="298"/>
      <c r="O83" s="294">
        <f t="shared" si="131"/>
        <v>0</v>
      </c>
      <c r="P83" s="329"/>
      <c r="Q83" s="299"/>
      <c r="R83" s="623"/>
      <c r="S83" s="298"/>
      <c r="T83" s="294">
        <f t="shared" si="132"/>
        <v>0</v>
      </c>
      <c r="U83" s="329"/>
      <c r="V83" s="299"/>
      <c r="W83" s="623"/>
      <c r="X83" s="298"/>
      <c r="Y83" s="294">
        <f t="shared" si="133"/>
        <v>0</v>
      </c>
      <c r="Z83" s="329"/>
      <c r="AA83" s="299"/>
      <c r="AB83" s="623"/>
      <c r="AC83" s="298"/>
      <c r="AD83" s="294">
        <f t="shared" si="134"/>
        <v>0</v>
      </c>
      <c r="AE83" s="325"/>
      <c r="AF83" s="299"/>
      <c r="AG83" s="623"/>
      <c r="AH83" s="298"/>
      <c r="AI83" s="294">
        <f t="shared" si="135"/>
        <v>0</v>
      </c>
      <c r="AJ83" s="325"/>
    </row>
    <row r="84" spans="2:39">
      <c r="B84" s="719"/>
      <c r="C84" s="719"/>
      <c r="D84" s="719"/>
      <c r="E84" s="719"/>
      <c r="F84" s="719"/>
      <c r="G84" s="719"/>
      <c r="H84" s="719"/>
      <c r="I84" s="719"/>
      <c r="J84" s="719"/>
      <c r="K84" s="327"/>
      <c r="L84" s="299"/>
      <c r="M84" s="623"/>
      <c r="N84" s="298"/>
      <c r="O84" s="294">
        <f t="shared" si="131"/>
        <v>0</v>
      </c>
      <c r="P84" s="329"/>
      <c r="Q84" s="299"/>
      <c r="R84" s="623"/>
      <c r="S84" s="298"/>
      <c r="T84" s="294">
        <f t="shared" si="132"/>
        <v>0</v>
      </c>
      <c r="U84" s="329"/>
      <c r="V84" s="299"/>
      <c r="W84" s="623"/>
      <c r="X84" s="298"/>
      <c r="Y84" s="294">
        <f t="shared" si="133"/>
        <v>0</v>
      </c>
      <c r="Z84" s="329"/>
      <c r="AA84" s="299"/>
      <c r="AB84" s="623"/>
      <c r="AC84" s="298"/>
      <c r="AD84" s="294">
        <f t="shared" si="134"/>
        <v>0</v>
      </c>
      <c r="AE84" s="325"/>
      <c r="AF84" s="299"/>
      <c r="AG84" s="623"/>
      <c r="AH84" s="298"/>
      <c r="AI84" s="294">
        <f t="shared" si="135"/>
        <v>0</v>
      </c>
      <c r="AJ84" s="325"/>
    </row>
    <row r="85" spans="2:39">
      <c r="B85" s="719"/>
      <c r="C85" s="719"/>
      <c r="D85" s="719"/>
      <c r="E85" s="719"/>
      <c r="F85" s="719"/>
      <c r="G85" s="719"/>
      <c r="H85" s="719"/>
      <c r="I85" s="719"/>
      <c r="J85" s="719"/>
      <c r="K85" s="327"/>
      <c r="L85" s="299"/>
      <c r="M85" s="623"/>
      <c r="N85" s="298"/>
      <c r="O85" s="294">
        <f t="shared" si="131"/>
        <v>0</v>
      </c>
      <c r="P85" s="329"/>
      <c r="Q85" s="299"/>
      <c r="R85" s="623"/>
      <c r="S85" s="298"/>
      <c r="T85" s="294">
        <f t="shared" si="132"/>
        <v>0</v>
      </c>
      <c r="U85" s="329"/>
      <c r="V85" s="299"/>
      <c r="W85" s="623"/>
      <c r="X85" s="298"/>
      <c r="Y85" s="294">
        <f t="shared" si="133"/>
        <v>0</v>
      </c>
      <c r="Z85" s="329"/>
      <c r="AA85" s="299"/>
      <c r="AB85" s="623"/>
      <c r="AC85" s="298"/>
      <c r="AD85" s="294">
        <f t="shared" si="134"/>
        <v>0</v>
      </c>
      <c r="AE85" s="325"/>
      <c r="AF85" s="299"/>
      <c r="AG85" s="623"/>
      <c r="AH85" s="298"/>
      <c r="AI85" s="294">
        <f t="shared" si="135"/>
        <v>0</v>
      </c>
      <c r="AJ85" s="325"/>
    </row>
    <row r="86" spans="2:39">
      <c r="B86" s="719"/>
      <c r="C86" s="719"/>
      <c r="D86" s="719"/>
      <c r="E86" s="719"/>
      <c r="F86" s="719"/>
      <c r="G86" s="719"/>
      <c r="H86" s="719"/>
      <c r="I86" s="719"/>
      <c r="J86" s="719"/>
      <c r="K86" s="327"/>
      <c r="L86" s="186" t="s">
        <v>229</v>
      </c>
      <c r="M86" s="186">
        <f>SUM(M74:M85)+M87</f>
        <v>1</v>
      </c>
      <c r="N86" s="294"/>
      <c r="O86" s="294">
        <f>SUM(O74:O85)</f>
        <v>-147.8202</v>
      </c>
      <c r="P86" s="329"/>
      <c r="Q86" s="186" t="s">
        <v>229</v>
      </c>
      <c r="R86" s="186">
        <f>SUM(R74:R85)+R87</f>
        <v>1</v>
      </c>
      <c r="S86" s="294"/>
      <c r="T86" s="294">
        <f>SUM(T74:T85)</f>
        <v>-34.582400000000007</v>
      </c>
      <c r="U86" s="329"/>
      <c r="V86" s="186" t="s">
        <v>229</v>
      </c>
      <c r="W86" s="186">
        <f>SUM(W74:W85)+W87</f>
        <v>18</v>
      </c>
      <c r="X86" s="294"/>
      <c r="Y86" s="294">
        <f>SUM(Y74:Y85)</f>
        <v>2133.02</v>
      </c>
      <c r="Z86" s="329"/>
      <c r="AA86" s="186" t="s">
        <v>229</v>
      </c>
      <c r="AB86" s="186">
        <f>SUM(AB74:AB85)+AB87</f>
        <v>26</v>
      </c>
      <c r="AC86" s="294"/>
      <c r="AD86" s="294">
        <f>SUM(AD74:AD85)</f>
        <v>1895.65</v>
      </c>
      <c r="AE86" s="325"/>
      <c r="AF86" s="186" t="s">
        <v>229</v>
      </c>
      <c r="AG86" s="186">
        <f>SUM(AG74:AG85)+AG87</f>
        <v>57</v>
      </c>
      <c r="AH86" s="294"/>
      <c r="AI86" s="294">
        <f>SUM(AI74:AI85)</f>
        <v>3254.78</v>
      </c>
      <c r="AJ86" s="325"/>
    </row>
    <row r="87" spans="2:39">
      <c r="B87" s="719"/>
      <c r="C87" s="719"/>
      <c r="D87" s="719"/>
      <c r="E87" s="719"/>
      <c r="F87" s="719"/>
      <c r="G87" s="719"/>
      <c r="H87" s="719"/>
      <c r="I87" s="719"/>
      <c r="J87" s="719"/>
      <c r="K87" s="327"/>
      <c r="L87" s="626"/>
      <c r="M87" s="627">
        <v>15</v>
      </c>
      <c r="N87" s="628"/>
      <c r="O87" s="628">
        <v>18</v>
      </c>
      <c r="P87" s="629"/>
      <c r="Q87" s="627"/>
      <c r="R87" s="627">
        <v>10</v>
      </c>
      <c r="S87" s="628"/>
      <c r="T87" s="628"/>
      <c r="U87" s="629"/>
      <c r="V87" s="627"/>
      <c r="W87" s="627">
        <v>0</v>
      </c>
      <c r="X87" s="628"/>
      <c r="Y87" s="628"/>
      <c r="Z87" s="629"/>
      <c r="AA87" s="627"/>
      <c r="AB87" s="627">
        <v>0</v>
      </c>
      <c r="AC87" s="630"/>
      <c r="AD87" s="630"/>
      <c r="AE87" s="329"/>
      <c r="AF87" s="636"/>
      <c r="AG87" s="627">
        <v>0</v>
      </c>
      <c r="AH87" s="637"/>
      <c r="AI87" s="637"/>
      <c r="AJ87" s="325"/>
      <c r="AL87" s="275" t="s">
        <v>243</v>
      </c>
      <c r="AM87" s="275">
        <v>9.9388888888888882</v>
      </c>
    </row>
    <row r="88" spans="2:39">
      <c r="B88" s="719"/>
      <c r="C88" s="719"/>
      <c r="D88" s="719"/>
      <c r="E88" s="719"/>
      <c r="F88" s="719"/>
      <c r="G88" s="719"/>
      <c r="H88" s="719"/>
      <c r="I88" s="719"/>
      <c r="J88" s="719"/>
      <c r="K88" s="326"/>
      <c r="L88" s="320"/>
      <c r="M88" s="317"/>
      <c r="N88" s="319"/>
      <c r="O88" s="319"/>
      <c r="P88" s="318"/>
      <c r="Q88" s="317"/>
      <c r="R88" s="317"/>
      <c r="S88" s="319"/>
      <c r="T88" s="319"/>
      <c r="U88" s="318"/>
      <c r="V88" s="317"/>
      <c r="W88" s="317"/>
      <c r="X88" s="319"/>
      <c r="Y88" s="319"/>
      <c r="Z88" s="318"/>
      <c r="AA88" s="317"/>
      <c r="AB88" s="317"/>
      <c r="AC88" s="316"/>
      <c r="AD88" s="316"/>
      <c r="AE88" s="326"/>
      <c r="AF88" s="634"/>
      <c r="AG88" s="634"/>
      <c r="AH88" s="644"/>
      <c r="AI88" s="635"/>
      <c r="AJ88" s="315"/>
      <c r="AL88" s="275" t="s">
        <v>242</v>
      </c>
      <c r="AM88" s="275">
        <v>7.69</v>
      </c>
    </row>
    <row r="89" spans="2:39" s="719" customFormat="1">
      <c r="L89" s="726"/>
      <c r="M89" s="726"/>
      <c r="N89" s="727"/>
      <c r="O89" s="727"/>
      <c r="Q89" s="726"/>
      <c r="R89" s="726"/>
      <c r="S89" s="727"/>
      <c r="T89" s="727"/>
      <c r="V89" s="726"/>
      <c r="W89" s="726"/>
      <c r="X89" s="727"/>
      <c r="Y89" s="727"/>
      <c r="AA89" s="726"/>
      <c r="AB89" s="726"/>
      <c r="AC89" s="727"/>
      <c r="AD89" s="727"/>
      <c r="AF89" s="726"/>
      <c r="AG89" s="726"/>
      <c r="AH89" s="727"/>
      <c r="AI89" s="727"/>
      <c r="AL89" s="719" t="s">
        <v>241</v>
      </c>
      <c r="AM89" s="719">
        <v>94.093928571428549</v>
      </c>
    </row>
    <row r="90" spans="2:39" ht="24" customHeight="1">
      <c r="B90" s="719"/>
      <c r="C90" s="719"/>
      <c r="D90" s="719"/>
      <c r="E90" s="719"/>
      <c r="F90" s="719"/>
      <c r="G90" s="719"/>
      <c r="H90" s="719"/>
      <c r="I90" s="719"/>
      <c r="J90" s="719"/>
      <c r="K90" s="306"/>
      <c r="L90" s="1032" t="s">
        <v>204</v>
      </c>
      <c r="M90" s="1032"/>
      <c r="N90" s="1032"/>
      <c r="O90" s="1032"/>
      <c r="P90" s="1032"/>
      <c r="Q90" s="1032"/>
      <c r="R90" s="1032"/>
      <c r="S90" s="1032"/>
      <c r="T90" s="1032"/>
      <c r="U90" s="1032"/>
      <c r="V90" s="1032"/>
      <c r="W90" s="1032"/>
      <c r="X90" s="1032"/>
      <c r="Y90" s="1032"/>
      <c r="Z90" s="1032"/>
      <c r="AA90" s="1032"/>
      <c r="AB90" s="1032"/>
      <c r="AC90" s="1032"/>
      <c r="AD90" s="1032"/>
      <c r="AE90" s="1032"/>
      <c r="AF90" s="1032"/>
      <c r="AG90" s="1032"/>
      <c r="AH90" s="1032"/>
      <c r="AI90" s="1032"/>
      <c r="AJ90" s="640"/>
      <c r="AL90" s="275" t="s">
        <v>240</v>
      </c>
      <c r="AM90" s="275">
        <v>9.448888888888888</v>
      </c>
    </row>
    <row r="91" spans="2:39">
      <c r="B91" s="719"/>
      <c r="C91" s="719"/>
      <c r="D91" s="719"/>
      <c r="E91" s="719"/>
      <c r="F91" s="719"/>
      <c r="G91" s="719"/>
      <c r="H91" s="719"/>
      <c r="I91" s="719"/>
      <c r="J91" s="719"/>
      <c r="K91" s="297"/>
      <c r="L91" s="912" t="s">
        <v>241</v>
      </c>
      <c r="M91" s="912"/>
      <c r="N91" s="912"/>
      <c r="O91" s="912"/>
      <c r="P91" s="301"/>
      <c r="Q91" s="912" t="s">
        <v>240</v>
      </c>
      <c r="R91" s="912"/>
      <c r="S91" s="912"/>
      <c r="T91" s="912"/>
      <c r="U91" s="302" t="str">
        <f>V91</f>
        <v>URPR11</v>
      </c>
      <c r="V91" s="912" t="s">
        <v>234</v>
      </c>
      <c r="W91" s="912"/>
      <c r="X91" s="912"/>
      <c r="Y91" s="912"/>
      <c r="Z91" s="302" t="str">
        <f>AA91</f>
        <v>XPCA11</v>
      </c>
      <c r="AA91" s="912" t="s">
        <v>345</v>
      </c>
      <c r="AB91" s="912"/>
      <c r="AC91" s="912"/>
      <c r="AD91" s="912"/>
      <c r="AE91" s="296"/>
      <c r="AF91" s="912" t="s">
        <v>562</v>
      </c>
      <c r="AG91" s="912"/>
      <c r="AH91" s="912"/>
      <c r="AI91" s="912"/>
      <c r="AJ91" s="638"/>
      <c r="AL91" s="275" t="s">
        <v>237</v>
      </c>
      <c r="AM91" s="275">
        <v>103.33</v>
      </c>
    </row>
    <row r="92" spans="2:39">
      <c r="B92" s="719"/>
      <c r="C92" s="719"/>
      <c r="D92" s="719"/>
      <c r="E92" s="719"/>
      <c r="F92" s="719"/>
      <c r="G92" s="719"/>
      <c r="H92" s="719"/>
      <c r="I92" s="719"/>
      <c r="J92" s="719"/>
      <c r="K92" s="297"/>
      <c r="L92" s="186" t="s">
        <v>1</v>
      </c>
      <c r="M92" s="186" t="s">
        <v>232</v>
      </c>
      <c r="N92" s="294" t="s">
        <v>231</v>
      </c>
      <c r="O92" s="294" t="s">
        <v>230</v>
      </c>
      <c r="P92" s="301"/>
      <c r="Q92" s="186" t="s">
        <v>1</v>
      </c>
      <c r="R92" s="186" t="s">
        <v>232</v>
      </c>
      <c r="S92" s="294" t="s">
        <v>231</v>
      </c>
      <c r="T92" s="294" t="s">
        <v>230</v>
      </c>
      <c r="U92" s="301"/>
      <c r="V92" s="186" t="s">
        <v>1</v>
      </c>
      <c r="W92" s="186" t="s">
        <v>232</v>
      </c>
      <c r="X92" s="294" t="s">
        <v>231</v>
      </c>
      <c r="Y92" s="294" t="s">
        <v>233</v>
      </c>
      <c r="Z92" s="301"/>
      <c r="AA92" s="186" t="s">
        <v>1</v>
      </c>
      <c r="AB92" s="186" t="s">
        <v>232</v>
      </c>
      <c r="AC92" s="294" t="s">
        <v>231</v>
      </c>
      <c r="AD92" s="294" t="s">
        <v>230</v>
      </c>
      <c r="AE92" s="296"/>
      <c r="AF92" s="186" t="s">
        <v>1</v>
      </c>
      <c r="AG92" s="186" t="s">
        <v>232</v>
      </c>
      <c r="AH92" s="294" t="s">
        <v>231</v>
      </c>
      <c r="AI92" s="294" t="s">
        <v>230</v>
      </c>
      <c r="AJ92" s="638"/>
      <c r="AL92" s="275" t="s">
        <v>236</v>
      </c>
      <c r="AM92" s="275">
        <v>7.7756756756756751</v>
      </c>
    </row>
    <row r="93" spans="2:39">
      <c r="B93" s="719"/>
      <c r="C93" s="719"/>
      <c r="D93" s="719"/>
      <c r="E93" s="719"/>
      <c r="F93" s="719"/>
      <c r="G93" s="719"/>
      <c r="H93" s="719"/>
      <c r="I93" s="719"/>
      <c r="J93" s="719"/>
      <c r="K93" s="297"/>
      <c r="L93" s="299">
        <v>44998</v>
      </c>
      <c r="M93" s="623">
        <v>3</v>
      </c>
      <c r="N93" s="298">
        <v>95.3</v>
      </c>
      <c r="O93" s="294">
        <f t="shared" ref="O93:O104" si="136">N93*M93</f>
        <v>285.89999999999998</v>
      </c>
      <c r="P93" s="301"/>
      <c r="Q93" s="299">
        <v>44951</v>
      </c>
      <c r="R93" s="623">
        <v>5</v>
      </c>
      <c r="S93" s="298">
        <v>9.17</v>
      </c>
      <c r="T93" s="294">
        <f t="shared" ref="T93:T104" si="137">S93*R93</f>
        <v>45.85</v>
      </c>
      <c r="U93" s="301"/>
      <c r="V93" s="299">
        <v>44998</v>
      </c>
      <c r="W93" s="623">
        <v>4</v>
      </c>
      <c r="X93" s="298">
        <v>93.4</v>
      </c>
      <c r="Y93" s="294">
        <f t="shared" ref="Y93:Y104" si="138">X93*W93</f>
        <v>373.6</v>
      </c>
      <c r="Z93" s="301"/>
      <c r="AA93" s="299">
        <v>45022</v>
      </c>
      <c r="AB93" s="623">
        <v>30</v>
      </c>
      <c r="AC93" s="298">
        <v>9.74</v>
      </c>
      <c r="AD93" s="294">
        <f t="shared" ref="AD93:AD104" si="139">AC93*AB93</f>
        <v>292.2</v>
      </c>
      <c r="AE93" s="296"/>
      <c r="AF93" s="633">
        <v>45119</v>
      </c>
      <c r="AG93" s="427">
        <v>23</v>
      </c>
      <c r="AH93" s="622">
        <v>9.5</v>
      </c>
      <c r="AI93" s="294">
        <f t="shared" ref="AI93:AI104" si="140">AH93*AG93</f>
        <v>218.5</v>
      </c>
      <c r="AJ93" s="638"/>
      <c r="AL93" s="275" t="s">
        <v>235</v>
      </c>
      <c r="AM93" s="275">
        <v>79.38</v>
      </c>
    </row>
    <row r="94" spans="2:39">
      <c r="B94" s="719"/>
      <c r="C94" s="719"/>
      <c r="D94" s="719"/>
      <c r="E94" s="719"/>
      <c r="F94" s="719"/>
      <c r="G94" s="719"/>
      <c r="H94" s="719"/>
      <c r="I94" s="719"/>
      <c r="J94" s="719"/>
      <c r="K94" s="297"/>
      <c r="L94" s="299">
        <v>45082</v>
      </c>
      <c r="M94" s="623">
        <v>16</v>
      </c>
      <c r="N94" s="298">
        <f>1509.28/16</f>
        <v>94.33</v>
      </c>
      <c r="O94" s="294">
        <f t="shared" si="136"/>
        <v>1509.28</v>
      </c>
      <c r="P94" s="301"/>
      <c r="Q94" s="299">
        <v>45099</v>
      </c>
      <c r="R94" s="623">
        <v>1</v>
      </c>
      <c r="S94" s="298">
        <v>9.48</v>
      </c>
      <c r="T94" s="294">
        <f t="shared" si="137"/>
        <v>9.48</v>
      </c>
      <c r="U94" s="301"/>
      <c r="V94" s="299">
        <v>45057</v>
      </c>
      <c r="W94" s="623">
        <v>3</v>
      </c>
      <c r="X94" s="298">
        <v>89.9</v>
      </c>
      <c r="Y94" s="294">
        <f t="shared" si="138"/>
        <v>269.70000000000005</v>
      </c>
      <c r="Z94" s="301"/>
      <c r="AA94" s="299">
        <v>45082</v>
      </c>
      <c r="AB94" s="623">
        <v>103</v>
      </c>
      <c r="AC94" s="298">
        <v>9.74</v>
      </c>
      <c r="AD94" s="294">
        <f t="shared" si="139"/>
        <v>1003.22</v>
      </c>
      <c r="AE94" s="296"/>
      <c r="AF94" s="633">
        <v>45128</v>
      </c>
      <c r="AG94" s="427">
        <v>57</v>
      </c>
      <c r="AH94" s="622">
        <v>9.42</v>
      </c>
      <c r="AI94" s="294">
        <f t="shared" si="140"/>
        <v>536.93999999999994</v>
      </c>
      <c r="AJ94" s="638"/>
      <c r="AL94" s="275" t="s">
        <v>234</v>
      </c>
      <c r="AM94" s="275">
        <v>94.8185</v>
      </c>
    </row>
    <row r="95" spans="2:39">
      <c r="B95" s="719"/>
      <c r="C95" s="719"/>
      <c r="D95" s="719"/>
      <c r="E95" s="719"/>
      <c r="F95" s="719"/>
      <c r="G95" s="719"/>
      <c r="H95" s="719"/>
      <c r="I95" s="719"/>
      <c r="J95" s="719"/>
      <c r="K95" s="297"/>
      <c r="L95" s="299">
        <v>45099</v>
      </c>
      <c r="M95" s="623">
        <v>1</v>
      </c>
      <c r="N95" s="298">
        <v>93.34</v>
      </c>
      <c r="O95" s="294">
        <f t="shared" si="136"/>
        <v>93.34</v>
      </c>
      <c r="P95" s="301"/>
      <c r="Q95" s="299">
        <v>45169</v>
      </c>
      <c r="R95" s="623">
        <v>6</v>
      </c>
      <c r="S95" s="298">
        <v>9.2899999999999991</v>
      </c>
      <c r="T95" s="294">
        <f t="shared" si="137"/>
        <v>55.739999999999995</v>
      </c>
      <c r="U95" s="301"/>
      <c r="V95" s="299">
        <v>45082</v>
      </c>
      <c r="W95" s="623">
        <v>11</v>
      </c>
      <c r="X95" s="298">
        <f>1053.03/11</f>
        <v>95.73</v>
      </c>
      <c r="Y95" s="294">
        <f t="shared" si="138"/>
        <v>1053.03</v>
      </c>
      <c r="Z95" s="301"/>
      <c r="AA95" s="299">
        <v>45099</v>
      </c>
      <c r="AB95" s="623">
        <v>2</v>
      </c>
      <c r="AC95" s="298">
        <v>9.57</v>
      </c>
      <c r="AD95" s="294">
        <f t="shared" si="139"/>
        <v>19.14</v>
      </c>
      <c r="AE95" s="296"/>
      <c r="AF95" s="299">
        <v>45133</v>
      </c>
      <c r="AG95" s="623">
        <v>10</v>
      </c>
      <c r="AH95" s="298">
        <v>9.4499999999999993</v>
      </c>
      <c r="AI95" s="294">
        <f t="shared" si="140"/>
        <v>94.5</v>
      </c>
      <c r="AJ95" s="638"/>
      <c r="AL95" s="275" t="s">
        <v>342</v>
      </c>
      <c r="AM95" s="275">
        <v>62.929333333333339</v>
      </c>
    </row>
    <row r="96" spans="2:39">
      <c r="B96" s="719"/>
      <c r="C96" s="719"/>
      <c r="D96" s="719"/>
      <c r="E96" s="719"/>
      <c r="F96" s="719"/>
      <c r="G96" s="719"/>
      <c r="H96" s="719"/>
      <c r="I96" s="719"/>
      <c r="J96" s="719"/>
      <c r="K96" s="297"/>
      <c r="L96" s="299">
        <v>45117</v>
      </c>
      <c r="M96" s="623">
        <v>2</v>
      </c>
      <c r="N96" s="298">
        <v>93.74</v>
      </c>
      <c r="O96" s="294">
        <f t="shared" si="136"/>
        <v>187.48</v>
      </c>
      <c r="P96" s="301"/>
      <c r="Q96" s="299">
        <v>45230</v>
      </c>
      <c r="R96" s="623">
        <v>-24</v>
      </c>
      <c r="S96" s="298">
        <v>9.4091000000000005</v>
      </c>
      <c r="T96" s="294">
        <f t="shared" si="137"/>
        <v>-225.8184</v>
      </c>
      <c r="U96" s="301"/>
      <c r="V96" s="299">
        <v>45119</v>
      </c>
      <c r="W96" s="623">
        <v>1</v>
      </c>
      <c r="X96" s="298">
        <v>97.72</v>
      </c>
      <c r="Y96" s="294">
        <f t="shared" si="138"/>
        <v>97.72</v>
      </c>
      <c r="Z96" s="301"/>
      <c r="AA96" s="299">
        <v>45128</v>
      </c>
      <c r="AB96" s="623">
        <v>8</v>
      </c>
      <c r="AC96" s="298">
        <v>9.33</v>
      </c>
      <c r="AD96" s="294">
        <f t="shared" si="139"/>
        <v>74.64</v>
      </c>
      <c r="AE96" s="296"/>
      <c r="AF96" s="299">
        <v>45159</v>
      </c>
      <c r="AG96" s="623">
        <v>24</v>
      </c>
      <c r="AH96" s="298">
        <v>9.5299999999999994</v>
      </c>
      <c r="AI96" s="294">
        <f t="shared" si="140"/>
        <v>228.71999999999997</v>
      </c>
      <c r="AJ96" s="638"/>
      <c r="AL96" s="275" t="s">
        <v>238</v>
      </c>
      <c r="AM96" s="275">
        <v>88.29</v>
      </c>
    </row>
    <row r="97" spans="2:40">
      <c r="B97" s="719"/>
      <c r="C97" s="719"/>
      <c r="D97" s="719"/>
      <c r="E97" s="719"/>
      <c r="F97" s="719"/>
      <c r="G97" s="719"/>
      <c r="H97" s="719"/>
      <c r="I97" s="719"/>
      <c r="J97" s="719"/>
      <c r="K97" s="297"/>
      <c r="L97" s="299">
        <v>45119</v>
      </c>
      <c r="M97" s="623">
        <v>3</v>
      </c>
      <c r="N97" s="298">
        <v>94.72</v>
      </c>
      <c r="O97" s="294">
        <f t="shared" si="136"/>
        <v>284.15999999999997</v>
      </c>
      <c r="P97" s="301"/>
      <c r="Q97" s="299"/>
      <c r="R97" s="623">
        <v>1</v>
      </c>
      <c r="S97" s="298"/>
      <c r="T97" s="294">
        <f t="shared" si="137"/>
        <v>0</v>
      </c>
      <c r="U97" s="301"/>
      <c r="V97" s="299">
        <v>45279</v>
      </c>
      <c r="W97" s="623">
        <v>23</v>
      </c>
      <c r="X97" s="298">
        <v>84.78</v>
      </c>
      <c r="Y97" s="294">
        <f t="shared" si="138"/>
        <v>1949.94</v>
      </c>
      <c r="Z97" s="301"/>
      <c r="AA97" s="299">
        <v>45133</v>
      </c>
      <c r="AB97" s="623">
        <v>1</v>
      </c>
      <c r="AC97" s="298">
        <v>9.3699999999999992</v>
      </c>
      <c r="AD97" s="294">
        <f t="shared" si="139"/>
        <v>9.3699999999999992</v>
      </c>
      <c r="AE97" s="296"/>
      <c r="AF97" s="299">
        <v>45196</v>
      </c>
      <c r="AG97" s="623">
        <v>43</v>
      </c>
      <c r="AH97" s="298">
        <v>9.26</v>
      </c>
      <c r="AI97" s="294">
        <f t="shared" si="140"/>
        <v>398.18</v>
      </c>
      <c r="AJ97" s="638"/>
      <c r="AL97" s="275" t="s">
        <v>239</v>
      </c>
      <c r="AM97" s="275" t="s">
        <v>343</v>
      </c>
    </row>
    <row r="98" spans="2:40">
      <c r="B98" s="719"/>
      <c r="C98" s="719"/>
      <c r="D98" s="719"/>
      <c r="E98" s="719"/>
      <c r="F98" s="719"/>
      <c r="G98" s="719"/>
      <c r="H98" s="719"/>
      <c r="I98" s="719"/>
      <c r="J98" s="719"/>
      <c r="K98" s="297"/>
      <c r="L98" s="299">
        <v>45128</v>
      </c>
      <c r="M98" s="623">
        <v>2</v>
      </c>
      <c r="N98" s="298">
        <v>88.79</v>
      </c>
      <c r="O98" s="294">
        <f t="shared" si="136"/>
        <v>177.58</v>
      </c>
      <c r="P98" s="301"/>
      <c r="Q98" s="299"/>
      <c r="R98" s="623"/>
      <c r="S98" s="298"/>
      <c r="T98" s="294">
        <f t="shared" si="137"/>
        <v>0</v>
      </c>
      <c r="U98" s="301"/>
      <c r="V98" s="299"/>
      <c r="W98" s="623"/>
      <c r="X98" s="298"/>
      <c r="Y98" s="294">
        <f t="shared" si="138"/>
        <v>0</v>
      </c>
      <c r="Z98" s="301"/>
      <c r="AA98" s="299">
        <v>45159</v>
      </c>
      <c r="AB98" s="623">
        <v>1</v>
      </c>
      <c r="AC98" s="298">
        <v>9.48</v>
      </c>
      <c r="AD98" s="294">
        <f t="shared" si="139"/>
        <v>9.48</v>
      </c>
      <c r="AE98" s="296"/>
      <c r="AF98" s="299">
        <v>45223</v>
      </c>
      <c r="AG98" s="623">
        <v>14</v>
      </c>
      <c r="AH98" s="298">
        <v>9.34</v>
      </c>
      <c r="AI98" s="294">
        <f t="shared" si="140"/>
        <v>130.76</v>
      </c>
      <c r="AJ98" s="638"/>
      <c r="AL98" s="275" t="s">
        <v>292</v>
      </c>
      <c r="AM98" s="275">
        <v>119.21000000000001</v>
      </c>
    </row>
    <row r="99" spans="2:40">
      <c r="B99" s="719"/>
      <c r="C99" s="719"/>
      <c r="D99" s="719"/>
      <c r="E99" s="719"/>
      <c r="F99" s="719"/>
      <c r="G99" s="719"/>
      <c r="H99" s="719"/>
      <c r="I99" s="719"/>
      <c r="J99" s="719"/>
      <c r="K99" s="297"/>
      <c r="L99" s="299">
        <v>45196</v>
      </c>
      <c r="M99" s="623">
        <v>2</v>
      </c>
      <c r="N99" s="298">
        <v>92.5</v>
      </c>
      <c r="O99" s="294">
        <f t="shared" si="136"/>
        <v>185</v>
      </c>
      <c r="P99" s="301"/>
      <c r="Q99" s="299"/>
      <c r="R99" s="623"/>
      <c r="S99" s="298"/>
      <c r="T99" s="294">
        <f t="shared" si="137"/>
        <v>0</v>
      </c>
      <c r="U99" s="301"/>
      <c r="V99" s="299"/>
      <c r="W99" s="623"/>
      <c r="X99" s="298"/>
      <c r="Y99" s="294">
        <f t="shared" si="138"/>
        <v>0</v>
      </c>
      <c r="Z99" s="301"/>
      <c r="AA99" s="299">
        <v>45196</v>
      </c>
      <c r="AB99" s="623">
        <v>5</v>
      </c>
      <c r="AC99" s="298">
        <v>9.74</v>
      </c>
      <c r="AD99" s="294">
        <f t="shared" si="139"/>
        <v>48.7</v>
      </c>
      <c r="AE99" s="296"/>
      <c r="AF99" s="299">
        <v>45226</v>
      </c>
      <c r="AG99" s="623">
        <v>115</v>
      </c>
      <c r="AH99" s="298">
        <v>9.2200000000000006</v>
      </c>
      <c r="AI99" s="294">
        <f t="shared" si="140"/>
        <v>1060.3000000000002</v>
      </c>
      <c r="AJ99" s="638"/>
      <c r="AL99" s="275" t="s">
        <v>345</v>
      </c>
      <c r="AM99" s="275">
        <v>9.7146853146853172</v>
      </c>
      <c r="AN99" s="275">
        <v>143</v>
      </c>
    </row>
    <row r="100" spans="2:40">
      <c r="B100" s="719"/>
      <c r="C100" s="719"/>
      <c r="D100" s="719"/>
      <c r="E100" s="719"/>
      <c r="F100" s="719"/>
      <c r="G100" s="719"/>
      <c r="H100" s="719"/>
      <c r="I100" s="719"/>
      <c r="J100" s="719"/>
      <c r="K100" s="297"/>
      <c r="L100" s="299" t="s">
        <v>699</v>
      </c>
      <c r="M100" s="623">
        <v>12</v>
      </c>
      <c r="N100" s="298">
        <v>84.12</v>
      </c>
      <c r="O100" s="294">
        <f t="shared" si="136"/>
        <v>1009.44</v>
      </c>
      <c r="P100" s="301"/>
      <c r="Q100" s="299"/>
      <c r="R100" s="623"/>
      <c r="S100" s="298"/>
      <c r="T100" s="294">
        <f t="shared" si="137"/>
        <v>0</v>
      </c>
      <c r="U100" s="301"/>
      <c r="V100" s="299"/>
      <c r="W100" s="623"/>
      <c r="X100" s="298"/>
      <c r="Y100" s="294">
        <f t="shared" si="138"/>
        <v>0</v>
      </c>
      <c r="Z100" s="301"/>
      <c r="AA100" s="299">
        <v>45279</v>
      </c>
      <c r="AB100" s="623">
        <v>77</v>
      </c>
      <c r="AC100" s="298">
        <v>8.7799999999999994</v>
      </c>
      <c r="AD100" s="294">
        <f t="shared" si="139"/>
        <v>676.06</v>
      </c>
      <c r="AE100" s="296"/>
      <c r="AF100" s="299">
        <v>45226</v>
      </c>
      <c r="AG100" s="623">
        <v>36</v>
      </c>
      <c r="AH100" s="298">
        <v>9.23</v>
      </c>
      <c r="AI100" s="294">
        <f t="shared" si="140"/>
        <v>332.28000000000003</v>
      </c>
      <c r="AJ100" s="638"/>
      <c r="AL100" s="275" t="s">
        <v>390</v>
      </c>
      <c r="AM100" s="275">
        <v>62.97</v>
      </c>
      <c r="AN100" s="275">
        <v>0</v>
      </c>
    </row>
    <row r="101" spans="2:40">
      <c r="B101" s="719"/>
      <c r="C101" s="719"/>
      <c r="D101" s="719"/>
      <c r="E101" s="719"/>
      <c r="F101" s="719"/>
      <c r="G101" s="719"/>
      <c r="H101" s="719"/>
      <c r="I101" s="719"/>
      <c r="J101" s="719"/>
      <c r="K101" s="297"/>
      <c r="L101" s="299">
        <v>45279</v>
      </c>
      <c r="M101" s="623">
        <v>39</v>
      </c>
      <c r="N101" s="298">
        <v>86.01</v>
      </c>
      <c r="O101" s="294">
        <f t="shared" si="136"/>
        <v>3354.3900000000003</v>
      </c>
      <c r="P101" s="301"/>
      <c r="Q101" s="299"/>
      <c r="R101" s="623"/>
      <c r="S101" s="298"/>
      <c r="T101" s="294">
        <f t="shared" si="137"/>
        <v>0</v>
      </c>
      <c r="U101" s="301"/>
      <c r="V101" s="299"/>
      <c r="W101" s="623"/>
      <c r="X101" s="298"/>
      <c r="Y101" s="294">
        <f t="shared" si="138"/>
        <v>0</v>
      </c>
      <c r="Z101" s="301"/>
      <c r="AA101" s="299"/>
      <c r="AB101" s="623"/>
      <c r="AC101" s="298"/>
      <c r="AD101" s="294">
        <f t="shared" si="139"/>
        <v>0</v>
      </c>
      <c r="AE101" s="296"/>
      <c r="AF101" s="299">
        <v>45279</v>
      </c>
      <c r="AG101" s="623">
        <v>352</v>
      </c>
      <c r="AH101" s="298">
        <v>8.08</v>
      </c>
      <c r="AI101" s="294">
        <f t="shared" si="140"/>
        <v>2844.16</v>
      </c>
      <c r="AJ101" s="638"/>
    </row>
    <row r="102" spans="2:40">
      <c r="B102" s="719"/>
      <c r="C102" s="719"/>
      <c r="D102" s="719"/>
      <c r="E102" s="719"/>
      <c r="F102" s="719"/>
      <c r="G102" s="719"/>
      <c r="H102" s="719"/>
      <c r="I102" s="719"/>
      <c r="J102" s="719"/>
      <c r="K102" s="297"/>
      <c r="L102" s="299"/>
      <c r="M102" s="623"/>
      <c r="N102" s="298"/>
      <c r="O102" s="294">
        <f t="shared" si="136"/>
        <v>0</v>
      </c>
      <c r="P102" s="301"/>
      <c r="Q102" s="299"/>
      <c r="R102" s="623"/>
      <c r="S102" s="298"/>
      <c r="T102" s="294">
        <f t="shared" si="137"/>
        <v>0</v>
      </c>
      <c r="U102" s="301"/>
      <c r="V102" s="299"/>
      <c r="W102" s="623"/>
      <c r="X102" s="298"/>
      <c r="Y102" s="294">
        <f t="shared" si="138"/>
        <v>0</v>
      </c>
      <c r="Z102" s="301"/>
      <c r="AA102" s="299"/>
      <c r="AB102" s="623"/>
      <c r="AC102" s="298"/>
      <c r="AD102" s="294">
        <f t="shared" si="139"/>
        <v>0</v>
      </c>
      <c r="AE102" s="296"/>
      <c r="AF102" s="299"/>
      <c r="AG102" s="623"/>
      <c r="AH102" s="298"/>
      <c r="AI102" s="294">
        <f t="shared" si="140"/>
        <v>0</v>
      </c>
      <c r="AJ102" s="638"/>
    </row>
    <row r="103" spans="2:40">
      <c r="B103" s="719"/>
      <c r="C103" s="719"/>
      <c r="D103" s="719"/>
      <c r="E103" s="719"/>
      <c r="F103" s="719"/>
      <c r="G103" s="719"/>
      <c r="H103" s="719"/>
      <c r="I103" s="719"/>
      <c r="J103" s="719"/>
      <c r="K103" s="297"/>
      <c r="L103" s="299"/>
      <c r="M103" s="623"/>
      <c r="N103" s="298"/>
      <c r="O103" s="294">
        <f t="shared" si="136"/>
        <v>0</v>
      </c>
      <c r="P103" s="301"/>
      <c r="Q103" s="299"/>
      <c r="R103" s="623"/>
      <c r="S103" s="298"/>
      <c r="T103" s="294">
        <f t="shared" si="137"/>
        <v>0</v>
      </c>
      <c r="U103" s="301"/>
      <c r="V103" s="299"/>
      <c r="W103" s="623"/>
      <c r="X103" s="298"/>
      <c r="Y103" s="294">
        <f t="shared" si="138"/>
        <v>0</v>
      </c>
      <c r="Z103" s="301"/>
      <c r="AA103" s="299"/>
      <c r="AB103" s="623"/>
      <c r="AC103" s="298"/>
      <c r="AD103" s="294">
        <f t="shared" si="139"/>
        <v>0</v>
      </c>
      <c r="AE103" s="296"/>
      <c r="AF103" s="299"/>
      <c r="AG103" s="623"/>
      <c r="AH103" s="298"/>
      <c r="AI103" s="294">
        <f t="shared" si="140"/>
        <v>0</v>
      </c>
      <c r="AJ103" s="638"/>
    </row>
    <row r="104" spans="2:40">
      <c r="B104" s="719"/>
      <c r="C104" s="719"/>
      <c r="D104" s="719"/>
      <c r="E104" s="719"/>
      <c r="F104" s="719"/>
      <c r="G104" s="719"/>
      <c r="H104" s="719"/>
      <c r="I104" s="719"/>
      <c r="J104" s="719"/>
      <c r="K104" s="297"/>
      <c r="L104" s="299"/>
      <c r="M104" s="623"/>
      <c r="N104" s="298"/>
      <c r="O104" s="294">
        <f t="shared" si="136"/>
        <v>0</v>
      </c>
      <c r="P104" s="301"/>
      <c r="Q104" s="299"/>
      <c r="R104" s="623"/>
      <c r="S104" s="298"/>
      <c r="T104" s="294">
        <f t="shared" si="137"/>
        <v>0</v>
      </c>
      <c r="U104" s="301"/>
      <c r="V104" s="299"/>
      <c r="W104" s="623"/>
      <c r="X104" s="298"/>
      <c r="Y104" s="294">
        <f t="shared" si="138"/>
        <v>0</v>
      </c>
      <c r="Z104" s="301"/>
      <c r="AA104" s="299"/>
      <c r="AB104" s="623"/>
      <c r="AC104" s="298"/>
      <c r="AD104" s="294">
        <f t="shared" si="139"/>
        <v>0</v>
      </c>
      <c r="AE104" s="296"/>
      <c r="AF104" s="299"/>
      <c r="AG104" s="623"/>
      <c r="AH104" s="298"/>
      <c r="AI104" s="294">
        <f t="shared" si="140"/>
        <v>0</v>
      </c>
      <c r="AJ104" s="638"/>
    </row>
    <row r="105" spans="2:40">
      <c r="B105" s="719"/>
      <c r="C105" s="719"/>
      <c r="D105" s="719"/>
      <c r="E105" s="719"/>
      <c r="F105" s="719"/>
      <c r="G105" s="719"/>
      <c r="H105" s="719"/>
      <c r="I105" s="719"/>
      <c r="J105" s="719"/>
      <c r="K105" s="297"/>
      <c r="L105" s="186" t="s">
        <v>229</v>
      </c>
      <c r="M105" s="186">
        <f>SUM(M93:M104)+M106</f>
        <v>81</v>
      </c>
      <c r="N105" s="294"/>
      <c r="O105" s="294">
        <f>SUM(O93:O104)</f>
        <v>7086.57</v>
      </c>
      <c r="P105" s="301"/>
      <c r="Q105" s="186" t="s">
        <v>229</v>
      </c>
      <c r="R105" s="186">
        <f>SUM(R93:R104)+R106</f>
        <v>1</v>
      </c>
      <c r="S105" s="294"/>
      <c r="T105" s="294">
        <f>SUM(T93:T104)</f>
        <v>-114.7484</v>
      </c>
      <c r="U105" s="301"/>
      <c r="V105" s="186" t="s">
        <v>229</v>
      </c>
      <c r="W105" s="186">
        <f>SUM(W93:W104)+W106</f>
        <v>43</v>
      </c>
      <c r="X105" s="294"/>
      <c r="Y105" s="294">
        <f>SUM(Y93:Y104)</f>
        <v>3743.99</v>
      </c>
      <c r="Z105" s="301"/>
      <c r="AA105" s="186" t="s">
        <v>229</v>
      </c>
      <c r="AB105" s="186">
        <f>SUM(AB93:AB104)+AB106</f>
        <v>227</v>
      </c>
      <c r="AC105" s="294"/>
      <c r="AD105" s="294">
        <f>SUM(AD93:AD104)</f>
        <v>2132.8100000000004</v>
      </c>
      <c r="AE105" s="296"/>
      <c r="AF105" s="186" t="s">
        <v>229</v>
      </c>
      <c r="AG105" s="186">
        <f>SUM(AG93:AG104)+AG106</f>
        <v>674</v>
      </c>
      <c r="AH105" s="294"/>
      <c r="AI105" s="294">
        <f>SUM(AI93:AI104)</f>
        <v>5844.34</v>
      </c>
      <c r="AJ105" s="638"/>
    </row>
    <row r="106" spans="2:40">
      <c r="B106" s="719"/>
      <c r="C106" s="719"/>
      <c r="D106" s="719"/>
      <c r="E106" s="719"/>
      <c r="F106" s="719"/>
      <c r="G106" s="719"/>
      <c r="H106" s="719"/>
      <c r="I106" s="719"/>
      <c r="J106" s="719"/>
      <c r="K106" s="297"/>
      <c r="L106" s="301"/>
      <c r="M106" s="302">
        <v>1</v>
      </c>
      <c r="N106" s="631"/>
      <c r="O106" s="631"/>
      <c r="P106" s="302"/>
      <c r="Q106" s="302"/>
      <c r="R106" s="302">
        <v>12</v>
      </c>
      <c r="S106" s="631"/>
      <c r="T106" s="631"/>
      <c r="U106" s="302"/>
      <c r="V106" s="302"/>
      <c r="W106" s="302">
        <v>1</v>
      </c>
      <c r="X106" s="631"/>
      <c r="Y106" s="631"/>
      <c r="Z106" s="302"/>
      <c r="AA106" s="302"/>
      <c r="AB106" s="302">
        <v>0</v>
      </c>
      <c r="AC106" s="632"/>
      <c r="AD106" s="632"/>
      <c r="AE106" s="301"/>
      <c r="AF106" s="302"/>
      <c r="AG106" s="302">
        <v>0</v>
      </c>
      <c r="AH106" s="631"/>
      <c r="AI106" s="631"/>
      <c r="AJ106" s="638"/>
    </row>
    <row r="107" spans="2:40">
      <c r="B107" s="719"/>
      <c r="C107" s="719"/>
      <c r="D107" s="719"/>
      <c r="E107" s="719"/>
      <c r="F107" s="719"/>
      <c r="G107" s="719"/>
      <c r="H107" s="719"/>
      <c r="I107" s="719"/>
      <c r="J107" s="719"/>
      <c r="K107" s="292"/>
      <c r="L107" s="291"/>
      <c r="M107" s="289"/>
      <c r="N107" s="290"/>
      <c r="O107" s="641"/>
      <c r="P107" s="289"/>
      <c r="Q107" s="289"/>
      <c r="R107" s="289"/>
      <c r="S107" s="290"/>
      <c r="T107" s="290"/>
      <c r="U107" s="289"/>
      <c r="V107" s="289"/>
      <c r="W107" s="289"/>
      <c r="X107" s="290"/>
      <c r="Y107" s="290"/>
      <c r="Z107" s="289"/>
      <c r="AA107" s="289"/>
      <c r="AB107" s="289"/>
      <c r="AC107" s="288"/>
      <c r="AD107" s="288"/>
      <c r="AE107" s="291"/>
      <c r="AF107" s="289"/>
      <c r="AG107" s="289"/>
      <c r="AH107" s="290"/>
      <c r="AI107" s="290"/>
      <c r="AJ107" s="639"/>
    </row>
    <row r="108" spans="2:40" s="719" customFormat="1" ht="15" customHeight="1">
      <c r="X108" s="721"/>
      <c r="Y108" s="721"/>
      <c r="AC108" s="721"/>
      <c r="AD108" s="721"/>
      <c r="AH108" s="721"/>
      <c r="AI108" s="721"/>
    </row>
    <row r="109" spans="2:40" s="719" customFormat="1">
      <c r="H109" s="729" t="s">
        <v>209</v>
      </c>
      <c r="I109" s="1020" t="s">
        <v>243</v>
      </c>
      <c r="J109" s="1020"/>
      <c r="K109" s="1020" t="s">
        <v>241</v>
      </c>
      <c r="L109" s="1020"/>
      <c r="M109" s="1020" t="s">
        <v>240</v>
      </c>
      <c r="N109" s="1020"/>
      <c r="O109" s="1019" t="s">
        <v>236</v>
      </c>
      <c r="P109" s="1019"/>
      <c r="Q109" s="1019" t="s">
        <v>234</v>
      </c>
      <c r="R109" s="1019"/>
      <c r="S109" s="1019" t="s">
        <v>342</v>
      </c>
      <c r="T109" s="1019"/>
      <c r="U109" s="1019" t="s">
        <v>292</v>
      </c>
      <c r="V109" s="1019"/>
      <c r="W109" s="1019" t="s">
        <v>345</v>
      </c>
      <c r="X109" s="1019"/>
      <c r="Y109" s="1019" t="s">
        <v>557</v>
      </c>
      <c r="Z109" s="1019"/>
      <c r="AA109" s="1019" t="s">
        <v>562</v>
      </c>
      <c r="AB109" s="1019"/>
      <c r="AF109" s="1021"/>
      <c r="AG109" s="1021"/>
      <c r="AH109" s="1021"/>
      <c r="AI109" s="1021"/>
      <c r="AJ109" s="1021"/>
      <c r="AK109" s="1021"/>
      <c r="AL109" s="1021"/>
      <c r="AM109" s="1021"/>
    </row>
    <row r="110" spans="2:40" s="719" customFormat="1">
      <c r="H110" s="729" t="s">
        <v>575</v>
      </c>
      <c r="I110" s="1020" t="s">
        <v>580</v>
      </c>
      <c r="J110" s="1020"/>
      <c r="K110" s="1020" t="s">
        <v>586</v>
      </c>
      <c r="L110" s="1020"/>
      <c r="M110" s="1019" t="s">
        <v>588</v>
      </c>
      <c r="N110" s="1019"/>
      <c r="O110" s="1019" t="s">
        <v>593</v>
      </c>
      <c r="P110" s="1019"/>
      <c r="Q110" s="1019" t="s">
        <v>595</v>
      </c>
      <c r="R110" s="1019"/>
      <c r="S110" s="1019" t="s">
        <v>598</v>
      </c>
      <c r="T110" s="1019"/>
      <c r="U110" s="1019" t="s">
        <v>601</v>
      </c>
      <c r="V110" s="1019"/>
      <c r="W110" s="1019" t="s">
        <v>602</v>
      </c>
      <c r="X110" s="1019"/>
      <c r="Y110" s="1019" t="s">
        <v>607</v>
      </c>
      <c r="Z110" s="1019"/>
      <c r="AA110" s="1019" t="s">
        <v>606</v>
      </c>
      <c r="AB110" s="1019"/>
      <c r="AF110" s="1021"/>
      <c r="AG110" s="1021"/>
      <c r="AH110" s="1021"/>
      <c r="AI110" s="1021"/>
      <c r="AJ110" s="1021"/>
      <c r="AK110" s="1021"/>
      <c r="AL110" s="1021"/>
      <c r="AM110" s="1021"/>
    </row>
    <row r="111" spans="2:40" s="719" customFormat="1">
      <c r="H111" s="729" t="s">
        <v>576</v>
      </c>
      <c r="I111" s="1025">
        <v>40728</v>
      </c>
      <c r="J111" s="1020"/>
      <c r="K111" s="1020" t="s">
        <v>343</v>
      </c>
      <c r="L111" s="1020"/>
      <c r="M111" s="1019" t="s">
        <v>343</v>
      </c>
      <c r="N111" s="1019"/>
      <c r="O111" s="1019" t="s">
        <v>343</v>
      </c>
      <c r="P111" s="1019"/>
      <c r="Q111" s="1019" t="s">
        <v>343</v>
      </c>
      <c r="R111" s="1019"/>
      <c r="S111" s="1019" t="s">
        <v>343</v>
      </c>
      <c r="T111" s="1019"/>
      <c r="U111" s="1024">
        <v>40808</v>
      </c>
      <c r="V111" s="1019"/>
      <c r="W111" s="1019" t="s">
        <v>343</v>
      </c>
      <c r="X111" s="1019"/>
      <c r="Y111" s="1024">
        <v>43161</v>
      </c>
      <c r="Z111" s="1019"/>
      <c r="AA111" s="1019" t="s">
        <v>343</v>
      </c>
      <c r="AB111" s="1019"/>
      <c r="AF111" s="1026"/>
      <c r="AG111" s="1021"/>
      <c r="AH111" s="1021"/>
      <c r="AI111" s="1021"/>
      <c r="AJ111" s="1021"/>
      <c r="AK111" s="1021"/>
      <c r="AL111" s="1021"/>
      <c r="AM111" s="1021"/>
    </row>
    <row r="112" spans="2:40" s="719" customFormat="1">
      <c r="H112" s="729" t="s">
        <v>213</v>
      </c>
      <c r="I112" s="1020" t="s">
        <v>599</v>
      </c>
      <c r="J112" s="1020"/>
      <c r="K112" s="1020" t="s">
        <v>581</v>
      </c>
      <c r="L112" s="1020"/>
      <c r="M112" s="1019" t="s">
        <v>590</v>
      </c>
      <c r="N112" s="1019"/>
      <c r="O112" s="1019" t="s">
        <v>599</v>
      </c>
      <c r="P112" s="1019"/>
      <c r="Q112" s="1019" t="s">
        <v>581</v>
      </c>
      <c r="R112" s="1019"/>
      <c r="S112" s="1019" t="s">
        <v>599</v>
      </c>
      <c r="T112" s="1019"/>
      <c r="U112" s="1019" t="s">
        <v>599</v>
      </c>
      <c r="V112" s="1019"/>
      <c r="W112" s="1019" t="s">
        <v>581</v>
      </c>
      <c r="X112" s="1019"/>
      <c r="Y112" s="1019" t="s">
        <v>688</v>
      </c>
      <c r="Z112" s="1019"/>
      <c r="AA112" s="1019" t="s">
        <v>581</v>
      </c>
      <c r="AB112" s="1019"/>
      <c r="AF112" s="1021"/>
      <c r="AG112" s="1021"/>
      <c r="AH112" s="1021"/>
      <c r="AI112" s="1021"/>
      <c r="AJ112" s="1021"/>
      <c r="AK112" s="1021"/>
      <c r="AL112" s="1021"/>
      <c r="AM112" s="1021"/>
    </row>
    <row r="113" spans="8:39" s="719" customFormat="1">
      <c r="H113" s="729" t="s">
        <v>591</v>
      </c>
      <c r="I113" s="1020">
        <v>3</v>
      </c>
      <c r="J113" s="1020"/>
      <c r="K113" s="1020" t="s">
        <v>343</v>
      </c>
      <c r="L113" s="1020"/>
      <c r="M113" s="1020" t="s">
        <v>343</v>
      </c>
      <c r="N113" s="1020"/>
      <c r="O113" s="1020">
        <v>2</v>
      </c>
      <c r="P113" s="1020"/>
      <c r="Q113" s="1020" t="s">
        <v>343</v>
      </c>
      <c r="R113" s="1020"/>
      <c r="S113" s="1020">
        <v>2</v>
      </c>
      <c r="T113" s="1020"/>
      <c r="U113" s="1020">
        <v>7</v>
      </c>
      <c r="V113" s="1020"/>
      <c r="W113" s="1020" t="s">
        <v>343</v>
      </c>
      <c r="X113" s="1020"/>
      <c r="Y113" s="1020">
        <v>4</v>
      </c>
      <c r="Z113" s="1020"/>
      <c r="AA113" s="1020" t="s">
        <v>343</v>
      </c>
      <c r="AB113" s="1020"/>
      <c r="AF113" s="1030"/>
      <c r="AG113" s="1030"/>
      <c r="AH113" s="1030"/>
      <c r="AI113" s="1030"/>
      <c r="AJ113" s="1030"/>
      <c r="AK113" s="1030"/>
      <c r="AL113" s="1030"/>
      <c r="AM113" s="1030"/>
    </row>
    <row r="114" spans="8:39" s="719" customFormat="1">
      <c r="H114" s="729" t="s">
        <v>577</v>
      </c>
      <c r="I114" s="1020" t="s">
        <v>582</v>
      </c>
      <c r="J114" s="1020"/>
      <c r="K114" s="1020" t="s">
        <v>582</v>
      </c>
      <c r="L114" s="1020"/>
      <c r="M114" s="1019" t="s">
        <v>589</v>
      </c>
      <c r="N114" s="1019"/>
      <c r="O114" s="1019" t="s">
        <v>594</v>
      </c>
      <c r="P114" s="1019"/>
      <c r="Q114" s="1019" t="s">
        <v>596</v>
      </c>
      <c r="R114" s="1019"/>
      <c r="S114" s="1019" t="s">
        <v>600</v>
      </c>
      <c r="T114" s="1019"/>
      <c r="U114" s="1019" t="s">
        <v>596</v>
      </c>
      <c r="V114" s="1019"/>
      <c r="W114" s="1019" t="s">
        <v>603</v>
      </c>
      <c r="X114" s="1019"/>
      <c r="Y114" s="1019" t="s">
        <v>608</v>
      </c>
      <c r="Z114" s="1019"/>
      <c r="AA114" s="1019" t="s">
        <v>582</v>
      </c>
      <c r="AB114" s="1019"/>
      <c r="AF114" s="1021"/>
      <c r="AG114" s="1021"/>
      <c r="AH114" s="1021"/>
      <c r="AI114" s="1021"/>
      <c r="AJ114" s="1021"/>
      <c r="AK114" s="1021"/>
      <c r="AL114" s="1021"/>
      <c r="AM114" s="1021"/>
    </row>
    <row r="115" spans="8:39" s="719" customFormat="1">
      <c r="H115" s="729" t="s">
        <v>578</v>
      </c>
      <c r="I115" s="1020" t="s">
        <v>584</v>
      </c>
      <c r="J115" s="1020"/>
      <c r="K115" s="1020" t="s">
        <v>583</v>
      </c>
      <c r="L115" s="1020"/>
      <c r="M115" s="1019" t="s">
        <v>584</v>
      </c>
      <c r="N115" s="1019"/>
      <c r="O115" s="1019" t="s">
        <v>592</v>
      </c>
      <c r="P115" s="1019"/>
      <c r="Q115" s="1019" t="s">
        <v>584</v>
      </c>
      <c r="R115" s="1019"/>
      <c r="S115" s="1019" t="s">
        <v>584</v>
      </c>
      <c r="T115" s="1019"/>
      <c r="U115" s="1019" t="s">
        <v>584</v>
      </c>
      <c r="V115" s="1019"/>
      <c r="W115" s="1019" t="s">
        <v>584</v>
      </c>
      <c r="X115" s="1019"/>
      <c r="Y115" s="1019" t="s">
        <v>583</v>
      </c>
      <c r="Z115" s="1019"/>
      <c r="AA115" s="1019" t="s">
        <v>604</v>
      </c>
      <c r="AB115" s="1019"/>
      <c r="AF115" s="1021"/>
      <c r="AG115" s="1021"/>
      <c r="AH115" s="1021"/>
      <c r="AI115" s="1021"/>
      <c r="AJ115" s="1021"/>
      <c r="AK115" s="1021"/>
      <c r="AL115" s="1021"/>
      <c r="AM115" s="1021"/>
    </row>
    <row r="116" spans="8:39" s="719" customFormat="1">
      <c r="H116" s="729" t="s">
        <v>579</v>
      </c>
      <c r="I116" s="1020" t="s">
        <v>583</v>
      </c>
      <c r="J116" s="1020"/>
      <c r="K116" s="1020" t="s">
        <v>585</v>
      </c>
      <c r="L116" s="1020"/>
      <c r="M116" s="1019" t="s">
        <v>587</v>
      </c>
      <c r="N116" s="1019"/>
      <c r="O116" s="1019" t="s">
        <v>583</v>
      </c>
      <c r="P116" s="1019"/>
      <c r="Q116" s="1019" t="s">
        <v>583</v>
      </c>
      <c r="R116" s="1019"/>
      <c r="S116" s="1019" t="s">
        <v>597</v>
      </c>
      <c r="T116" s="1019"/>
      <c r="U116" s="1019" t="s">
        <v>583</v>
      </c>
      <c r="V116" s="1019"/>
      <c r="W116" s="1019" t="s">
        <v>583</v>
      </c>
      <c r="X116" s="1019"/>
      <c r="Y116" s="1019" t="s">
        <v>585</v>
      </c>
      <c r="Z116" s="1019"/>
      <c r="AA116" s="1019" t="s">
        <v>605</v>
      </c>
      <c r="AB116" s="1019"/>
      <c r="AF116" s="1021"/>
      <c r="AG116" s="1021"/>
      <c r="AH116" s="1021"/>
      <c r="AI116" s="1021"/>
      <c r="AJ116" s="1021"/>
      <c r="AK116" s="1021"/>
      <c r="AL116" s="1021"/>
      <c r="AM116" s="1021"/>
    </row>
    <row r="117" spans="8:39" s="719" customFormat="1">
      <c r="N117" s="728"/>
      <c r="O117" s="721"/>
      <c r="S117" s="721"/>
      <c r="T117" s="721"/>
      <c r="X117" s="721"/>
      <c r="Y117" s="721"/>
      <c r="AC117" s="721"/>
      <c r="AD117" s="721"/>
      <c r="AH117" s="721"/>
      <c r="AI117" s="721"/>
    </row>
    <row r="118" spans="8:39" s="719" customFormat="1">
      <c r="N118" s="728"/>
      <c r="O118" s="721"/>
      <c r="S118" s="721"/>
      <c r="T118" s="721"/>
      <c r="X118" s="721"/>
      <c r="Y118" s="721"/>
      <c r="AC118" s="721"/>
      <c r="AD118" s="721"/>
      <c r="AH118" s="721"/>
      <c r="AI118" s="721"/>
    </row>
    <row r="119" spans="8:39" s="719" customFormat="1">
      <c r="N119" s="728"/>
      <c r="O119" s="721"/>
      <c r="S119" s="721"/>
      <c r="T119" s="721"/>
      <c r="X119" s="721"/>
      <c r="Y119" s="721"/>
      <c r="AC119" s="721"/>
      <c r="AD119" s="721"/>
      <c r="AH119" s="721"/>
      <c r="AI119" s="721"/>
    </row>
    <row r="120" spans="8:39" s="719" customFormat="1">
      <c r="N120" s="728"/>
      <c r="O120" s="721"/>
      <c r="S120" s="721"/>
      <c r="T120" s="721"/>
      <c r="X120" s="721"/>
      <c r="Y120" s="721"/>
      <c r="AC120" s="721"/>
      <c r="AD120" s="721"/>
      <c r="AH120" s="721"/>
      <c r="AI120" s="721"/>
    </row>
    <row r="121" spans="8:39" s="719" customFormat="1">
      <c r="N121" s="728"/>
      <c r="O121" s="721"/>
      <c r="S121" s="721"/>
      <c r="T121" s="721"/>
      <c r="X121" s="721"/>
      <c r="Y121" s="721"/>
      <c r="AC121" s="721"/>
      <c r="AD121" s="721"/>
      <c r="AH121" s="721"/>
      <c r="AI121" s="721"/>
    </row>
    <row r="122" spans="8:39" s="719" customFormat="1">
      <c r="N122" s="728"/>
      <c r="O122" s="721"/>
      <c r="S122" s="721"/>
      <c r="T122" s="721"/>
      <c r="X122" s="721"/>
      <c r="Y122" s="721"/>
      <c r="AC122" s="721"/>
      <c r="AD122" s="721"/>
      <c r="AH122" s="721"/>
      <c r="AI122" s="721"/>
    </row>
    <row r="123" spans="8:39" s="719" customFormat="1">
      <c r="AH123" s="721"/>
      <c r="AI123" s="721"/>
    </row>
    <row r="124" spans="8:39" s="719" customFormat="1">
      <c r="AH124" s="721"/>
      <c r="AI124" s="721"/>
    </row>
    <row r="125" spans="8:39" s="719" customFormat="1">
      <c r="AH125" s="721"/>
      <c r="AI125" s="721"/>
    </row>
    <row r="126" spans="8:39" s="719" customFormat="1">
      <c r="L126" s="1017">
        <v>2022</v>
      </c>
      <c r="M126" s="1017"/>
      <c r="N126" s="1018">
        <v>545.1</v>
      </c>
      <c r="O126" s="1018"/>
      <c r="P126" s="730"/>
      <c r="Q126" s="731"/>
      <c r="R126" s="731" t="s">
        <v>437</v>
      </c>
      <c r="S126" s="732" t="s">
        <v>228</v>
      </c>
      <c r="T126" s="732" t="s">
        <v>43</v>
      </c>
      <c r="AH126" s="721"/>
      <c r="AI126" s="721"/>
    </row>
    <row r="127" spans="8:39" s="719" customFormat="1">
      <c r="L127" s="1017"/>
      <c r="M127" s="1017"/>
      <c r="N127" s="1018"/>
      <c r="O127" s="1018"/>
      <c r="P127" s="730"/>
      <c r="Q127" s="733" t="s">
        <v>242</v>
      </c>
      <c r="R127" s="732">
        <f>75.42+39.95</f>
        <v>115.37</v>
      </c>
      <c r="S127" s="732">
        <v>130.05000000000001</v>
      </c>
      <c r="T127" s="732">
        <f>S127-R127</f>
        <v>14.680000000000007</v>
      </c>
      <c r="AH127" s="721"/>
      <c r="AI127" s="721"/>
    </row>
    <row r="128" spans="8:39" s="719" customFormat="1">
      <c r="L128" s="1017">
        <v>2023</v>
      </c>
      <c r="M128" s="1017"/>
      <c r="N128" s="1018">
        <f>O105+T105+Y105+AD105+AD86+Y86+T86+O86+AI105+AI86+R133+R134</f>
        <v>25948.999</v>
      </c>
      <c r="O128" s="1018"/>
      <c r="P128" s="730"/>
      <c r="Q128" s="734" t="s">
        <v>238</v>
      </c>
      <c r="R128" s="732">
        <f>86.3+90.28</f>
        <v>176.57999999999998</v>
      </c>
      <c r="S128" s="732">
        <v>194.88</v>
      </c>
      <c r="T128" s="732">
        <f t="shared" ref="T128:T134" si="141">S128-R128</f>
        <v>18.300000000000011</v>
      </c>
      <c r="AH128" s="721"/>
      <c r="AI128" s="721"/>
    </row>
    <row r="129" spans="12:35" s="719" customFormat="1">
      <c r="L129" s="1017"/>
      <c r="M129" s="1017"/>
      <c r="N129" s="1018"/>
      <c r="O129" s="1018"/>
      <c r="P129" s="730"/>
      <c r="Q129" s="733" t="s">
        <v>239</v>
      </c>
      <c r="R129" s="732">
        <v>91.78</v>
      </c>
      <c r="S129" s="732">
        <v>93.08</v>
      </c>
      <c r="T129" s="732">
        <f t="shared" si="141"/>
        <v>1.2999999999999972</v>
      </c>
      <c r="AH129" s="721"/>
      <c r="AI129" s="721"/>
    </row>
    <row r="130" spans="12:35" s="719" customFormat="1">
      <c r="L130" s="1022" t="s">
        <v>45</v>
      </c>
      <c r="M130" s="1022"/>
      <c r="N130" s="1023">
        <f>SUM(N126:O129)</f>
        <v>26494.098999999998</v>
      </c>
      <c r="O130" s="1023"/>
      <c r="P130" s="730"/>
      <c r="Q130" s="733" t="s">
        <v>390</v>
      </c>
      <c r="R130" s="732">
        <f>224.56+64.25</f>
        <v>288.81</v>
      </c>
      <c r="S130" s="732">
        <v>314.85000000000002</v>
      </c>
      <c r="T130" s="732">
        <f t="shared" si="141"/>
        <v>26.04000000000002</v>
      </c>
      <c r="AH130" s="721"/>
      <c r="AI130" s="721"/>
    </row>
    <row r="131" spans="12:35" s="719" customFormat="1">
      <c r="L131" s="1022"/>
      <c r="M131" s="1022"/>
      <c r="N131" s="1023"/>
      <c r="O131" s="1023"/>
      <c r="P131" s="730"/>
      <c r="Q131" s="733" t="s">
        <v>391</v>
      </c>
      <c r="R131" s="732">
        <v>100.49</v>
      </c>
      <c r="S131" s="732">
        <v>123.33</v>
      </c>
      <c r="T131" s="732">
        <f t="shared" si="141"/>
        <v>22.840000000000003</v>
      </c>
      <c r="X131" s="721"/>
      <c r="Y131" s="721"/>
      <c r="AC131" s="721"/>
      <c r="AD131" s="721"/>
      <c r="AH131" s="721"/>
      <c r="AI131" s="721"/>
    </row>
    <row r="132" spans="12:35" s="719" customFormat="1">
      <c r="L132" s="731"/>
      <c r="M132" s="731"/>
      <c r="N132" s="735"/>
      <c r="O132" s="732"/>
      <c r="P132" s="731"/>
      <c r="Q132" s="733" t="s">
        <v>235</v>
      </c>
      <c r="R132" s="732">
        <f>91.13+305.76</f>
        <v>396.89</v>
      </c>
      <c r="S132" s="732">
        <f>5*87.82</f>
        <v>439.09999999999997</v>
      </c>
      <c r="T132" s="732">
        <f t="shared" si="141"/>
        <v>42.20999999999998</v>
      </c>
      <c r="X132" s="721"/>
      <c r="Y132" s="721"/>
      <c r="AC132" s="721"/>
      <c r="AD132" s="721"/>
      <c r="AH132" s="721"/>
      <c r="AI132" s="721"/>
    </row>
    <row r="133" spans="12:35" s="719" customFormat="1">
      <c r="L133" s="731"/>
      <c r="M133" s="731"/>
      <c r="N133" s="735"/>
      <c r="O133" s="732"/>
      <c r="P133" s="731"/>
      <c r="Q133" s="733" t="s">
        <v>237</v>
      </c>
      <c r="R133" s="732">
        <v>103.33</v>
      </c>
      <c r="S133" s="732">
        <v>103.33</v>
      </c>
      <c r="T133" s="732">
        <f t="shared" si="141"/>
        <v>0</v>
      </c>
      <c r="X133" s="721"/>
      <c r="Y133" s="721"/>
      <c r="AC133" s="721"/>
      <c r="AD133" s="721"/>
      <c r="AH133" s="721"/>
      <c r="AI133" s="721"/>
    </row>
    <row r="134" spans="12:35" s="719" customFormat="1">
      <c r="L134" s="731"/>
      <c r="M134" s="736"/>
      <c r="N134" s="735"/>
      <c r="O134" s="732"/>
      <c r="P134" s="731"/>
      <c r="Q134" s="733" t="s">
        <v>248</v>
      </c>
      <c r="R134" s="732">
        <f>9*5.74</f>
        <v>51.660000000000004</v>
      </c>
      <c r="S134" s="732">
        <v>51.66</v>
      </c>
      <c r="T134" s="732">
        <f t="shared" si="141"/>
        <v>0</v>
      </c>
      <c r="X134" s="721"/>
      <c r="Y134" s="721"/>
      <c r="AC134" s="721"/>
      <c r="AD134" s="721"/>
      <c r="AH134" s="721"/>
      <c r="AI134" s="721"/>
    </row>
    <row r="135" spans="12:35" s="719" customFormat="1">
      <c r="L135" s="731"/>
      <c r="M135" s="736"/>
      <c r="N135" s="735"/>
      <c r="O135" s="732"/>
      <c r="P135" s="731"/>
      <c r="Q135" s="731"/>
      <c r="R135" s="731"/>
      <c r="S135" s="732"/>
      <c r="T135" s="732">
        <f>SUM(T127:T134)</f>
        <v>125.37000000000002</v>
      </c>
      <c r="X135" s="721"/>
      <c r="Y135" s="721"/>
      <c r="AC135" s="721"/>
      <c r="AD135" s="721"/>
      <c r="AH135" s="721"/>
      <c r="AI135" s="721"/>
    </row>
    <row r="136" spans="12:35" s="719" customFormat="1">
      <c r="N136" s="728"/>
      <c r="O136" s="721"/>
      <c r="S136" s="721"/>
      <c r="T136" s="721"/>
      <c r="X136" s="721"/>
      <c r="Y136" s="721"/>
      <c r="AC136" s="721"/>
      <c r="AD136" s="721"/>
      <c r="AH136" s="721"/>
      <c r="AI136" s="721"/>
    </row>
    <row r="137" spans="12:35" s="719" customFormat="1">
      <c r="N137" s="728"/>
      <c r="O137" s="721"/>
      <c r="S137" s="721"/>
      <c r="T137" s="721"/>
      <c r="X137" s="721"/>
      <c r="Y137" s="721"/>
      <c r="AC137" s="721"/>
      <c r="AD137" s="721"/>
      <c r="AH137" s="721"/>
      <c r="AI137" s="721"/>
    </row>
    <row r="138" spans="12:35" s="719" customFormat="1">
      <c r="N138" s="721"/>
      <c r="O138" s="721"/>
      <c r="S138" s="721"/>
      <c r="T138" s="721"/>
      <c r="X138" s="721"/>
      <c r="Y138" s="721"/>
      <c r="AC138" s="721"/>
      <c r="AD138" s="721"/>
      <c r="AH138" s="721"/>
      <c r="AI138" s="721"/>
    </row>
    <row r="139" spans="12:35" s="719" customFormat="1">
      <c r="N139" s="721"/>
      <c r="O139" s="721"/>
      <c r="S139" s="721"/>
      <c r="T139" s="721"/>
      <c r="X139" s="721"/>
      <c r="Y139" s="721"/>
      <c r="AC139" s="721"/>
      <c r="AD139" s="721"/>
      <c r="AH139" s="721"/>
      <c r="AI139" s="721"/>
    </row>
    <row r="140" spans="12:35" s="719" customFormat="1">
      <c r="N140" s="721"/>
      <c r="O140" s="721"/>
      <c r="S140" s="721"/>
      <c r="T140" s="721"/>
      <c r="X140" s="721"/>
      <c r="Y140" s="721"/>
      <c r="AC140" s="721"/>
      <c r="AD140" s="721"/>
      <c r="AH140" s="721"/>
      <c r="AI140" s="721"/>
    </row>
    <row r="141" spans="12:35" s="719" customFormat="1">
      <c r="N141" s="721"/>
      <c r="O141" s="721"/>
      <c r="S141" s="721"/>
      <c r="T141" s="721"/>
      <c r="X141" s="721"/>
      <c r="Y141" s="721"/>
      <c r="AC141" s="721"/>
      <c r="AD141" s="721"/>
      <c r="AH141" s="721"/>
      <c r="AI141" s="721"/>
    </row>
    <row r="142" spans="12:35" s="719" customFormat="1">
      <c r="N142" s="721"/>
      <c r="O142" s="721"/>
      <c r="S142" s="721"/>
      <c r="T142" s="721"/>
      <c r="X142" s="721"/>
      <c r="Y142" s="721"/>
      <c r="AC142" s="721"/>
      <c r="AD142" s="721"/>
      <c r="AH142" s="721"/>
      <c r="AI142" s="721"/>
    </row>
    <row r="143" spans="12:35" s="719" customFormat="1">
      <c r="N143" s="721"/>
      <c r="O143" s="721"/>
      <c r="S143" s="721"/>
      <c r="T143" s="721"/>
      <c r="X143" s="721"/>
      <c r="Y143" s="721"/>
      <c r="AC143" s="721"/>
      <c r="AD143" s="721"/>
      <c r="AH143" s="721"/>
      <c r="AI143" s="721"/>
    </row>
    <row r="144" spans="12:35" s="719" customFormat="1">
      <c r="N144" s="721"/>
      <c r="O144" s="721"/>
      <c r="S144" s="721"/>
      <c r="T144" s="721"/>
      <c r="X144" s="721"/>
      <c r="Y144" s="721"/>
      <c r="AC144" s="721"/>
      <c r="AD144" s="721"/>
      <c r="AH144" s="721"/>
      <c r="AI144" s="721"/>
    </row>
    <row r="145" spans="1:122" s="275" customFormat="1">
      <c r="A145" s="719"/>
      <c r="B145" s="719"/>
      <c r="C145" s="719"/>
      <c r="D145" s="719"/>
      <c r="E145" s="719"/>
      <c r="F145" s="719"/>
      <c r="G145" s="719"/>
      <c r="H145" s="719"/>
      <c r="I145" s="719"/>
      <c r="J145" s="719"/>
      <c r="K145" s="719"/>
      <c r="L145" s="719"/>
      <c r="M145" s="719"/>
      <c r="N145" s="721"/>
      <c r="O145" s="721"/>
      <c r="P145" s="719"/>
      <c r="Q145" s="719"/>
      <c r="R145" s="719"/>
      <c r="S145" s="721"/>
      <c r="T145" s="721"/>
      <c r="U145" s="719"/>
      <c r="V145" s="719"/>
      <c r="W145" s="719"/>
      <c r="X145" s="721"/>
      <c r="Y145" s="721"/>
      <c r="Z145" s="719"/>
      <c r="AA145" s="719"/>
      <c r="AB145" s="719"/>
      <c r="AC145" s="721"/>
      <c r="AD145" s="721"/>
      <c r="AE145" s="719"/>
      <c r="AF145" s="719"/>
      <c r="AG145" s="719"/>
      <c r="AH145" s="721"/>
      <c r="AI145" s="721"/>
      <c r="AJ145" s="719"/>
      <c r="AK145" s="719"/>
      <c r="AL145" s="719"/>
      <c r="AM145" s="719"/>
      <c r="AN145" s="719"/>
      <c r="AO145" s="719"/>
      <c r="AP145" s="719"/>
      <c r="AQ145" s="719"/>
      <c r="AR145" s="719"/>
      <c r="AS145" s="719"/>
      <c r="AT145" s="719"/>
      <c r="AU145" s="719"/>
      <c r="AV145" s="719"/>
      <c r="AW145" s="719"/>
      <c r="AX145" s="719"/>
      <c r="AY145" s="719"/>
      <c r="AZ145" s="719"/>
      <c r="BA145" s="719"/>
      <c r="BB145" s="719"/>
      <c r="BC145" s="719"/>
      <c r="BD145" s="719"/>
      <c r="BE145" s="719"/>
      <c r="BF145" s="719"/>
      <c r="BG145" s="719"/>
      <c r="BH145" s="719"/>
      <c r="BI145" s="719"/>
      <c r="BJ145" s="719"/>
      <c r="BK145" s="719"/>
      <c r="BL145" s="719"/>
      <c r="BM145" s="719"/>
      <c r="BN145" s="719"/>
      <c r="BO145" s="719"/>
      <c r="BP145" s="719"/>
      <c r="BQ145" s="719"/>
      <c r="BR145" s="719"/>
      <c r="BS145" s="719"/>
      <c r="BT145" s="719"/>
      <c r="BU145" s="719"/>
      <c r="BV145" s="719"/>
      <c r="BW145" s="719"/>
      <c r="BX145" s="719"/>
      <c r="BY145" s="719"/>
      <c r="BZ145" s="719"/>
      <c r="CA145" s="719"/>
      <c r="CB145" s="719"/>
      <c r="CC145" s="719"/>
      <c r="CD145" s="719"/>
      <c r="CE145" s="719"/>
      <c r="CF145" s="719"/>
      <c r="CG145" s="719"/>
      <c r="CH145" s="719"/>
      <c r="CI145" s="719"/>
      <c r="CJ145" s="719"/>
      <c r="CK145" s="719"/>
      <c r="CL145" s="719"/>
      <c r="CM145" s="719"/>
      <c r="CN145" s="719"/>
      <c r="CO145" s="719"/>
      <c r="CP145" s="719"/>
      <c r="CQ145" s="719"/>
      <c r="CR145" s="719"/>
      <c r="CS145" s="719"/>
      <c r="CT145" s="719"/>
      <c r="CU145" s="719"/>
      <c r="CV145" s="719"/>
      <c r="CW145" s="719"/>
      <c r="CX145" s="719"/>
      <c r="CY145" s="719"/>
      <c r="CZ145" s="719"/>
      <c r="DA145" s="719"/>
      <c r="DB145" s="719"/>
      <c r="DC145" s="719"/>
      <c r="DD145" s="719"/>
      <c r="DE145" s="719"/>
      <c r="DF145" s="719"/>
      <c r="DG145" s="719"/>
      <c r="DH145" s="719"/>
      <c r="DI145" s="719"/>
      <c r="DJ145" s="719"/>
      <c r="DK145" s="719"/>
      <c r="DL145" s="719"/>
      <c r="DM145" s="719"/>
      <c r="DN145" s="719"/>
      <c r="DO145" s="719"/>
      <c r="DP145" s="719"/>
      <c r="DQ145" s="719"/>
      <c r="DR145" s="719"/>
    </row>
    <row r="146" spans="1:122" s="275" customFormat="1">
      <c r="A146" s="719"/>
      <c r="B146" s="719"/>
      <c r="C146" s="719"/>
      <c r="D146" s="719"/>
      <c r="E146" s="719"/>
      <c r="F146" s="719"/>
      <c r="G146" s="719"/>
      <c r="H146" s="719"/>
      <c r="I146" s="719"/>
      <c r="J146" s="719"/>
      <c r="K146" s="719"/>
      <c r="L146" s="719"/>
      <c r="M146" s="719"/>
      <c r="N146" s="721"/>
      <c r="O146" s="721"/>
      <c r="P146" s="719"/>
      <c r="Q146" s="719"/>
      <c r="R146" s="719"/>
      <c r="S146" s="721"/>
      <c r="T146" s="721"/>
      <c r="U146" s="719"/>
      <c r="V146" s="719"/>
      <c r="W146" s="719"/>
      <c r="X146" s="721"/>
      <c r="Y146" s="721"/>
      <c r="Z146" s="719"/>
      <c r="AA146" s="719"/>
      <c r="AB146" s="719"/>
      <c r="AC146" s="721"/>
      <c r="AD146" s="721"/>
      <c r="AE146" s="719"/>
      <c r="AF146" s="719"/>
      <c r="AG146" s="719"/>
      <c r="AH146" s="721"/>
      <c r="AI146" s="721"/>
      <c r="AJ146" s="719"/>
      <c r="AK146" s="719"/>
      <c r="AL146" s="719"/>
      <c r="AM146" s="719"/>
      <c r="AN146" s="719"/>
      <c r="AO146" s="719"/>
      <c r="AP146" s="719"/>
      <c r="AQ146" s="719"/>
      <c r="AR146" s="719"/>
      <c r="AS146" s="719"/>
      <c r="AT146" s="719"/>
      <c r="AU146" s="719"/>
      <c r="AV146" s="719"/>
      <c r="AW146" s="719"/>
      <c r="AX146" s="719"/>
      <c r="AY146" s="719"/>
      <c r="AZ146" s="719"/>
      <c r="BA146" s="719"/>
      <c r="BB146" s="719"/>
      <c r="BC146" s="719"/>
      <c r="BD146" s="719"/>
      <c r="BE146" s="719"/>
      <c r="BF146" s="719"/>
      <c r="BG146" s="719"/>
      <c r="BH146" s="719"/>
      <c r="BI146" s="719"/>
      <c r="BJ146" s="719"/>
      <c r="BK146" s="719"/>
      <c r="BL146" s="719"/>
      <c r="BM146" s="719"/>
      <c r="BN146" s="719"/>
      <c r="BO146" s="719"/>
      <c r="BP146" s="719"/>
      <c r="BQ146" s="719"/>
      <c r="BR146" s="719"/>
      <c r="BS146" s="719"/>
      <c r="BT146" s="719"/>
      <c r="BU146" s="719"/>
      <c r="BV146" s="719"/>
      <c r="BW146" s="719"/>
      <c r="BX146" s="719"/>
      <c r="BY146" s="719"/>
      <c r="BZ146" s="719"/>
      <c r="CA146" s="719"/>
      <c r="CB146" s="719"/>
      <c r="CC146" s="719"/>
      <c r="CD146" s="719"/>
      <c r="CE146" s="719"/>
      <c r="CF146" s="719"/>
      <c r="CG146" s="719"/>
      <c r="CH146" s="719"/>
      <c r="CI146" s="719"/>
      <c r="CJ146" s="719"/>
      <c r="CK146" s="719"/>
      <c r="CL146" s="719"/>
      <c r="CM146" s="719"/>
      <c r="CN146" s="719"/>
      <c r="CO146" s="719"/>
      <c r="CP146" s="719"/>
      <c r="CQ146" s="719"/>
      <c r="CR146" s="719"/>
      <c r="CS146" s="719"/>
      <c r="CT146" s="719"/>
      <c r="CU146" s="719"/>
      <c r="CV146" s="719"/>
      <c r="CW146" s="719"/>
      <c r="CX146" s="719"/>
      <c r="CY146" s="719"/>
      <c r="CZ146" s="719"/>
      <c r="DA146" s="719"/>
      <c r="DB146" s="719"/>
      <c r="DC146" s="719"/>
      <c r="DD146" s="719"/>
      <c r="DE146" s="719"/>
      <c r="DF146" s="719"/>
      <c r="DG146" s="719"/>
      <c r="DH146" s="719"/>
      <c r="DI146" s="719"/>
      <c r="DJ146" s="719"/>
      <c r="DK146" s="719"/>
      <c r="DL146" s="719"/>
      <c r="DM146" s="719"/>
      <c r="DN146" s="719"/>
      <c r="DO146" s="719"/>
      <c r="DP146" s="719"/>
      <c r="DQ146" s="719"/>
      <c r="DR146" s="719"/>
    </row>
    <row r="147" spans="1:122" s="275" customFormat="1">
      <c r="A147" s="719"/>
      <c r="B147" s="719"/>
      <c r="C147" s="719"/>
      <c r="D147" s="719"/>
      <c r="E147" s="719"/>
      <c r="F147" s="719"/>
      <c r="G147" s="719"/>
      <c r="H147" s="719"/>
      <c r="I147" s="719"/>
      <c r="J147" s="719"/>
      <c r="K147" s="719"/>
      <c r="L147" s="719"/>
      <c r="M147" s="719"/>
      <c r="N147" s="721"/>
      <c r="O147" s="721"/>
      <c r="P147" s="719"/>
      <c r="Q147" s="719"/>
      <c r="R147" s="719"/>
      <c r="S147" s="721"/>
      <c r="T147" s="721"/>
      <c r="U147" s="719"/>
      <c r="V147" s="719"/>
      <c r="W147" s="719"/>
      <c r="X147" s="721"/>
      <c r="Y147" s="721"/>
      <c r="Z147" s="719"/>
      <c r="AA147" s="719"/>
      <c r="AB147" s="719"/>
      <c r="AC147" s="721"/>
      <c r="AD147" s="721"/>
      <c r="AE147" s="719"/>
      <c r="AF147" s="719"/>
      <c r="AG147" s="719"/>
      <c r="AH147" s="721"/>
      <c r="AI147" s="721"/>
      <c r="AJ147" s="719"/>
      <c r="AK147" s="719"/>
      <c r="AL147" s="719"/>
      <c r="AM147" s="719"/>
      <c r="AN147" s="719"/>
      <c r="AO147" s="719"/>
      <c r="AP147" s="719"/>
      <c r="AQ147" s="719"/>
      <c r="AR147" s="719"/>
      <c r="AS147" s="719"/>
      <c r="AT147" s="719"/>
      <c r="AU147" s="719"/>
      <c r="AV147" s="719"/>
      <c r="AW147" s="719"/>
      <c r="AX147" s="719"/>
      <c r="AY147" s="719"/>
      <c r="AZ147" s="719"/>
      <c r="BA147" s="719"/>
      <c r="BB147" s="719"/>
      <c r="BC147" s="719"/>
      <c r="BD147" s="719"/>
      <c r="BE147" s="719"/>
      <c r="BF147" s="719"/>
      <c r="BG147" s="719"/>
      <c r="BH147" s="719"/>
      <c r="BI147" s="719"/>
      <c r="BJ147" s="719"/>
      <c r="BK147" s="719"/>
      <c r="BL147" s="719"/>
      <c r="BM147" s="719"/>
      <c r="BN147" s="719"/>
      <c r="BO147" s="719"/>
      <c r="BP147" s="719"/>
      <c r="BQ147" s="719"/>
      <c r="BR147" s="719"/>
      <c r="BS147" s="719"/>
      <c r="BT147" s="719"/>
      <c r="BU147" s="719"/>
      <c r="BV147" s="719"/>
      <c r="BW147" s="719"/>
      <c r="BX147" s="719"/>
      <c r="BY147" s="719"/>
      <c r="BZ147" s="719"/>
      <c r="CA147" s="719"/>
      <c r="CB147" s="719"/>
      <c r="CC147" s="719"/>
      <c r="CD147" s="719"/>
      <c r="CE147" s="719"/>
      <c r="CF147" s="719"/>
      <c r="CG147" s="719"/>
      <c r="CH147" s="719"/>
      <c r="CI147" s="719"/>
      <c r="CJ147" s="719"/>
      <c r="CK147" s="719"/>
      <c r="CL147" s="719"/>
      <c r="CM147" s="719"/>
      <c r="CN147" s="719"/>
      <c r="CO147" s="719"/>
      <c r="CP147" s="719"/>
      <c r="CQ147" s="719"/>
      <c r="CR147" s="719"/>
      <c r="CS147" s="719"/>
      <c r="CT147" s="719"/>
      <c r="CU147" s="719"/>
      <c r="CV147" s="719"/>
      <c r="CW147" s="719"/>
      <c r="CX147" s="719"/>
      <c r="CY147" s="719"/>
      <c r="CZ147" s="719"/>
      <c r="DA147" s="719"/>
      <c r="DB147" s="719"/>
      <c r="DC147" s="719"/>
      <c r="DD147" s="719"/>
      <c r="DE147" s="719"/>
      <c r="DF147" s="719"/>
      <c r="DG147" s="719"/>
      <c r="DH147" s="719"/>
      <c r="DI147" s="719"/>
      <c r="DJ147" s="719"/>
      <c r="DK147" s="719"/>
      <c r="DL147" s="719"/>
      <c r="DM147" s="719"/>
      <c r="DN147" s="719"/>
      <c r="DO147" s="719"/>
      <c r="DP147" s="719"/>
      <c r="DQ147" s="719"/>
      <c r="DR147" s="719"/>
    </row>
    <row r="148" spans="1:122" s="275" customFormat="1">
      <c r="A148" s="719"/>
      <c r="B148" s="719"/>
      <c r="C148" s="719"/>
      <c r="D148" s="719"/>
      <c r="E148" s="719"/>
      <c r="F148" s="719"/>
      <c r="G148" s="719"/>
      <c r="H148" s="719"/>
      <c r="I148" s="719"/>
      <c r="J148" s="719"/>
      <c r="K148" s="719"/>
      <c r="L148" s="719"/>
      <c r="M148" s="719"/>
      <c r="N148" s="721"/>
      <c r="O148" s="721"/>
      <c r="P148" s="719"/>
      <c r="Q148" s="719"/>
      <c r="R148" s="719"/>
      <c r="S148" s="721"/>
      <c r="T148" s="721"/>
      <c r="U148" s="719"/>
      <c r="V148" s="719"/>
      <c r="W148" s="719"/>
      <c r="X148" s="721"/>
      <c r="Y148" s="721"/>
      <c r="Z148" s="719"/>
      <c r="AA148" s="719"/>
      <c r="AB148" s="719"/>
      <c r="AC148" s="721"/>
      <c r="AD148" s="721"/>
      <c r="AE148" s="719"/>
      <c r="AF148" s="719"/>
      <c r="AG148" s="719"/>
      <c r="AH148" s="721"/>
      <c r="AI148" s="721"/>
      <c r="AJ148" s="719"/>
      <c r="AK148" s="719"/>
      <c r="AL148" s="719"/>
      <c r="AM148" s="719"/>
      <c r="AN148" s="719"/>
      <c r="AO148" s="719"/>
      <c r="AP148" s="719"/>
      <c r="AQ148" s="719"/>
      <c r="AR148" s="719"/>
      <c r="AS148" s="719"/>
      <c r="AT148" s="719"/>
      <c r="AU148" s="719"/>
      <c r="AV148" s="719"/>
      <c r="AW148" s="719"/>
      <c r="AX148" s="719"/>
      <c r="AY148" s="719"/>
      <c r="AZ148" s="719"/>
      <c r="BA148" s="719"/>
      <c r="BB148" s="719"/>
      <c r="BC148" s="719"/>
      <c r="BD148" s="719"/>
      <c r="BE148" s="719"/>
      <c r="BF148" s="719"/>
      <c r="BG148" s="719"/>
      <c r="BH148" s="719"/>
      <c r="BI148" s="719"/>
      <c r="BJ148" s="719"/>
      <c r="BK148" s="719"/>
      <c r="BL148" s="719"/>
      <c r="BM148" s="719"/>
      <c r="BN148" s="719"/>
      <c r="BO148" s="719"/>
      <c r="BP148" s="719"/>
      <c r="BQ148" s="719"/>
      <c r="BR148" s="719"/>
      <c r="BS148" s="719"/>
      <c r="BT148" s="719"/>
      <c r="BU148" s="719"/>
      <c r="BV148" s="719"/>
      <c r="BW148" s="719"/>
      <c r="BX148" s="719"/>
      <c r="BY148" s="719"/>
      <c r="BZ148" s="719"/>
      <c r="CA148" s="719"/>
      <c r="CB148" s="719"/>
      <c r="CC148" s="719"/>
      <c r="CD148" s="719"/>
      <c r="CE148" s="719"/>
      <c r="CF148" s="719"/>
      <c r="CG148" s="719"/>
      <c r="CH148" s="719"/>
      <c r="CI148" s="719"/>
      <c r="CJ148" s="719"/>
      <c r="CK148" s="719"/>
      <c r="CL148" s="719"/>
      <c r="CM148" s="719"/>
      <c r="CN148" s="719"/>
      <c r="CO148" s="719"/>
      <c r="CP148" s="719"/>
      <c r="CQ148" s="719"/>
      <c r="CR148" s="719"/>
      <c r="CS148" s="719"/>
      <c r="CT148" s="719"/>
      <c r="CU148" s="719"/>
      <c r="CV148" s="719"/>
      <c r="CW148" s="719"/>
      <c r="CX148" s="719"/>
      <c r="CY148" s="719"/>
      <c r="CZ148" s="719"/>
      <c r="DA148" s="719"/>
      <c r="DB148" s="719"/>
      <c r="DC148" s="719"/>
      <c r="DD148" s="719"/>
      <c r="DE148" s="719"/>
      <c r="DF148" s="719"/>
      <c r="DG148" s="719"/>
      <c r="DH148" s="719"/>
      <c r="DI148" s="719"/>
      <c r="DJ148" s="719"/>
      <c r="DK148" s="719"/>
      <c r="DL148" s="719"/>
      <c r="DM148" s="719"/>
      <c r="DN148" s="719"/>
      <c r="DO148" s="719"/>
      <c r="DP148" s="719"/>
      <c r="DQ148" s="719"/>
      <c r="DR148" s="719"/>
    </row>
    <row r="149" spans="1:122" s="275" customFormat="1">
      <c r="A149" s="719"/>
      <c r="B149" s="719"/>
      <c r="C149" s="719"/>
      <c r="D149" s="719"/>
      <c r="E149" s="719"/>
      <c r="F149" s="719"/>
      <c r="G149" s="719"/>
      <c r="H149" s="719"/>
      <c r="I149" s="719"/>
      <c r="J149" s="719"/>
      <c r="K149" s="719"/>
      <c r="L149" s="719"/>
      <c r="M149" s="719"/>
      <c r="N149" s="721"/>
      <c r="O149" s="721"/>
      <c r="P149" s="719"/>
      <c r="Q149" s="719"/>
      <c r="R149" s="719"/>
      <c r="S149" s="721"/>
      <c r="T149" s="721"/>
      <c r="U149" s="719"/>
      <c r="V149" s="719"/>
      <c r="W149" s="719"/>
      <c r="X149" s="721"/>
      <c r="Y149" s="721"/>
      <c r="Z149" s="719"/>
      <c r="AA149" s="719"/>
      <c r="AB149" s="719"/>
      <c r="AC149" s="721"/>
      <c r="AD149" s="721"/>
      <c r="AE149" s="719"/>
      <c r="AF149" s="719"/>
      <c r="AG149" s="719"/>
      <c r="AH149" s="721"/>
      <c r="AI149" s="721"/>
      <c r="AJ149" s="719"/>
      <c r="AK149" s="719"/>
      <c r="AL149" s="719"/>
      <c r="AM149" s="719"/>
      <c r="AN149" s="719"/>
      <c r="AO149" s="719"/>
      <c r="AP149" s="719"/>
      <c r="AQ149" s="719"/>
      <c r="AR149" s="719"/>
      <c r="AS149" s="719"/>
      <c r="AT149" s="719"/>
      <c r="AU149" s="719"/>
      <c r="AV149" s="719"/>
      <c r="AW149" s="719"/>
      <c r="AX149" s="719"/>
      <c r="AY149" s="719"/>
      <c r="AZ149" s="719"/>
      <c r="BA149" s="719"/>
      <c r="BB149" s="719"/>
      <c r="BC149" s="719"/>
      <c r="BD149" s="719"/>
      <c r="BE149" s="719"/>
      <c r="BF149" s="719"/>
      <c r="BG149" s="719"/>
      <c r="BH149" s="719"/>
      <c r="BI149" s="719"/>
      <c r="BJ149" s="719"/>
      <c r="BK149" s="719"/>
      <c r="BL149" s="719"/>
      <c r="BM149" s="719"/>
      <c r="BN149" s="719"/>
      <c r="BO149" s="719"/>
      <c r="BP149" s="719"/>
      <c r="BQ149" s="719"/>
      <c r="BR149" s="719"/>
      <c r="BS149" s="719"/>
      <c r="BT149" s="719"/>
      <c r="BU149" s="719"/>
      <c r="BV149" s="719"/>
      <c r="BW149" s="719"/>
      <c r="BX149" s="719"/>
      <c r="BY149" s="719"/>
      <c r="BZ149" s="719"/>
      <c r="CA149" s="719"/>
      <c r="CB149" s="719"/>
      <c r="CC149" s="719"/>
      <c r="CD149" s="719"/>
      <c r="CE149" s="719"/>
      <c r="CF149" s="719"/>
      <c r="CG149" s="719"/>
      <c r="CH149" s="719"/>
      <c r="CI149" s="719"/>
      <c r="CJ149" s="719"/>
      <c r="CK149" s="719"/>
      <c r="CL149" s="719"/>
      <c r="CM149" s="719"/>
      <c r="CN149" s="719"/>
      <c r="CO149" s="719"/>
      <c r="CP149" s="719"/>
      <c r="CQ149" s="719"/>
      <c r="CR149" s="719"/>
      <c r="CS149" s="719"/>
      <c r="CT149" s="719"/>
      <c r="CU149" s="719"/>
      <c r="CV149" s="719"/>
      <c r="CW149" s="719"/>
      <c r="CX149" s="719"/>
      <c r="CY149" s="719"/>
      <c r="CZ149" s="719"/>
      <c r="DA149" s="719"/>
      <c r="DB149" s="719"/>
      <c r="DC149" s="719"/>
      <c r="DD149" s="719"/>
      <c r="DE149" s="719"/>
      <c r="DF149" s="719"/>
      <c r="DG149" s="719"/>
      <c r="DH149" s="719"/>
      <c r="DI149" s="719"/>
      <c r="DJ149" s="719"/>
      <c r="DK149" s="719"/>
      <c r="DL149" s="719"/>
      <c r="DM149" s="719"/>
      <c r="DN149" s="719"/>
      <c r="DO149" s="719"/>
      <c r="DP149" s="719"/>
      <c r="DQ149" s="719"/>
      <c r="DR149" s="719"/>
    </row>
    <row r="150" spans="1:122" s="275" customFormat="1">
      <c r="A150" s="719"/>
      <c r="B150" s="719"/>
      <c r="C150" s="719"/>
      <c r="D150" s="719"/>
      <c r="E150" s="719"/>
      <c r="F150" s="719"/>
      <c r="G150" s="719"/>
      <c r="H150" s="719"/>
      <c r="I150" s="719"/>
      <c r="J150" s="719"/>
      <c r="K150" s="719"/>
      <c r="L150" s="719"/>
      <c r="M150" s="719"/>
      <c r="N150" s="721"/>
      <c r="O150" s="721"/>
      <c r="P150" s="719"/>
      <c r="Q150" s="719"/>
      <c r="R150" s="719"/>
      <c r="S150" s="721"/>
      <c r="T150" s="721"/>
      <c r="U150" s="719"/>
      <c r="V150" s="719"/>
      <c r="W150" s="719"/>
      <c r="X150" s="721"/>
      <c r="Y150" s="721"/>
      <c r="Z150" s="719"/>
      <c r="AA150" s="719"/>
      <c r="AB150" s="719"/>
      <c r="AC150" s="721"/>
      <c r="AD150" s="721"/>
      <c r="AE150" s="719"/>
      <c r="AF150" s="719"/>
      <c r="AG150" s="719"/>
      <c r="AH150" s="721"/>
      <c r="AI150" s="721"/>
      <c r="AJ150" s="719"/>
      <c r="AK150" s="719"/>
      <c r="AL150" s="719"/>
      <c r="AM150" s="719"/>
      <c r="AN150" s="719"/>
      <c r="AO150" s="719"/>
      <c r="AP150" s="719"/>
      <c r="AQ150" s="719"/>
      <c r="AR150" s="719"/>
      <c r="AS150" s="719"/>
      <c r="AT150" s="719"/>
      <c r="AU150" s="719"/>
      <c r="AV150" s="719"/>
      <c r="AW150" s="719"/>
      <c r="AX150" s="719"/>
      <c r="AY150" s="719"/>
      <c r="AZ150" s="719"/>
      <c r="BA150" s="719"/>
      <c r="BB150" s="719"/>
      <c r="BC150" s="719"/>
      <c r="BD150" s="719"/>
      <c r="BE150" s="719"/>
      <c r="BF150" s="719"/>
      <c r="BG150" s="719"/>
      <c r="BH150" s="719"/>
      <c r="BI150" s="719"/>
      <c r="BJ150" s="719"/>
      <c r="BK150" s="719"/>
      <c r="BL150" s="719"/>
      <c r="BM150" s="719"/>
      <c r="BN150" s="719"/>
      <c r="BO150" s="719"/>
      <c r="BP150" s="719"/>
      <c r="BQ150" s="719"/>
      <c r="BR150" s="719"/>
      <c r="BS150" s="719"/>
      <c r="BT150" s="719"/>
      <c r="BU150" s="719"/>
      <c r="BV150" s="719"/>
      <c r="BW150" s="719"/>
      <c r="BX150" s="719"/>
      <c r="BY150" s="719"/>
      <c r="BZ150" s="719"/>
      <c r="CA150" s="719"/>
      <c r="CB150" s="719"/>
      <c r="CC150" s="719"/>
      <c r="CD150" s="719"/>
      <c r="CE150" s="719"/>
      <c r="CF150" s="719"/>
      <c r="CG150" s="719"/>
      <c r="CH150" s="719"/>
      <c r="CI150" s="719"/>
      <c r="CJ150" s="719"/>
      <c r="CK150" s="719"/>
      <c r="CL150" s="719"/>
      <c r="CM150" s="719"/>
      <c r="CN150" s="719"/>
      <c r="CO150" s="719"/>
      <c r="CP150" s="719"/>
      <c r="CQ150" s="719"/>
      <c r="CR150" s="719"/>
      <c r="CS150" s="719"/>
      <c r="CT150" s="719"/>
      <c r="CU150" s="719"/>
      <c r="CV150" s="719"/>
      <c r="CW150" s="719"/>
      <c r="CX150" s="719"/>
      <c r="CY150" s="719"/>
      <c r="CZ150" s="719"/>
      <c r="DA150" s="719"/>
      <c r="DB150" s="719"/>
      <c r="DC150" s="719"/>
      <c r="DD150" s="719"/>
      <c r="DE150" s="719"/>
      <c r="DF150" s="719"/>
      <c r="DG150" s="719"/>
      <c r="DH150" s="719"/>
      <c r="DI150" s="719"/>
      <c r="DJ150" s="719"/>
      <c r="DK150" s="719"/>
      <c r="DL150" s="719"/>
      <c r="DM150" s="719"/>
      <c r="DN150" s="719"/>
      <c r="DO150" s="719"/>
      <c r="DP150" s="719"/>
      <c r="DQ150" s="719"/>
      <c r="DR150" s="719"/>
    </row>
    <row r="151" spans="1:122" s="275" customFormat="1">
      <c r="A151" s="719"/>
      <c r="B151" s="719"/>
      <c r="C151" s="719"/>
      <c r="D151" s="719"/>
      <c r="E151" s="719"/>
      <c r="F151" s="719"/>
      <c r="G151" s="719"/>
      <c r="H151" s="719"/>
      <c r="I151" s="719"/>
      <c r="J151" s="719"/>
      <c r="K151" s="719"/>
      <c r="L151" s="719"/>
      <c r="M151" s="719"/>
      <c r="N151" s="721"/>
      <c r="O151" s="721"/>
      <c r="P151" s="719"/>
      <c r="Q151" s="719"/>
      <c r="R151" s="719"/>
      <c r="S151" s="721"/>
      <c r="T151" s="721"/>
      <c r="U151" s="719"/>
      <c r="V151" s="719"/>
      <c r="W151" s="719"/>
      <c r="X151" s="721"/>
      <c r="Y151" s="721"/>
      <c r="Z151" s="719"/>
      <c r="AA151" s="719"/>
      <c r="AB151" s="719"/>
      <c r="AC151" s="721"/>
      <c r="AD151" s="721"/>
      <c r="AE151" s="719"/>
      <c r="AF151" s="719"/>
      <c r="AG151" s="719"/>
      <c r="AH151" s="721"/>
      <c r="AI151" s="721"/>
      <c r="AJ151" s="719"/>
      <c r="AK151" s="719"/>
      <c r="AL151" s="719"/>
      <c r="AM151" s="719"/>
      <c r="AN151" s="719"/>
      <c r="AO151" s="719"/>
      <c r="AP151" s="719"/>
      <c r="AQ151" s="719"/>
      <c r="AR151" s="719"/>
      <c r="AS151" s="719"/>
      <c r="AT151" s="719"/>
      <c r="AU151" s="719"/>
      <c r="AV151" s="719"/>
      <c r="AW151" s="719"/>
      <c r="AX151" s="719"/>
      <c r="AY151" s="719"/>
      <c r="AZ151" s="719"/>
      <c r="BA151" s="719"/>
      <c r="BB151" s="719"/>
      <c r="BC151" s="719"/>
      <c r="BD151" s="719"/>
      <c r="BE151" s="719"/>
      <c r="BF151" s="719"/>
      <c r="BG151" s="719"/>
      <c r="BH151" s="719"/>
      <c r="BI151" s="719"/>
      <c r="BJ151" s="719"/>
      <c r="BK151" s="719"/>
      <c r="BL151" s="719"/>
      <c r="BM151" s="719"/>
      <c r="BN151" s="719"/>
      <c r="BO151" s="719"/>
      <c r="BP151" s="719"/>
      <c r="BQ151" s="719"/>
      <c r="BR151" s="719"/>
      <c r="BS151" s="719"/>
      <c r="BT151" s="719"/>
      <c r="BU151" s="719"/>
      <c r="BV151" s="719"/>
      <c r="BW151" s="719"/>
      <c r="BX151" s="719"/>
      <c r="BY151" s="719"/>
      <c r="BZ151" s="719"/>
      <c r="CA151" s="719"/>
      <c r="CB151" s="719"/>
      <c r="CC151" s="719"/>
      <c r="CD151" s="719"/>
      <c r="CE151" s="719"/>
      <c r="CF151" s="719"/>
      <c r="CG151" s="719"/>
      <c r="CH151" s="719"/>
      <c r="CI151" s="719"/>
      <c r="CJ151" s="719"/>
      <c r="CK151" s="719"/>
      <c r="CL151" s="719"/>
      <c r="CM151" s="719"/>
      <c r="CN151" s="719"/>
      <c r="CO151" s="719"/>
      <c r="CP151" s="719"/>
      <c r="CQ151" s="719"/>
      <c r="CR151" s="719"/>
      <c r="CS151" s="719"/>
      <c r="CT151" s="719"/>
      <c r="CU151" s="719"/>
      <c r="CV151" s="719"/>
      <c r="CW151" s="719"/>
      <c r="CX151" s="719"/>
      <c r="CY151" s="719"/>
      <c r="CZ151" s="719"/>
      <c r="DA151" s="719"/>
      <c r="DB151" s="719"/>
      <c r="DC151" s="719"/>
      <c r="DD151" s="719"/>
      <c r="DE151" s="719"/>
      <c r="DF151" s="719"/>
      <c r="DG151" s="719"/>
      <c r="DH151" s="719"/>
      <c r="DI151" s="719"/>
      <c r="DJ151" s="719"/>
      <c r="DK151" s="719"/>
      <c r="DL151" s="719"/>
      <c r="DM151" s="719"/>
      <c r="DN151" s="719"/>
      <c r="DO151" s="719"/>
      <c r="DP151" s="719"/>
      <c r="DQ151" s="719"/>
      <c r="DR151" s="719"/>
    </row>
    <row r="152" spans="1:122" s="275" customFormat="1">
      <c r="A152" s="719"/>
      <c r="B152" s="719"/>
      <c r="C152" s="719"/>
      <c r="D152" s="719"/>
      <c r="E152" s="719"/>
      <c r="F152" s="719"/>
      <c r="G152" s="719"/>
      <c r="H152" s="719"/>
      <c r="I152" s="719"/>
      <c r="J152" s="719"/>
      <c r="K152" s="719"/>
      <c r="L152" s="719"/>
      <c r="M152" s="719"/>
      <c r="N152" s="721"/>
      <c r="O152" s="721"/>
      <c r="P152" s="719"/>
      <c r="Q152" s="719"/>
      <c r="R152" s="719"/>
      <c r="S152" s="721"/>
      <c r="T152" s="721"/>
      <c r="U152" s="719"/>
      <c r="V152" s="719"/>
      <c r="W152" s="719"/>
      <c r="X152" s="721"/>
      <c r="Y152" s="721"/>
      <c r="Z152" s="719"/>
      <c r="AA152" s="719"/>
      <c r="AB152" s="719"/>
      <c r="AC152" s="721"/>
      <c r="AD152" s="721"/>
      <c r="AE152" s="719"/>
      <c r="AF152" s="719"/>
      <c r="AG152" s="719"/>
      <c r="AH152" s="721"/>
      <c r="AI152" s="721"/>
      <c r="AJ152" s="719"/>
      <c r="AK152" s="719"/>
      <c r="AL152" s="719"/>
      <c r="AM152" s="719"/>
      <c r="AN152" s="719"/>
      <c r="AO152" s="719"/>
      <c r="AP152" s="719"/>
      <c r="AQ152" s="719"/>
      <c r="AR152" s="719"/>
      <c r="AS152" s="719"/>
      <c r="AT152" s="719"/>
      <c r="AU152" s="719"/>
      <c r="AV152" s="719"/>
      <c r="AW152" s="719"/>
      <c r="AX152" s="719"/>
      <c r="AY152" s="719"/>
      <c r="AZ152" s="719"/>
      <c r="BA152" s="719"/>
      <c r="BB152" s="719"/>
      <c r="BC152" s="719"/>
      <c r="BD152" s="719"/>
      <c r="BE152" s="719"/>
      <c r="BF152" s="719"/>
      <c r="BG152" s="719"/>
      <c r="BH152" s="719"/>
      <c r="BI152" s="719"/>
      <c r="BJ152" s="719"/>
      <c r="BK152" s="719"/>
      <c r="BL152" s="719"/>
      <c r="BM152" s="719"/>
      <c r="BN152" s="719"/>
      <c r="BO152" s="719"/>
      <c r="BP152" s="719"/>
      <c r="BQ152" s="719"/>
      <c r="BR152" s="719"/>
      <c r="BS152" s="719"/>
      <c r="BT152" s="719"/>
      <c r="BU152" s="719"/>
      <c r="BV152" s="719"/>
      <c r="BW152" s="719"/>
      <c r="BX152" s="719"/>
      <c r="BY152" s="719"/>
      <c r="BZ152" s="719"/>
      <c r="CA152" s="719"/>
      <c r="CB152" s="719"/>
      <c r="CC152" s="719"/>
      <c r="CD152" s="719"/>
      <c r="CE152" s="719"/>
      <c r="CF152" s="719"/>
      <c r="CG152" s="719"/>
      <c r="CH152" s="719"/>
      <c r="CI152" s="719"/>
      <c r="CJ152" s="719"/>
      <c r="CK152" s="719"/>
      <c r="CL152" s="719"/>
      <c r="CM152" s="719"/>
      <c r="CN152" s="719"/>
      <c r="CO152" s="719"/>
      <c r="CP152" s="719"/>
      <c r="CQ152" s="719"/>
      <c r="CR152" s="719"/>
      <c r="CS152" s="719"/>
      <c r="CT152" s="719"/>
      <c r="CU152" s="719"/>
      <c r="CV152" s="719"/>
      <c r="CW152" s="719"/>
      <c r="CX152" s="719"/>
      <c r="CY152" s="719"/>
      <c r="CZ152" s="719"/>
      <c r="DA152" s="719"/>
      <c r="DB152" s="719"/>
      <c r="DC152" s="719"/>
      <c r="DD152" s="719"/>
      <c r="DE152" s="719"/>
      <c r="DF152" s="719"/>
      <c r="DG152" s="719"/>
      <c r="DH152" s="719"/>
      <c r="DI152" s="719"/>
      <c r="DJ152" s="719"/>
      <c r="DK152" s="719"/>
      <c r="DL152" s="719"/>
      <c r="DM152" s="719"/>
      <c r="DN152" s="719"/>
      <c r="DO152" s="719"/>
      <c r="DP152" s="719"/>
      <c r="DQ152" s="719"/>
      <c r="DR152" s="719"/>
    </row>
    <row r="153" spans="1:122" s="275" customFormat="1">
      <c r="A153" s="719"/>
      <c r="B153" s="719"/>
      <c r="C153" s="719"/>
      <c r="D153" s="719"/>
      <c r="E153" s="719"/>
      <c r="F153" s="719"/>
      <c r="G153" s="719"/>
      <c r="H153" s="719"/>
      <c r="I153" s="719"/>
      <c r="J153" s="719"/>
      <c r="K153" s="719"/>
      <c r="L153" s="719"/>
      <c r="M153" s="719"/>
      <c r="N153" s="721"/>
      <c r="O153" s="721"/>
      <c r="P153" s="719"/>
      <c r="Q153" s="719"/>
      <c r="R153" s="719"/>
      <c r="S153" s="721"/>
      <c r="T153" s="721"/>
      <c r="U153" s="719"/>
      <c r="V153" s="719"/>
      <c r="W153" s="719"/>
      <c r="X153" s="721"/>
      <c r="Y153" s="721"/>
      <c r="Z153" s="719"/>
      <c r="AA153" s="719"/>
      <c r="AB153" s="719"/>
      <c r="AC153" s="721"/>
      <c r="AD153" s="721"/>
      <c r="AE153" s="719"/>
      <c r="AF153" s="719"/>
      <c r="AG153" s="719"/>
      <c r="AH153" s="721"/>
      <c r="AI153" s="721"/>
      <c r="AJ153" s="719"/>
      <c r="AK153" s="719"/>
      <c r="AL153" s="719"/>
      <c r="AM153" s="719"/>
      <c r="AN153" s="719"/>
      <c r="AO153" s="719"/>
      <c r="AP153" s="719"/>
      <c r="AQ153" s="719"/>
      <c r="AR153" s="719"/>
      <c r="AS153" s="719"/>
      <c r="AT153" s="719"/>
      <c r="AU153" s="719"/>
      <c r="AV153" s="719"/>
      <c r="AW153" s="719"/>
      <c r="AX153" s="719"/>
      <c r="AY153" s="719"/>
      <c r="AZ153" s="719"/>
      <c r="BA153" s="719"/>
      <c r="BB153" s="719"/>
      <c r="BC153" s="719"/>
      <c r="BD153" s="719"/>
      <c r="BE153" s="719"/>
      <c r="BF153" s="719"/>
      <c r="BG153" s="719"/>
      <c r="BH153" s="719"/>
      <c r="BI153" s="719"/>
      <c r="BJ153" s="719"/>
      <c r="BK153" s="719"/>
      <c r="BL153" s="719"/>
      <c r="BM153" s="719"/>
      <c r="BN153" s="719"/>
      <c r="BO153" s="719"/>
      <c r="BP153" s="719"/>
      <c r="BQ153" s="719"/>
      <c r="BR153" s="719"/>
      <c r="BS153" s="719"/>
      <c r="BT153" s="719"/>
      <c r="BU153" s="719"/>
      <c r="BV153" s="719"/>
      <c r="BW153" s="719"/>
      <c r="BX153" s="719"/>
      <c r="BY153" s="719"/>
      <c r="BZ153" s="719"/>
      <c r="CA153" s="719"/>
      <c r="CB153" s="719"/>
      <c r="CC153" s="719"/>
      <c r="CD153" s="719"/>
      <c r="CE153" s="719"/>
      <c r="CF153" s="719"/>
      <c r="CG153" s="719"/>
      <c r="CH153" s="719"/>
      <c r="CI153" s="719"/>
      <c r="CJ153" s="719"/>
      <c r="CK153" s="719"/>
      <c r="CL153" s="719"/>
      <c r="CM153" s="719"/>
      <c r="CN153" s="719"/>
      <c r="CO153" s="719"/>
      <c r="CP153" s="719"/>
      <c r="CQ153" s="719"/>
      <c r="CR153" s="719"/>
      <c r="CS153" s="719"/>
      <c r="CT153" s="719"/>
      <c r="CU153" s="719"/>
      <c r="CV153" s="719"/>
      <c r="CW153" s="719"/>
      <c r="CX153" s="719"/>
      <c r="CY153" s="719"/>
      <c r="CZ153" s="719"/>
      <c r="DA153" s="719"/>
      <c r="DB153" s="719"/>
      <c r="DC153" s="719"/>
      <c r="DD153" s="719"/>
      <c r="DE153" s="719"/>
      <c r="DF153" s="719"/>
      <c r="DG153" s="719"/>
      <c r="DH153" s="719"/>
      <c r="DI153" s="719"/>
      <c r="DJ153" s="719"/>
      <c r="DK153" s="719"/>
      <c r="DL153" s="719"/>
      <c r="DM153" s="719"/>
      <c r="DN153" s="719"/>
      <c r="DO153" s="719"/>
      <c r="DP153" s="719"/>
      <c r="DQ153" s="719"/>
      <c r="DR153" s="719"/>
    </row>
    <row r="154" spans="1:122" s="275" customFormat="1">
      <c r="A154" s="719"/>
      <c r="B154" s="719"/>
      <c r="C154" s="719"/>
      <c r="D154" s="719"/>
      <c r="E154" s="719"/>
      <c r="F154" s="719"/>
      <c r="G154" s="719"/>
      <c r="H154" s="719"/>
      <c r="I154" s="719"/>
      <c r="J154" s="719"/>
      <c r="K154" s="719"/>
      <c r="L154" s="719"/>
      <c r="M154" s="719"/>
      <c r="N154" s="721"/>
      <c r="O154" s="721"/>
      <c r="P154" s="719"/>
      <c r="Q154" s="719"/>
      <c r="R154" s="719"/>
      <c r="S154" s="721"/>
      <c r="T154" s="721"/>
      <c r="U154" s="719"/>
      <c r="V154" s="719"/>
      <c r="W154" s="719"/>
      <c r="X154" s="721"/>
      <c r="Y154" s="721"/>
      <c r="Z154" s="719"/>
      <c r="AA154" s="719"/>
      <c r="AB154" s="719"/>
      <c r="AC154" s="721"/>
      <c r="AD154" s="721"/>
      <c r="AE154" s="719"/>
      <c r="AF154" s="719"/>
      <c r="AG154" s="719"/>
      <c r="AH154" s="721"/>
      <c r="AI154" s="721"/>
      <c r="AJ154" s="719"/>
      <c r="AK154" s="719"/>
      <c r="AL154" s="719"/>
      <c r="AM154" s="719"/>
      <c r="AN154" s="719"/>
      <c r="AO154" s="719"/>
      <c r="AP154" s="719"/>
      <c r="AQ154" s="719"/>
      <c r="AR154" s="719"/>
      <c r="AS154" s="719"/>
      <c r="AT154" s="719"/>
      <c r="AU154" s="719"/>
      <c r="AV154" s="719"/>
      <c r="AW154" s="719"/>
      <c r="AX154" s="719"/>
      <c r="AY154" s="719"/>
      <c r="AZ154" s="719"/>
      <c r="BA154" s="719"/>
      <c r="BB154" s="719"/>
      <c r="BC154" s="719"/>
      <c r="BD154" s="719"/>
      <c r="BE154" s="719"/>
      <c r="BF154" s="719"/>
      <c r="BG154" s="719"/>
      <c r="BH154" s="719"/>
      <c r="BI154" s="719"/>
      <c r="BJ154" s="719"/>
      <c r="BK154" s="719"/>
      <c r="BL154" s="719"/>
      <c r="BM154" s="719"/>
      <c r="BN154" s="719"/>
      <c r="BO154" s="719"/>
      <c r="BP154" s="719"/>
      <c r="BQ154" s="719"/>
      <c r="BR154" s="719"/>
      <c r="BS154" s="719"/>
      <c r="BT154" s="719"/>
      <c r="BU154" s="719"/>
      <c r="BV154" s="719"/>
      <c r="BW154" s="719"/>
      <c r="BX154" s="719"/>
      <c r="BY154" s="719"/>
      <c r="BZ154" s="719"/>
      <c r="CA154" s="719"/>
      <c r="CB154" s="719"/>
      <c r="CC154" s="719"/>
      <c r="CD154" s="719"/>
      <c r="CE154" s="719"/>
      <c r="CF154" s="719"/>
      <c r="CG154" s="719"/>
      <c r="CH154" s="719"/>
      <c r="CI154" s="719"/>
      <c r="CJ154" s="719"/>
      <c r="CK154" s="719"/>
      <c r="CL154" s="719"/>
      <c r="CM154" s="719"/>
      <c r="CN154" s="719"/>
      <c r="CO154" s="719"/>
      <c r="CP154" s="719"/>
      <c r="CQ154" s="719"/>
      <c r="CR154" s="719"/>
      <c r="CS154" s="719"/>
      <c r="CT154" s="719"/>
      <c r="CU154" s="719"/>
      <c r="CV154" s="719"/>
      <c r="CW154" s="719"/>
      <c r="CX154" s="719"/>
      <c r="CY154" s="719"/>
      <c r="CZ154" s="719"/>
      <c r="DA154" s="719"/>
      <c r="DB154" s="719"/>
      <c r="DC154" s="719"/>
      <c r="DD154" s="719"/>
      <c r="DE154" s="719"/>
      <c r="DF154" s="719"/>
      <c r="DG154" s="719"/>
      <c r="DH154" s="719"/>
      <c r="DI154" s="719"/>
      <c r="DJ154" s="719"/>
      <c r="DK154" s="719"/>
      <c r="DL154" s="719"/>
      <c r="DM154" s="719"/>
      <c r="DN154" s="719"/>
      <c r="DO154" s="719"/>
      <c r="DP154" s="719"/>
      <c r="DQ154" s="719"/>
      <c r="DR154" s="719"/>
    </row>
    <row r="155" spans="1:122" s="275" customFormat="1">
      <c r="A155" s="719"/>
      <c r="B155" s="719"/>
      <c r="C155" s="719"/>
      <c r="D155" s="719"/>
      <c r="E155" s="719"/>
      <c r="F155" s="719"/>
      <c r="G155" s="719"/>
      <c r="H155" s="719"/>
      <c r="I155" s="719"/>
      <c r="J155" s="719"/>
      <c r="K155" s="719"/>
      <c r="L155" s="719"/>
      <c r="M155" s="719"/>
      <c r="N155" s="721"/>
      <c r="O155" s="721"/>
      <c r="P155" s="719"/>
      <c r="Q155" s="719"/>
      <c r="R155" s="719"/>
      <c r="S155" s="721"/>
      <c r="T155" s="721"/>
      <c r="U155" s="719"/>
      <c r="V155" s="719"/>
      <c r="W155" s="719"/>
      <c r="X155" s="721"/>
      <c r="Y155" s="721"/>
      <c r="Z155" s="719"/>
      <c r="AA155" s="719"/>
      <c r="AB155" s="719"/>
      <c r="AC155" s="721"/>
      <c r="AD155" s="721"/>
      <c r="AE155" s="719"/>
      <c r="AF155" s="719"/>
      <c r="AG155" s="719"/>
      <c r="AH155" s="721"/>
      <c r="AI155" s="721"/>
      <c r="AJ155" s="719"/>
      <c r="AK155" s="719"/>
      <c r="AL155" s="719"/>
      <c r="AM155" s="719"/>
      <c r="AN155" s="719"/>
      <c r="AO155" s="719"/>
      <c r="AP155" s="719"/>
      <c r="AQ155" s="719"/>
      <c r="AR155" s="719"/>
      <c r="AS155" s="719"/>
      <c r="AT155" s="719"/>
      <c r="AU155" s="719"/>
      <c r="AV155" s="719"/>
      <c r="AW155" s="719"/>
      <c r="AX155" s="719"/>
      <c r="AY155" s="719"/>
      <c r="AZ155" s="719"/>
      <c r="BA155" s="719"/>
      <c r="BB155" s="719"/>
      <c r="BC155" s="719"/>
      <c r="BD155" s="719"/>
      <c r="BE155" s="719"/>
      <c r="BF155" s="719"/>
      <c r="BG155" s="719"/>
      <c r="BH155" s="719"/>
      <c r="BI155" s="719"/>
      <c r="BJ155" s="719"/>
      <c r="BK155" s="719"/>
      <c r="BL155" s="719"/>
      <c r="BM155" s="719"/>
      <c r="BN155" s="719"/>
      <c r="BO155" s="719"/>
      <c r="BP155" s="719"/>
      <c r="BQ155" s="719"/>
      <c r="BR155" s="719"/>
      <c r="BS155" s="719"/>
      <c r="BT155" s="719"/>
      <c r="BU155" s="719"/>
      <c r="BV155" s="719"/>
      <c r="BW155" s="719"/>
      <c r="BX155" s="719"/>
      <c r="BY155" s="719"/>
      <c r="BZ155" s="719"/>
      <c r="CA155" s="719"/>
      <c r="CB155" s="719"/>
      <c r="CC155" s="719"/>
      <c r="CD155" s="719"/>
      <c r="CE155" s="719"/>
      <c r="CF155" s="719"/>
      <c r="CG155" s="719"/>
      <c r="CH155" s="719"/>
      <c r="CI155" s="719"/>
      <c r="CJ155" s="719"/>
      <c r="CK155" s="719"/>
      <c r="CL155" s="719"/>
      <c r="CM155" s="719"/>
      <c r="CN155" s="719"/>
      <c r="CO155" s="719"/>
      <c r="CP155" s="719"/>
      <c r="CQ155" s="719"/>
      <c r="CR155" s="719"/>
      <c r="CS155" s="719"/>
      <c r="CT155" s="719"/>
      <c r="CU155" s="719"/>
      <c r="CV155" s="719"/>
      <c r="CW155" s="719"/>
      <c r="CX155" s="719"/>
      <c r="CY155" s="719"/>
      <c r="CZ155" s="719"/>
      <c r="DA155" s="719"/>
      <c r="DB155" s="719"/>
      <c r="DC155" s="719"/>
      <c r="DD155" s="719"/>
      <c r="DE155" s="719"/>
      <c r="DF155" s="719"/>
      <c r="DG155" s="719"/>
      <c r="DH155" s="719"/>
      <c r="DI155" s="719"/>
      <c r="DJ155" s="719"/>
      <c r="DK155" s="719"/>
      <c r="DL155" s="719"/>
      <c r="DM155" s="719"/>
      <c r="DN155" s="719"/>
      <c r="DO155" s="719"/>
      <c r="DP155" s="719"/>
      <c r="DQ155" s="719"/>
      <c r="DR155" s="719"/>
    </row>
    <row r="156" spans="1:122" s="275" customFormat="1">
      <c r="A156" s="719"/>
      <c r="B156" s="719"/>
      <c r="C156" s="719"/>
      <c r="D156" s="719"/>
      <c r="E156" s="719"/>
      <c r="F156" s="719"/>
      <c r="G156" s="719"/>
      <c r="H156" s="719"/>
      <c r="I156" s="719"/>
      <c r="J156" s="719"/>
      <c r="K156" s="719"/>
      <c r="L156" s="719"/>
      <c r="M156" s="719"/>
      <c r="N156" s="721"/>
      <c r="O156" s="721"/>
      <c r="P156" s="719"/>
      <c r="Q156" s="719"/>
      <c r="R156" s="719"/>
      <c r="S156" s="721"/>
      <c r="T156" s="721"/>
      <c r="U156" s="719"/>
      <c r="V156" s="719"/>
      <c r="W156" s="719"/>
      <c r="X156" s="721"/>
      <c r="Y156" s="721"/>
      <c r="Z156" s="719"/>
      <c r="AA156" s="719"/>
      <c r="AB156" s="719"/>
      <c r="AC156" s="721"/>
      <c r="AD156" s="721"/>
      <c r="AE156" s="719"/>
      <c r="AF156" s="719"/>
      <c r="AG156" s="719"/>
      <c r="AH156" s="721"/>
      <c r="AI156" s="721"/>
      <c r="AJ156" s="719"/>
      <c r="AK156" s="719"/>
      <c r="AL156" s="719"/>
      <c r="AM156" s="719"/>
      <c r="AN156" s="719"/>
      <c r="AO156" s="719"/>
      <c r="AP156" s="719"/>
      <c r="AQ156" s="719"/>
      <c r="AR156" s="719"/>
      <c r="AS156" s="719"/>
      <c r="AT156" s="719"/>
      <c r="AU156" s="719"/>
      <c r="AV156" s="719"/>
      <c r="AW156" s="719"/>
      <c r="AX156" s="719"/>
      <c r="AY156" s="719"/>
      <c r="AZ156" s="719"/>
      <c r="BA156" s="719"/>
      <c r="BB156" s="719"/>
      <c r="BC156" s="719"/>
      <c r="BD156" s="719"/>
      <c r="BE156" s="719"/>
      <c r="BF156" s="719"/>
      <c r="BG156" s="719"/>
      <c r="BH156" s="719"/>
      <c r="BI156" s="719"/>
      <c r="BJ156" s="719"/>
      <c r="BK156" s="719"/>
      <c r="BL156" s="719"/>
      <c r="BM156" s="719"/>
      <c r="BN156" s="719"/>
      <c r="BO156" s="719"/>
      <c r="BP156" s="719"/>
      <c r="BQ156" s="719"/>
      <c r="BR156" s="719"/>
      <c r="BS156" s="719"/>
      <c r="BT156" s="719"/>
      <c r="BU156" s="719"/>
      <c r="BV156" s="719"/>
      <c r="BW156" s="719"/>
      <c r="BX156" s="719"/>
      <c r="BY156" s="719"/>
      <c r="BZ156" s="719"/>
      <c r="CA156" s="719"/>
      <c r="CB156" s="719"/>
      <c r="CC156" s="719"/>
      <c r="CD156" s="719"/>
      <c r="CE156" s="719"/>
      <c r="CF156" s="719"/>
      <c r="CG156" s="719"/>
      <c r="CH156" s="719"/>
      <c r="CI156" s="719"/>
      <c r="CJ156" s="719"/>
      <c r="CK156" s="719"/>
      <c r="CL156" s="719"/>
      <c r="CM156" s="719"/>
      <c r="CN156" s="719"/>
      <c r="CO156" s="719"/>
      <c r="CP156" s="719"/>
      <c r="CQ156" s="719"/>
      <c r="CR156" s="719"/>
      <c r="CS156" s="719"/>
      <c r="CT156" s="719"/>
      <c r="CU156" s="719"/>
      <c r="CV156" s="719"/>
      <c r="CW156" s="719"/>
      <c r="CX156" s="719"/>
      <c r="CY156" s="719"/>
      <c r="CZ156" s="719"/>
      <c r="DA156" s="719"/>
      <c r="DB156" s="719"/>
      <c r="DC156" s="719"/>
      <c r="DD156" s="719"/>
      <c r="DE156" s="719"/>
      <c r="DF156" s="719"/>
      <c r="DG156" s="719"/>
      <c r="DH156" s="719"/>
      <c r="DI156" s="719"/>
      <c r="DJ156" s="719"/>
      <c r="DK156" s="719"/>
      <c r="DL156" s="719"/>
      <c r="DM156" s="719"/>
      <c r="DN156" s="719"/>
      <c r="DO156" s="719"/>
      <c r="DP156" s="719"/>
      <c r="DQ156" s="719"/>
      <c r="DR156" s="719"/>
    </row>
    <row r="157" spans="1:122" s="275" customFormat="1">
      <c r="A157" s="719"/>
      <c r="B157" s="719"/>
      <c r="C157" s="719"/>
      <c r="D157" s="719"/>
      <c r="E157" s="719"/>
      <c r="F157" s="719"/>
      <c r="G157" s="719"/>
      <c r="H157" s="719"/>
      <c r="I157" s="719"/>
      <c r="J157" s="719"/>
      <c r="K157" s="719"/>
      <c r="L157" s="719"/>
      <c r="M157" s="719"/>
      <c r="N157" s="721"/>
      <c r="O157" s="721"/>
      <c r="P157" s="719"/>
      <c r="Q157" s="719"/>
      <c r="R157" s="719"/>
      <c r="S157" s="721"/>
      <c r="T157" s="721"/>
      <c r="U157" s="719"/>
      <c r="V157" s="719"/>
      <c r="W157" s="719"/>
      <c r="X157" s="721"/>
      <c r="Y157" s="721"/>
      <c r="Z157" s="719"/>
      <c r="AA157" s="719"/>
      <c r="AB157" s="719"/>
      <c r="AC157" s="721"/>
      <c r="AD157" s="721"/>
      <c r="AE157" s="719"/>
      <c r="AF157" s="719"/>
      <c r="AG157" s="719"/>
      <c r="AH157" s="721"/>
      <c r="AI157" s="721"/>
      <c r="AJ157" s="719"/>
      <c r="AK157" s="719"/>
      <c r="AL157" s="719"/>
      <c r="AM157" s="719"/>
      <c r="AN157" s="719"/>
      <c r="AO157" s="719"/>
      <c r="AP157" s="719"/>
      <c r="AQ157" s="719"/>
      <c r="AR157" s="719"/>
      <c r="AS157" s="719"/>
      <c r="AT157" s="719"/>
      <c r="AU157" s="719"/>
      <c r="AV157" s="719"/>
      <c r="AW157" s="719"/>
      <c r="AX157" s="719"/>
      <c r="AY157" s="719"/>
      <c r="AZ157" s="719"/>
      <c r="BA157" s="719"/>
      <c r="BB157" s="719"/>
      <c r="BC157" s="719"/>
      <c r="BD157" s="719"/>
      <c r="BE157" s="719"/>
      <c r="BF157" s="719"/>
      <c r="BG157" s="719"/>
      <c r="BH157" s="719"/>
      <c r="BI157" s="719"/>
      <c r="BJ157" s="719"/>
      <c r="BK157" s="719"/>
      <c r="BL157" s="719"/>
      <c r="BM157" s="719"/>
      <c r="BN157" s="719"/>
      <c r="BO157" s="719"/>
      <c r="BP157" s="719"/>
      <c r="BQ157" s="719"/>
      <c r="BR157" s="719"/>
      <c r="BS157" s="719"/>
      <c r="BT157" s="719"/>
      <c r="BU157" s="719"/>
      <c r="BV157" s="719"/>
      <c r="BW157" s="719"/>
      <c r="BX157" s="719"/>
      <c r="BY157" s="719"/>
      <c r="BZ157" s="719"/>
      <c r="CA157" s="719"/>
      <c r="CB157" s="719"/>
      <c r="CC157" s="719"/>
      <c r="CD157" s="719"/>
      <c r="CE157" s="719"/>
      <c r="CF157" s="719"/>
      <c r="CG157" s="719"/>
      <c r="CH157" s="719"/>
      <c r="CI157" s="719"/>
      <c r="CJ157" s="719"/>
      <c r="CK157" s="719"/>
      <c r="CL157" s="719"/>
      <c r="CM157" s="719"/>
      <c r="CN157" s="719"/>
      <c r="CO157" s="719"/>
      <c r="CP157" s="719"/>
      <c r="CQ157" s="719"/>
      <c r="CR157" s="719"/>
      <c r="CS157" s="719"/>
      <c r="CT157" s="719"/>
      <c r="CU157" s="719"/>
      <c r="CV157" s="719"/>
      <c r="CW157" s="719"/>
      <c r="CX157" s="719"/>
      <c r="CY157" s="719"/>
      <c r="CZ157" s="719"/>
      <c r="DA157" s="719"/>
      <c r="DB157" s="719"/>
      <c r="DC157" s="719"/>
      <c r="DD157" s="719"/>
      <c r="DE157" s="719"/>
      <c r="DF157" s="719"/>
      <c r="DG157" s="719"/>
      <c r="DH157" s="719"/>
      <c r="DI157" s="719"/>
      <c r="DJ157" s="719"/>
      <c r="DK157" s="719"/>
      <c r="DL157" s="719"/>
      <c r="DM157" s="719"/>
      <c r="DN157" s="719"/>
      <c r="DO157" s="719"/>
      <c r="DP157" s="719"/>
      <c r="DQ157" s="719"/>
      <c r="DR157" s="719"/>
    </row>
    <row r="158" spans="1:122" s="275" customFormat="1">
      <c r="A158" s="719"/>
      <c r="B158" s="719"/>
      <c r="C158" s="719"/>
      <c r="D158" s="719"/>
      <c r="E158" s="719"/>
      <c r="F158" s="719"/>
      <c r="G158" s="719"/>
      <c r="H158" s="719"/>
      <c r="I158" s="719"/>
      <c r="J158" s="719"/>
      <c r="K158" s="719"/>
      <c r="L158" s="719"/>
      <c r="M158" s="719"/>
      <c r="N158" s="721"/>
      <c r="O158" s="721"/>
      <c r="P158" s="719"/>
      <c r="Q158" s="719"/>
      <c r="R158" s="719"/>
      <c r="S158" s="721"/>
      <c r="T158" s="721"/>
      <c r="U158" s="719"/>
      <c r="V158" s="719"/>
      <c r="W158" s="719"/>
      <c r="X158" s="721"/>
      <c r="Y158" s="721"/>
      <c r="Z158" s="719"/>
      <c r="AA158" s="719"/>
      <c r="AB158" s="719"/>
      <c r="AC158" s="721"/>
      <c r="AD158" s="721"/>
      <c r="AE158" s="719"/>
      <c r="AF158" s="719"/>
      <c r="AG158" s="719"/>
      <c r="AH158" s="721"/>
      <c r="AI158" s="721"/>
      <c r="AJ158" s="719"/>
      <c r="AK158" s="719"/>
      <c r="AL158" s="719"/>
      <c r="AM158" s="719"/>
      <c r="AN158" s="719"/>
      <c r="AO158" s="719"/>
      <c r="AP158" s="719"/>
      <c r="AQ158" s="719"/>
      <c r="AR158" s="719"/>
      <c r="AS158" s="719"/>
      <c r="AT158" s="719"/>
      <c r="AU158" s="719"/>
      <c r="AV158" s="719"/>
      <c r="AW158" s="719"/>
      <c r="AX158" s="719"/>
      <c r="AY158" s="719"/>
      <c r="AZ158" s="719"/>
      <c r="BA158" s="719"/>
      <c r="BB158" s="719"/>
      <c r="BC158" s="719"/>
      <c r="BD158" s="719"/>
      <c r="BE158" s="719"/>
      <c r="BF158" s="719"/>
      <c r="BG158" s="719"/>
      <c r="BH158" s="719"/>
      <c r="BI158" s="719"/>
      <c r="BJ158" s="719"/>
      <c r="BK158" s="719"/>
      <c r="BL158" s="719"/>
      <c r="BM158" s="719"/>
      <c r="BN158" s="719"/>
      <c r="BO158" s="719"/>
      <c r="BP158" s="719"/>
      <c r="BQ158" s="719"/>
      <c r="BR158" s="719"/>
      <c r="BS158" s="719"/>
      <c r="BT158" s="719"/>
      <c r="BU158" s="719"/>
      <c r="BV158" s="719"/>
      <c r="BW158" s="719"/>
      <c r="BX158" s="719"/>
      <c r="BY158" s="719"/>
      <c r="BZ158" s="719"/>
      <c r="CA158" s="719"/>
      <c r="CB158" s="719"/>
      <c r="CC158" s="719"/>
      <c r="CD158" s="719"/>
      <c r="CE158" s="719"/>
      <c r="CF158" s="719"/>
      <c r="CG158" s="719"/>
      <c r="CH158" s="719"/>
      <c r="CI158" s="719"/>
      <c r="CJ158" s="719"/>
      <c r="CK158" s="719"/>
      <c r="CL158" s="719"/>
      <c r="CM158" s="719"/>
      <c r="CN158" s="719"/>
      <c r="CO158" s="719"/>
      <c r="CP158" s="719"/>
      <c r="CQ158" s="719"/>
      <c r="CR158" s="719"/>
      <c r="CS158" s="719"/>
      <c r="CT158" s="719"/>
      <c r="CU158" s="719"/>
      <c r="CV158" s="719"/>
      <c r="CW158" s="719"/>
      <c r="CX158" s="719"/>
      <c r="CY158" s="719"/>
      <c r="CZ158" s="719"/>
      <c r="DA158" s="719"/>
      <c r="DB158" s="719"/>
      <c r="DC158" s="719"/>
      <c r="DD158" s="719"/>
      <c r="DE158" s="719"/>
      <c r="DF158" s="719"/>
      <c r="DG158" s="719"/>
      <c r="DH158" s="719"/>
      <c r="DI158" s="719"/>
      <c r="DJ158" s="719"/>
      <c r="DK158" s="719"/>
      <c r="DL158" s="719"/>
      <c r="DM158" s="719"/>
      <c r="DN158" s="719"/>
      <c r="DO158" s="719"/>
      <c r="DP158" s="719"/>
      <c r="DQ158" s="719"/>
      <c r="DR158" s="719"/>
    </row>
    <row r="159" spans="1:122" s="275" customFormat="1">
      <c r="A159" s="719"/>
      <c r="B159" s="719"/>
      <c r="C159" s="719"/>
      <c r="D159" s="719"/>
      <c r="E159" s="719"/>
      <c r="F159" s="719"/>
      <c r="G159" s="719"/>
      <c r="H159" s="719"/>
      <c r="I159" s="719"/>
      <c r="J159" s="719"/>
      <c r="K159" s="719"/>
      <c r="L159" s="719"/>
      <c r="M159" s="719"/>
      <c r="N159" s="721"/>
      <c r="O159" s="721"/>
      <c r="P159" s="719"/>
      <c r="Q159" s="719"/>
      <c r="R159" s="719"/>
      <c r="S159" s="721"/>
      <c r="T159" s="721"/>
      <c r="U159" s="719"/>
      <c r="V159" s="719"/>
      <c r="W159" s="719"/>
      <c r="X159" s="721"/>
      <c r="Y159" s="721"/>
      <c r="Z159" s="719"/>
      <c r="AA159" s="719"/>
      <c r="AB159" s="719"/>
      <c r="AC159" s="721"/>
      <c r="AD159" s="721"/>
      <c r="AE159" s="719"/>
      <c r="AF159" s="719"/>
      <c r="AG159" s="719"/>
      <c r="AH159" s="721"/>
      <c r="AI159" s="721"/>
      <c r="AJ159" s="719"/>
      <c r="AK159" s="719"/>
      <c r="AL159" s="719"/>
      <c r="AM159" s="719"/>
      <c r="AN159" s="719"/>
      <c r="AO159" s="719"/>
      <c r="AP159" s="719"/>
      <c r="AQ159" s="719"/>
      <c r="AR159" s="719"/>
      <c r="AS159" s="719"/>
      <c r="AT159" s="719"/>
      <c r="AU159" s="719"/>
      <c r="AV159" s="719"/>
      <c r="AW159" s="719"/>
      <c r="AX159" s="719"/>
      <c r="AY159" s="719"/>
      <c r="AZ159" s="719"/>
      <c r="BA159" s="719"/>
      <c r="BB159" s="719"/>
      <c r="BC159" s="719"/>
      <c r="BD159" s="719"/>
      <c r="BE159" s="719"/>
      <c r="BF159" s="719"/>
      <c r="BG159" s="719"/>
      <c r="BH159" s="719"/>
      <c r="BI159" s="719"/>
      <c r="BJ159" s="719"/>
      <c r="BK159" s="719"/>
      <c r="BL159" s="719"/>
      <c r="BM159" s="719"/>
      <c r="BN159" s="719"/>
      <c r="BO159" s="719"/>
      <c r="BP159" s="719"/>
      <c r="BQ159" s="719"/>
      <c r="BR159" s="719"/>
      <c r="BS159" s="719"/>
      <c r="BT159" s="719"/>
      <c r="BU159" s="719"/>
      <c r="BV159" s="719"/>
      <c r="BW159" s="719"/>
      <c r="BX159" s="719"/>
      <c r="BY159" s="719"/>
      <c r="BZ159" s="719"/>
      <c r="CA159" s="719"/>
      <c r="CB159" s="719"/>
      <c r="CC159" s="719"/>
      <c r="CD159" s="719"/>
      <c r="CE159" s="719"/>
      <c r="CF159" s="719"/>
      <c r="CG159" s="719"/>
      <c r="CH159" s="719"/>
      <c r="CI159" s="719"/>
      <c r="CJ159" s="719"/>
      <c r="CK159" s="719"/>
      <c r="CL159" s="719"/>
      <c r="CM159" s="719"/>
      <c r="CN159" s="719"/>
      <c r="CO159" s="719"/>
      <c r="CP159" s="719"/>
      <c r="CQ159" s="719"/>
      <c r="CR159" s="719"/>
      <c r="CS159" s="719"/>
      <c r="CT159" s="719"/>
      <c r="CU159" s="719"/>
      <c r="CV159" s="719"/>
      <c r="CW159" s="719"/>
      <c r="CX159" s="719"/>
      <c r="CY159" s="719"/>
      <c r="CZ159" s="719"/>
      <c r="DA159" s="719"/>
      <c r="DB159" s="719"/>
      <c r="DC159" s="719"/>
      <c r="DD159" s="719"/>
      <c r="DE159" s="719"/>
      <c r="DF159" s="719"/>
      <c r="DG159" s="719"/>
      <c r="DH159" s="719"/>
      <c r="DI159" s="719"/>
      <c r="DJ159" s="719"/>
      <c r="DK159" s="719"/>
      <c r="DL159" s="719"/>
      <c r="DM159" s="719"/>
      <c r="DN159" s="719"/>
      <c r="DO159" s="719"/>
      <c r="DP159" s="719"/>
      <c r="DQ159" s="719"/>
      <c r="DR159" s="719"/>
    </row>
    <row r="160" spans="1:122" s="275" customFormat="1">
      <c r="A160" s="719"/>
      <c r="B160" s="719"/>
      <c r="C160" s="719"/>
      <c r="D160" s="719"/>
      <c r="E160" s="719"/>
      <c r="F160" s="719"/>
      <c r="G160" s="719"/>
      <c r="H160" s="719"/>
      <c r="I160" s="719"/>
      <c r="J160" s="719"/>
      <c r="K160" s="719"/>
      <c r="L160" s="719"/>
      <c r="M160" s="719"/>
      <c r="N160" s="721"/>
      <c r="O160" s="721"/>
      <c r="P160" s="719"/>
      <c r="Q160" s="719"/>
      <c r="R160" s="719"/>
      <c r="S160" s="721"/>
      <c r="T160" s="721"/>
      <c r="U160" s="719"/>
      <c r="V160" s="719"/>
      <c r="W160" s="719"/>
      <c r="X160" s="721"/>
      <c r="Y160" s="721"/>
      <c r="Z160" s="719"/>
      <c r="AA160" s="719"/>
      <c r="AB160" s="719"/>
      <c r="AC160" s="721"/>
      <c r="AD160" s="721"/>
      <c r="AE160" s="719"/>
      <c r="AF160" s="719"/>
      <c r="AG160" s="719"/>
      <c r="AH160" s="721"/>
      <c r="AI160" s="721"/>
      <c r="AJ160" s="719"/>
      <c r="AK160" s="719"/>
      <c r="AL160" s="719"/>
      <c r="AM160" s="719"/>
      <c r="AN160" s="719"/>
      <c r="AO160" s="719"/>
      <c r="AP160" s="719"/>
      <c r="AQ160" s="719"/>
      <c r="AR160" s="719"/>
      <c r="AS160" s="719"/>
      <c r="AT160" s="719"/>
      <c r="AU160" s="719"/>
      <c r="AV160" s="719"/>
      <c r="AW160" s="719"/>
      <c r="AX160" s="719"/>
      <c r="AY160" s="719"/>
      <c r="AZ160" s="719"/>
      <c r="BA160" s="719"/>
      <c r="BB160" s="719"/>
      <c r="BC160" s="719"/>
      <c r="BD160" s="719"/>
      <c r="BE160" s="719"/>
      <c r="BF160" s="719"/>
      <c r="BG160" s="719"/>
      <c r="BH160" s="719"/>
      <c r="BI160" s="719"/>
      <c r="BJ160" s="719"/>
      <c r="BK160" s="719"/>
      <c r="BL160" s="719"/>
      <c r="BM160" s="719"/>
      <c r="BN160" s="719"/>
      <c r="BO160" s="719"/>
      <c r="BP160" s="719"/>
      <c r="BQ160" s="719"/>
      <c r="BR160" s="719"/>
      <c r="BS160" s="719"/>
      <c r="BT160" s="719"/>
      <c r="BU160" s="719"/>
      <c r="BV160" s="719"/>
      <c r="BW160" s="719"/>
      <c r="BX160" s="719"/>
      <c r="BY160" s="719"/>
      <c r="BZ160" s="719"/>
      <c r="CA160" s="719"/>
      <c r="CB160" s="719"/>
      <c r="CC160" s="719"/>
      <c r="CD160" s="719"/>
      <c r="CE160" s="719"/>
      <c r="CF160" s="719"/>
      <c r="CG160" s="719"/>
      <c r="CH160" s="719"/>
      <c r="CI160" s="719"/>
      <c r="CJ160" s="719"/>
      <c r="CK160" s="719"/>
      <c r="CL160" s="719"/>
      <c r="CM160" s="719"/>
      <c r="CN160" s="719"/>
      <c r="CO160" s="719"/>
      <c r="CP160" s="719"/>
      <c r="CQ160" s="719"/>
      <c r="CR160" s="719"/>
      <c r="CS160" s="719"/>
      <c r="CT160" s="719"/>
      <c r="CU160" s="719"/>
      <c r="CV160" s="719"/>
      <c r="CW160" s="719"/>
      <c r="CX160" s="719"/>
      <c r="CY160" s="719"/>
      <c r="CZ160" s="719"/>
      <c r="DA160" s="719"/>
      <c r="DB160" s="719"/>
      <c r="DC160" s="719"/>
      <c r="DD160" s="719"/>
      <c r="DE160" s="719"/>
      <c r="DF160" s="719"/>
      <c r="DG160" s="719"/>
      <c r="DH160" s="719"/>
      <c r="DI160" s="719"/>
      <c r="DJ160" s="719"/>
      <c r="DK160" s="719"/>
      <c r="DL160" s="719"/>
      <c r="DM160" s="719"/>
      <c r="DN160" s="719"/>
      <c r="DO160" s="719"/>
      <c r="DP160" s="719"/>
      <c r="DQ160" s="719"/>
      <c r="DR160" s="719"/>
    </row>
    <row r="161" spans="1:122" s="275" customFormat="1">
      <c r="A161" s="719"/>
      <c r="B161" s="719"/>
      <c r="C161" s="719"/>
      <c r="D161" s="719"/>
      <c r="E161" s="719"/>
      <c r="F161" s="719"/>
      <c r="G161" s="719"/>
      <c r="H161" s="719"/>
      <c r="I161" s="719"/>
      <c r="J161" s="719"/>
      <c r="K161" s="719"/>
      <c r="L161" s="719"/>
      <c r="M161" s="719"/>
      <c r="N161" s="721"/>
      <c r="O161" s="721"/>
      <c r="P161" s="719"/>
      <c r="Q161" s="719"/>
      <c r="R161" s="719"/>
      <c r="S161" s="721"/>
      <c r="T161" s="721"/>
      <c r="U161" s="719"/>
      <c r="V161" s="719"/>
      <c r="W161" s="719"/>
      <c r="X161" s="721"/>
      <c r="Y161" s="721"/>
      <c r="Z161" s="719"/>
      <c r="AA161" s="719"/>
      <c r="AB161" s="719"/>
      <c r="AC161" s="721"/>
      <c r="AD161" s="721"/>
      <c r="AE161" s="719"/>
      <c r="AF161" s="719"/>
      <c r="AG161" s="719"/>
      <c r="AH161" s="721"/>
      <c r="AI161" s="721"/>
      <c r="AJ161" s="719"/>
      <c r="AK161" s="719"/>
      <c r="AL161" s="719"/>
      <c r="AM161" s="719"/>
      <c r="AN161" s="719"/>
      <c r="AO161" s="719"/>
      <c r="AP161" s="719"/>
      <c r="AQ161" s="719"/>
      <c r="AR161" s="719"/>
      <c r="AS161" s="719"/>
      <c r="AT161" s="719"/>
      <c r="AU161" s="719"/>
      <c r="AV161" s="719"/>
      <c r="AW161" s="719"/>
      <c r="AX161" s="719"/>
      <c r="AY161" s="719"/>
      <c r="AZ161" s="719"/>
      <c r="BA161" s="719"/>
      <c r="BB161" s="719"/>
      <c r="BC161" s="719"/>
      <c r="BD161" s="719"/>
      <c r="BE161" s="719"/>
      <c r="BF161" s="719"/>
      <c r="BG161" s="719"/>
      <c r="BH161" s="719"/>
      <c r="BI161" s="719"/>
      <c r="BJ161" s="719"/>
      <c r="BK161" s="719"/>
      <c r="BL161" s="719"/>
      <c r="BM161" s="719"/>
      <c r="BN161" s="719"/>
      <c r="BO161" s="719"/>
      <c r="BP161" s="719"/>
      <c r="BQ161" s="719"/>
      <c r="BR161" s="719"/>
      <c r="BS161" s="719"/>
      <c r="BT161" s="719"/>
      <c r="BU161" s="719"/>
      <c r="BV161" s="719"/>
      <c r="BW161" s="719"/>
      <c r="BX161" s="719"/>
      <c r="BY161" s="719"/>
      <c r="BZ161" s="719"/>
      <c r="CA161" s="719"/>
      <c r="CB161" s="719"/>
      <c r="CC161" s="719"/>
      <c r="CD161" s="719"/>
      <c r="CE161" s="719"/>
      <c r="CF161" s="719"/>
      <c r="CG161" s="719"/>
      <c r="CH161" s="719"/>
      <c r="CI161" s="719"/>
      <c r="CJ161" s="719"/>
      <c r="CK161" s="719"/>
      <c r="CL161" s="719"/>
      <c r="CM161" s="719"/>
      <c r="CN161" s="719"/>
      <c r="CO161" s="719"/>
      <c r="CP161" s="719"/>
      <c r="CQ161" s="719"/>
      <c r="CR161" s="719"/>
      <c r="CS161" s="719"/>
      <c r="CT161" s="719"/>
      <c r="CU161" s="719"/>
      <c r="CV161" s="719"/>
      <c r="CW161" s="719"/>
      <c r="CX161" s="719"/>
      <c r="CY161" s="719"/>
      <c r="CZ161" s="719"/>
      <c r="DA161" s="719"/>
      <c r="DB161" s="719"/>
      <c r="DC161" s="719"/>
      <c r="DD161" s="719"/>
      <c r="DE161" s="719"/>
      <c r="DF161" s="719"/>
      <c r="DG161" s="719"/>
      <c r="DH161" s="719"/>
      <c r="DI161" s="719"/>
      <c r="DJ161" s="719"/>
      <c r="DK161" s="719"/>
      <c r="DL161" s="719"/>
      <c r="DM161" s="719"/>
      <c r="DN161" s="719"/>
      <c r="DO161" s="719"/>
      <c r="DP161" s="719"/>
      <c r="DQ161" s="719"/>
      <c r="DR161" s="719"/>
    </row>
    <row r="162" spans="1:122" s="275" customFormat="1">
      <c r="A162" s="719"/>
      <c r="B162" s="719"/>
      <c r="C162" s="719"/>
      <c r="D162" s="719"/>
      <c r="E162" s="719"/>
      <c r="F162" s="719"/>
      <c r="G162" s="719"/>
      <c r="H162" s="719"/>
      <c r="I162" s="719"/>
      <c r="J162" s="719"/>
      <c r="K162" s="719"/>
      <c r="L162" s="719"/>
      <c r="M162" s="719"/>
      <c r="N162" s="721"/>
      <c r="O162" s="721"/>
      <c r="P162" s="719"/>
      <c r="Q162" s="719"/>
      <c r="R162" s="719"/>
      <c r="S162" s="721"/>
      <c r="T162" s="721"/>
      <c r="U162" s="719"/>
      <c r="V162" s="719"/>
      <c r="W162" s="719"/>
      <c r="X162" s="721"/>
      <c r="Y162" s="721"/>
      <c r="Z162" s="719"/>
      <c r="AA162" s="719"/>
      <c r="AB162" s="719"/>
      <c r="AC162" s="721"/>
      <c r="AD162" s="721"/>
      <c r="AE162" s="719"/>
      <c r="AF162" s="719"/>
      <c r="AG162" s="719"/>
      <c r="AH162" s="721"/>
      <c r="AI162" s="721"/>
      <c r="AJ162" s="719"/>
      <c r="AK162" s="719"/>
      <c r="AL162" s="719"/>
      <c r="AM162" s="719"/>
      <c r="AN162" s="719"/>
      <c r="AO162" s="719"/>
      <c r="AP162" s="719"/>
      <c r="AQ162" s="719"/>
      <c r="AR162" s="719"/>
      <c r="AS162" s="719"/>
      <c r="AT162" s="719"/>
      <c r="AU162" s="719"/>
      <c r="AV162" s="719"/>
      <c r="AW162" s="719"/>
      <c r="AX162" s="719"/>
      <c r="AY162" s="719"/>
      <c r="AZ162" s="719"/>
      <c r="BA162" s="719"/>
      <c r="BB162" s="719"/>
      <c r="BC162" s="719"/>
      <c r="BD162" s="719"/>
      <c r="BE162" s="719"/>
      <c r="BF162" s="719"/>
      <c r="BG162" s="719"/>
      <c r="BH162" s="719"/>
      <c r="BI162" s="719"/>
      <c r="BJ162" s="719"/>
      <c r="BK162" s="719"/>
      <c r="BL162" s="719"/>
      <c r="BM162" s="719"/>
      <c r="BN162" s="719"/>
      <c r="BO162" s="719"/>
      <c r="BP162" s="719"/>
      <c r="BQ162" s="719"/>
      <c r="BR162" s="719"/>
      <c r="BS162" s="719"/>
      <c r="BT162" s="719"/>
      <c r="BU162" s="719"/>
      <c r="BV162" s="719"/>
      <c r="BW162" s="719"/>
      <c r="BX162" s="719"/>
      <c r="BY162" s="719"/>
      <c r="BZ162" s="719"/>
      <c r="CA162" s="719"/>
      <c r="CB162" s="719"/>
      <c r="CC162" s="719"/>
      <c r="CD162" s="719"/>
      <c r="CE162" s="719"/>
      <c r="CF162" s="719"/>
      <c r="CG162" s="719"/>
      <c r="CH162" s="719"/>
      <c r="CI162" s="719"/>
      <c r="CJ162" s="719"/>
      <c r="CK162" s="719"/>
      <c r="CL162" s="719"/>
      <c r="CM162" s="719"/>
      <c r="CN162" s="719"/>
      <c r="CO162" s="719"/>
      <c r="CP162" s="719"/>
      <c r="CQ162" s="719"/>
      <c r="CR162" s="719"/>
      <c r="CS162" s="719"/>
      <c r="CT162" s="719"/>
      <c r="CU162" s="719"/>
      <c r="CV162" s="719"/>
      <c r="CW162" s="719"/>
      <c r="CX162" s="719"/>
      <c r="CY162" s="719"/>
      <c r="CZ162" s="719"/>
      <c r="DA162" s="719"/>
      <c r="DB162" s="719"/>
      <c r="DC162" s="719"/>
      <c r="DD162" s="719"/>
      <c r="DE162" s="719"/>
      <c r="DF162" s="719"/>
      <c r="DG162" s="719"/>
      <c r="DH162" s="719"/>
      <c r="DI162" s="719"/>
      <c r="DJ162" s="719"/>
      <c r="DK162" s="719"/>
      <c r="DL162" s="719"/>
      <c r="DM162" s="719"/>
      <c r="DN162" s="719"/>
      <c r="DO162" s="719"/>
      <c r="DP162" s="719"/>
      <c r="DQ162" s="719"/>
      <c r="DR162" s="719"/>
    </row>
    <row r="163" spans="1:122" s="275" customFormat="1">
      <c r="A163" s="719"/>
      <c r="B163" s="719"/>
      <c r="C163" s="719"/>
      <c r="D163" s="719"/>
      <c r="E163" s="719"/>
      <c r="F163" s="719"/>
      <c r="G163" s="719"/>
      <c r="H163" s="719"/>
      <c r="I163" s="719"/>
      <c r="J163" s="719"/>
      <c r="K163" s="719"/>
      <c r="L163" s="719"/>
      <c r="M163" s="719"/>
      <c r="N163" s="721"/>
      <c r="O163" s="721"/>
      <c r="P163" s="719"/>
      <c r="Q163" s="719"/>
      <c r="R163" s="719"/>
      <c r="S163" s="721"/>
      <c r="T163" s="721"/>
      <c r="U163" s="719"/>
      <c r="V163" s="719"/>
      <c r="W163" s="719"/>
      <c r="X163" s="721"/>
      <c r="Y163" s="721"/>
      <c r="Z163" s="719"/>
      <c r="AA163" s="719"/>
      <c r="AB163" s="719"/>
      <c r="AC163" s="721"/>
      <c r="AD163" s="721"/>
      <c r="AE163" s="719"/>
      <c r="AF163" s="719"/>
      <c r="AG163" s="719"/>
      <c r="AH163" s="721"/>
      <c r="AI163" s="721"/>
      <c r="AJ163" s="719"/>
      <c r="AK163" s="719"/>
      <c r="AL163" s="719"/>
      <c r="AM163" s="719"/>
      <c r="AN163" s="719"/>
      <c r="AO163" s="719"/>
      <c r="AP163" s="719"/>
      <c r="AQ163" s="719"/>
      <c r="AR163" s="719"/>
      <c r="AS163" s="719"/>
      <c r="AT163" s="719"/>
      <c r="AU163" s="719"/>
      <c r="AV163" s="719"/>
      <c r="AW163" s="719"/>
      <c r="AX163" s="719"/>
      <c r="AY163" s="719"/>
      <c r="AZ163" s="719"/>
      <c r="BA163" s="719"/>
      <c r="BB163" s="719"/>
      <c r="BC163" s="719"/>
      <c r="BD163" s="719"/>
      <c r="BE163" s="719"/>
      <c r="BF163" s="719"/>
      <c r="BG163" s="719"/>
      <c r="BH163" s="719"/>
      <c r="BI163" s="719"/>
      <c r="BJ163" s="719"/>
      <c r="BK163" s="719"/>
      <c r="BL163" s="719"/>
      <c r="BM163" s="719"/>
      <c r="BN163" s="719"/>
      <c r="BO163" s="719"/>
      <c r="BP163" s="719"/>
      <c r="BQ163" s="719"/>
      <c r="BR163" s="719"/>
      <c r="BS163" s="719"/>
      <c r="BT163" s="719"/>
      <c r="BU163" s="719"/>
      <c r="BV163" s="719"/>
      <c r="BW163" s="719"/>
      <c r="BX163" s="719"/>
      <c r="BY163" s="719"/>
      <c r="BZ163" s="719"/>
      <c r="CA163" s="719"/>
      <c r="CB163" s="719"/>
      <c r="CC163" s="719"/>
      <c r="CD163" s="719"/>
      <c r="CE163" s="719"/>
      <c r="CF163" s="719"/>
      <c r="CG163" s="719"/>
      <c r="CH163" s="719"/>
      <c r="CI163" s="719"/>
      <c r="CJ163" s="719"/>
      <c r="CK163" s="719"/>
      <c r="CL163" s="719"/>
      <c r="CM163" s="719"/>
      <c r="CN163" s="719"/>
      <c r="CO163" s="719"/>
      <c r="CP163" s="719"/>
      <c r="CQ163" s="719"/>
      <c r="CR163" s="719"/>
      <c r="CS163" s="719"/>
      <c r="CT163" s="719"/>
      <c r="CU163" s="719"/>
      <c r="CV163" s="719"/>
      <c r="CW163" s="719"/>
      <c r="CX163" s="719"/>
      <c r="CY163" s="719"/>
      <c r="CZ163" s="719"/>
      <c r="DA163" s="719"/>
      <c r="DB163" s="719"/>
      <c r="DC163" s="719"/>
      <c r="DD163" s="719"/>
      <c r="DE163" s="719"/>
      <c r="DF163" s="719"/>
      <c r="DG163" s="719"/>
      <c r="DH163" s="719"/>
      <c r="DI163" s="719"/>
      <c r="DJ163" s="719"/>
      <c r="DK163" s="719"/>
      <c r="DL163" s="719"/>
      <c r="DM163" s="719"/>
      <c r="DN163" s="719"/>
      <c r="DO163" s="719"/>
      <c r="DP163" s="719"/>
      <c r="DQ163" s="719"/>
      <c r="DR163" s="719"/>
    </row>
    <row r="164" spans="1:122" s="275" customFormat="1">
      <c r="A164" s="719"/>
      <c r="B164" s="719"/>
      <c r="C164" s="719"/>
      <c r="D164" s="719"/>
      <c r="E164" s="719"/>
      <c r="F164" s="719"/>
      <c r="G164" s="719"/>
      <c r="H164" s="719"/>
      <c r="I164" s="719"/>
      <c r="J164" s="719"/>
      <c r="K164" s="719"/>
      <c r="L164" s="719"/>
      <c r="M164" s="719"/>
      <c r="N164" s="721"/>
      <c r="O164" s="721"/>
      <c r="P164" s="719"/>
      <c r="Q164" s="719"/>
      <c r="R164" s="719"/>
      <c r="S164" s="721"/>
      <c r="T164" s="721"/>
      <c r="U164" s="719"/>
      <c r="V164" s="719"/>
      <c r="W164" s="719"/>
      <c r="X164" s="721"/>
      <c r="Y164" s="721"/>
      <c r="Z164" s="719"/>
      <c r="AA164" s="719"/>
      <c r="AB164" s="719"/>
      <c r="AC164" s="721"/>
      <c r="AD164" s="721"/>
      <c r="AE164" s="719"/>
      <c r="AF164" s="719"/>
      <c r="AG164" s="719"/>
      <c r="AH164" s="721"/>
      <c r="AI164" s="721"/>
      <c r="AJ164" s="719"/>
      <c r="AK164" s="719"/>
      <c r="AL164" s="719"/>
      <c r="AM164" s="719"/>
      <c r="AN164" s="719"/>
      <c r="AO164" s="719"/>
      <c r="AP164" s="719"/>
      <c r="AQ164" s="719"/>
      <c r="AR164" s="719"/>
      <c r="AS164" s="719"/>
      <c r="AT164" s="719"/>
      <c r="AU164" s="719"/>
      <c r="AV164" s="719"/>
      <c r="AW164" s="719"/>
      <c r="AX164" s="719"/>
      <c r="AY164" s="719"/>
      <c r="AZ164" s="719"/>
      <c r="BA164" s="719"/>
      <c r="BB164" s="719"/>
      <c r="BC164" s="719"/>
      <c r="BD164" s="719"/>
      <c r="BE164" s="719"/>
      <c r="BF164" s="719"/>
      <c r="BG164" s="719"/>
      <c r="BH164" s="719"/>
      <c r="BI164" s="719"/>
      <c r="BJ164" s="719"/>
      <c r="BK164" s="719"/>
      <c r="BL164" s="719"/>
      <c r="BM164" s="719"/>
      <c r="BN164" s="719"/>
      <c r="BO164" s="719"/>
      <c r="BP164" s="719"/>
      <c r="BQ164" s="719"/>
      <c r="BR164" s="719"/>
      <c r="BS164" s="719"/>
      <c r="BT164" s="719"/>
      <c r="BU164" s="719"/>
      <c r="BV164" s="719"/>
      <c r="BW164" s="719"/>
      <c r="BX164" s="719"/>
      <c r="BY164" s="719"/>
      <c r="BZ164" s="719"/>
      <c r="CA164" s="719"/>
      <c r="CB164" s="719"/>
      <c r="CC164" s="719"/>
      <c r="CD164" s="719"/>
      <c r="CE164" s="719"/>
      <c r="CF164" s="719"/>
      <c r="CG164" s="719"/>
      <c r="CH164" s="719"/>
      <c r="CI164" s="719"/>
      <c r="CJ164" s="719"/>
      <c r="CK164" s="719"/>
      <c r="CL164" s="719"/>
      <c r="CM164" s="719"/>
      <c r="CN164" s="719"/>
      <c r="CO164" s="719"/>
      <c r="CP164" s="719"/>
      <c r="CQ164" s="719"/>
      <c r="CR164" s="719"/>
      <c r="CS164" s="719"/>
      <c r="CT164" s="719"/>
      <c r="CU164" s="719"/>
      <c r="CV164" s="719"/>
      <c r="CW164" s="719"/>
      <c r="CX164" s="719"/>
      <c r="CY164" s="719"/>
      <c r="CZ164" s="719"/>
      <c r="DA164" s="719"/>
      <c r="DB164" s="719"/>
      <c r="DC164" s="719"/>
      <c r="DD164" s="719"/>
      <c r="DE164" s="719"/>
      <c r="DF164" s="719"/>
      <c r="DG164" s="719"/>
      <c r="DH164" s="719"/>
      <c r="DI164" s="719"/>
      <c r="DJ164" s="719"/>
      <c r="DK164" s="719"/>
      <c r="DL164" s="719"/>
      <c r="DM164" s="719"/>
      <c r="DN164" s="719"/>
      <c r="DO164" s="719"/>
      <c r="DP164" s="719"/>
      <c r="DQ164" s="719"/>
      <c r="DR164" s="719"/>
    </row>
    <row r="165" spans="1:122" s="275" customFormat="1">
      <c r="A165" s="719"/>
      <c r="B165" s="719"/>
      <c r="C165" s="719"/>
      <c r="D165" s="719"/>
      <c r="E165" s="719"/>
      <c r="F165" s="719"/>
      <c r="G165" s="719"/>
      <c r="H165" s="719"/>
      <c r="I165" s="719"/>
      <c r="J165" s="719"/>
      <c r="K165" s="719"/>
      <c r="L165" s="719"/>
      <c r="M165" s="719"/>
      <c r="N165" s="721"/>
      <c r="O165" s="721"/>
      <c r="P165" s="719"/>
      <c r="Q165" s="719"/>
      <c r="R165" s="719"/>
      <c r="S165" s="721"/>
      <c r="T165" s="721"/>
      <c r="U165" s="719"/>
      <c r="V165" s="719"/>
      <c r="W165" s="719"/>
      <c r="X165" s="721"/>
      <c r="Y165" s="721"/>
      <c r="Z165" s="719"/>
      <c r="AA165" s="719"/>
      <c r="AB165" s="719"/>
      <c r="AC165" s="721"/>
      <c r="AD165" s="721"/>
      <c r="AE165" s="719"/>
      <c r="AF165" s="719"/>
      <c r="AG165" s="719"/>
      <c r="AH165" s="721"/>
      <c r="AI165" s="721"/>
      <c r="AJ165" s="719"/>
      <c r="AK165" s="719"/>
      <c r="AL165" s="719"/>
      <c r="AM165" s="719"/>
      <c r="AN165" s="719"/>
      <c r="AO165" s="719"/>
      <c r="AP165" s="719"/>
      <c r="AQ165" s="719"/>
      <c r="AR165" s="719"/>
      <c r="AS165" s="719"/>
      <c r="AT165" s="719"/>
      <c r="AU165" s="719"/>
      <c r="AV165" s="719"/>
      <c r="AW165" s="719"/>
      <c r="AX165" s="719"/>
      <c r="AY165" s="719"/>
      <c r="AZ165" s="719"/>
      <c r="BA165" s="719"/>
      <c r="BB165" s="719"/>
      <c r="BC165" s="719"/>
      <c r="BD165" s="719"/>
      <c r="BE165" s="719"/>
      <c r="BF165" s="719"/>
      <c r="BG165" s="719"/>
      <c r="BH165" s="719"/>
      <c r="BI165" s="719"/>
      <c r="BJ165" s="719"/>
      <c r="BK165" s="719"/>
      <c r="BL165" s="719"/>
      <c r="BM165" s="719"/>
      <c r="BN165" s="719"/>
      <c r="BO165" s="719"/>
      <c r="BP165" s="719"/>
      <c r="BQ165" s="719"/>
      <c r="BR165" s="719"/>
      <c r="BS165" s="719"/>
      <c r="BT165" s="719"/>
      <c r="BU165" s="719"/>
      <c r="BV165" s="719"/>
      <c r="BW165" s="719"/>
      <c r="BX165" s="719"/>
      <c r="BY165" s="719"/>
      <c r="BZ165" s="719"/>
      <c r="CA165" s="719"/>
      <c r="CB165" s="719"/>
      <c r="CC165" s="719"/>
      <c r="CD165" s="719"/>
      <c r="CE165" s="719"/>
      <c r="CF165" s="719"/>
      <c r="CG165" s="719"/>
      <c r="CH165" s="719"/>
      <c r="CI165" s="719"/>
      <c r="CJ165" s="719"/>
      <c r="CK165" s="719"/>
      <c r="CL165" s="719"/>
      <c r="CM165" s="719"/>
      <c r="CN165" s="719"/>
      <c r="CO165" s="719"/>
      <c r="CP165" s="719"/>
      <c r="CQ165" s="719"/>
      <c r="CR165" s="719"/>
      <c r="CS165" s="719"/>
      <c r="CT165" s="719"/>
      <c r="CU165" s="719"/>
      <c r="CV165" s="719"/>
      <c r="CW165" s="719"/>
      <c r="CX165" s="719"/>
      <c r="CY165" s="719"/>
      <c r="CZ165" s="719"/>
      <c r="DA165" s="719"/>
      <c r="DB165" s="719"/>
      <c r="DC165" s="719"/>
      <c r="DD165" s="719"/>
      <c r="DE165" s="719"/>
      <c r="DF165" s="719"/>
      <c r="DG165" s="719"/>
      <c r="DH165" s="719"/>
      <c r="DI165" s="719"/>
      <c r="DJ165" s="719"/>
      <c r="DK165" s="719"/>
      <c r="DL165" s="719"/>
      <c r="DM165" s="719"/>
      <c r="DN165" s="719"/>
      <c r="DO165" s="719"/>
      <c r="DP165" s="719"/>
      <c r="DQ165" s="719"/>
      <c r="DR165" s="719"/>
    </row>
    <row r="166" spans="1:122" s="275" customFormat="1">
      <c r="A166" s="719"/>
      <c r="B166" s="719"/>
      <c r="C166" s="719"/>
      <c r="D166" s="719"/>
      <c r="E166" s="719"/>
      <c r="F166" s="719"/>
      <c r="G166" s="719"/>
      <c r="H166" s="719"/>
      <c r="I166" s="719"/>
      <c r="J166" s="719"/>
      <c r="K166" s="719"/>
      <c r="L166" s="719"/>
      <c r="M166" s="719"/>
      <c r="N166" s="721"/>
      <c r="O166" s="721"/>
      <c r="P166" s="719"/>
      <c r="Q166" s="719"/>
      <c r="R166" s="719"/>
      <c r="S166" s="721"/>
      <c r="T166" s="721"/>
      <c r="U166" s="719"/>
      <c r="V166" s="719"/>
      <c r="W166" s="719"/>
      <c r="X166" s="721"/>
      <c r="Y166" s="721"/>
      <c r="Z166" s="719"/>
      <c r="AA166" s="719"/>
      <c r="AB166" s="719"/>
      <c r="AC166" s="721"/>
      <c r="AD166" s="721"/>
      <c r="AE166" s="719"/>
      <c r="AF166" s="719"/>
      <c r="AG166" s="719"/>
      <c r="AH166" s="721"/>
      <c r="AI166" s="721"/>
      <c r="AJ166" s="719"/>
      <c r="AK166" s="719"/>
      <c r="AL166" s="719"/>
      <c r="AM166" s="719"/>
      <c r="AN166" s="719"/>
      <c r="AO166" s="719"/>
      <c r="AP166" s="719"/>
      <c r="AQ166" s="719"/>
      <c r="AR166" s="719"/>
      <c r="AS166" s="719"/>
      <c r="AT166" s="719"/>
      <c r="AU166" s="719"/>
      <c r="AV166" s="719"/>
      <c r="AW166" s="719"/>
      <c r="AX166" s="719"/>
      <c r="AY166" s="719"/>
      <c r="AZ166" s="719"/>
      <c r="BA166" s="719"/>
      <c r="BB166" s="719"/>
      <c r="BC166" s="719"/>
      <c r="BD166" s="719"/>
      <c r="BE166" s="719"/>
      <c r="BF166" s="719"/>
      <c r="BG166" s="719"/>
      <c r="BH166" s="719"/>
      <c r="BI166" s="719"/>
      <c r="BJ166" s="719"/>
      <c r="BK166" s="719"/>
      <c r="BL166" s="719"/>
      <c r="BM166" s="719"/>
      <c r="BN166" s="719"/>
      <c r="BO166" s="719"/>
      <c r="BP166" s="719"/>
      <c r="BQ166" s="719"/>
      <c r="BR166" s="719"/>
      <c r="BS166" s="719"/>
      <c r="BT166" s="719"/>
      <c r="BU166" s="719"/>
      <c r="BV166" s="719"/>
      <c r="BW166" s="719"/>
      <c r="BX166" s="719"/>
      <c r="BY166" s="719"/>
      <c r="BZ166" s="719"/>
      <c r="CA166" s="719"/>
      <c r="CB166" s="719"/>
      <c r="CC166" s="719"/>
      <c r="CD166" s="719"/>
      <c r="CE166" s="719"/>
      <c r="CF166" s="719"/>
      <c r="CG166" s="719"/>
      <c r="CH166" s="719"/>
      <c r="CI166" s="719"/>
      <c r="CJ166" s="719"/>
      <c r="CK166" s="719"/>
      <c r="CL166" s="719"/>
      <c r="CM166" s="719"/>
      <c r="CN166" s="719"/>
      <c r="CO166" s="719"/>
      <c r="CP166" s="719"/>
      <c r="CQ166" s="719"/>
      <c r="CR166" s="719"/>
      <c r="CS166" s="719"/>
      <c r="CT166" s="719"/>
      <c r="CU166" s="719"/>
      <c r="CV166" s="719"/>
      <c r="CW166" s="719"/>
      <c r="CX166" s="719"/>
      <c r="CY166" s="719"/>
      <c r="CZ166" s="719"/>
      <c r="DA166" s="719"/>
      <c r="DB166" s="719"/>
      <c r="DC166" s="719"/>
      <c r="DD166" s="719"/>
      <c r="DE166" s="719"/>
      <c r="DF166" s="719"/>
      <c r="DG166" s="719"/>
      <c r="DH166" s="719"/>
      <c r="DI166" s="719"/>
      <c r="DJ166" s="719"/>
      <c r="DK166" s="719"/>
      <c r="DL166" s="719"/>
      <c r="DM166" s="719"/>
      <c r="DN166" s="719"/>
      <c r="DO166" s="719"/>
      <c r="DP166" s="719"/>
      <c r="DQ166" s="719"/>
      <c r="DR166" s="719"/>
    </row>
    <row r="167" spans="1:122" s="275" customFormat="1">
      <c r="A167" s="719"/>
      <c r="B167" s="719"/>
      <c r="C167" s="719"/>
      <c r="D167" s="719"/>
      <c r="E167" s="719"/>
      <c r="F167" s="719"/>
      <c r="G167" s="719"/>
      <c r="H167" s="719"/>
      <c r="I167" s="719"/>
      <c r="J167" s="719"/>
      <c r="K167" s="719"/>
      <c r="L167" s="719"/>
      <c r="M167" s="719"/>
      <c r="N167" s="721"/>
      <c r="O167" s="721"/>
      <c r="P167" s="719"/>
      <c r="Q167" s="719"/>
      <c r="R167" s="719"/>
      <c r="S167" s="721"/>
      <c r="T167" s="721"/>
      <c r="U167" s="719"/>
      <c r="V167" s="719"/>
      <c r="W167" s="719"/>
      <c r="X167" s="721"/>
      <c r="Y167" s="721"/>
      <c r="Z167" s="719"/>
      <c r="AA167" s="719"/>
      <c r="AB167" s="719"/>
      <c r="AC167" s="721"/>
      <c r="AD167" s="721"/>
      <c r="AE167" s="719"/>
      <c r="AF167" s="719"/>
      <c r="AG167" s="719"/>
      <c r="AH167" s="721"/>
      <c r="AI167" s="721"/>
      <c r="AJ167" s="719"/>
      <c r="AK167" s="719"/>
      <c r="AL167" s="719"/>
      <c r="AM167" s="719"/>
      <c r="AN167" s="719"/>
      <c r="AO167" s="719"/>
      <c r="AP167" s="719"/>
      <c r="AQ167" s="719"/>
      <c r="AR167" s="719"/>
      <c r="AS167" s="719"/>
      <c r="AT167" s="719"/>
      <c r="AU167" s="719"/>
      <c r="AV167" s="719"/>
      <c r="AW167" s="719"/>
      <c r="AX167" s="719"/>
      <c r="AY167" s="719"/>
      <c r="AZ167" s="719"/>
      <c r="BA167" s="719"/>
      <c r="BB167" s="719"/>
      <c r="BC167" s="719"/>
      <c r="BD167" s="719"/>
      <c r="BE167" s="719"/>
      <c r="BF167" s="719"/>
      <c r="BG167" s="719"/>
      <c r="BH167" s="719"/>
      <c r="BI167" s="719"/>
      <c r="BJ167" s="719"/>
      <c r="BK167" s="719"/>
      <c r="BL167" s="719"/>
      <c r="BM167" s="719"/>
      <c r="BN167" s="719"/>
      <c r="BO167" s="719"/>
      <c r="BP167" s="719"/>
      <c r="BQ167" s="719"/>
      <c r="BR167" s="719"/>
      <c r="BS167" s="719"/>
      <c r="BT167" s="719"/>
      <c r="BU167" s="719"/>
      <c r="BV167" s="719"/>
      <c r="BW167" s="719"/>
      <c r="BX167" s="719"/>
      <c r="BY167" s="719"/>
      <c r="BZ167" s="719"/>
      <c r="CA167" s="719"/>
      <c r="CB167" s="719"/>
      <c r="CC167" s="719"/>
      <c r="CD167" s="719"/>
      <c r="CE167" s="719"/>
      <c r="CF167" s="719"/>
      <c r="CG167" s="719"/>
      <c r="CH167" s="719"/>
      <c r="CI167" s="719"/>
      <c r="CJ167" s="719"/>
      <c r="CK167" s="719"/>
      <c r="CL167" s="719"/>
      <c r="CM167" s="719"/>
      <c r="CN167" s="719"/>
      <c r="CO167" s="719"/>
      <c r="CP167" s="719"/>
      <c r="CQ167" s="719"/>
      <c r="CR167" s="719"/>
      <c r="CS167" s="719"/>
      <c r="CT167" s="719"/>
      <c r="CU167" s="719"/>
      <c r="CV167" s="719"/>
      <c r="CW167" s="719"/>
      <c r="CX167" s="719"/>
      <c r="CY167" s="719"/>
      <c r="CZ167" s="719"/>
      <c r="DA167" s="719"/>
      <c r="DB167" s="719"/>
      <c r="DC167" s="719"/>
      <c r="DD167" s="719"/>
      <c r="DE167" s="719"/>
      <c r="DF167" s="719"/>
      <c r="DG167" s="719"/>
      <c r="DH167" s="719"/>
      <c r="DI167" s="719"/>
      <c r="DJ167" s="719"/>
      <c r="DK167" s="719"/>
      <c r="DL167" s="719"/>
      <c r="DM167" s="719"/>
      <c r="DN167" s="719"/>
      <c r="DO167" s="719"/>
      <c r="DP167" s="719"/>
      <c r="DQ167" s="719"/>
      <c r="DR167" s="719"/>
    </row>
    <row r="168" spans="1:122" s="275" customFormat="1">
      <c r="A168" s="719"/>
      <c r="B168" s="719"/>
      <c r="C168" s="719"/>
      <c r="D168" s="719"/>
      <c r="E168" s="719"/>
      <c r="F168" s="719"/>
      <c r="G168" s="719"/>
      <c r="H168" s="719"/>
      <c r="I168" s="719"/>
      <c r="J168" s="719"/>
      <c r="K168" s="719"/>
      <c r="L168" s="719"/>
      <c r="M168" s="719"/>
      <c r="N168" s="721"/>
      <c r="O168" s="721"/>
      <c r="P168" s="719"/>
      <c r="Q168" s="719"/>
      <c r="R168" s="719"/>
      <c r="S168" s="721"/>
      <c r="T168" s="721"/>
      <c r="U168" s="719"/>
      <c r="V168" s="719"/>
      <c r="W168" s="719"/>
      <c r="X168" s="721"/>
      <c r="Y168" s="721"/>
      <c r="Z168" s="719"/>
      <c r="AA168" s="719"/>
      <c r="AB168" s="719"/>
      <c r="AC168" s="721"/>
      <c r="AD168" s="721"/>
      <c r="AE168" s="719"/>
      <c r="AF168" s="719"/>
      <c r="AG168" s="719"/>
      <c r="AH168" s="721"/>
      <c r="AI168" s="721"/>
      <c r="AJ168" s="719"/>
      <c r="AK168" s="719"/>
      <c r="AL168" s="719"/>
      <c r="AM168" s="719"/>
      <c r="AN168" s="719"/>
      <c r="AO168" s="719"/>
      <c r="AP168" s="719"/>
      <c r="AQ168" s="719"/>
      <c r="AR168" s="719"/>
      <c r="AS168" s="719"/>
      <c r="AT168" s="719"/>
      <c r="AU168" s="719"/>
      <c r="AV168" s="719"/>
      <c r="AW168" s="719"/>
      <c r="AX168" s="719"/>
      <c r="AY168" s="719"/>
      <c r="AZ168" s="719"/>
      <c r="BA168" s="719"/>
      <c r="BB168" s="719"/>
      <c r="BC168" s="719"/>
      <c r="BD168" s="719"/>
      <c r="BE168" s="719"/>
      <c r="BF168" s="719"/>
      <c r="BG168" s="719"/>
      <c r="BH168" s="719"/>
      <c r="BI168" s="719"/>
      <c r="BJ168" s="719"/>
      <c r="BK168" s="719"/>
      <c r="BL168" s="719"/>
      <c r="BM168" s="719"/>
      <c r="BN168" s="719"/>
      <c r="BO168" s="719"/>
      <c r="BP168" s="719"/>
      <c r="BQ168" s="719"/>
      <c r="BR168" s="719"/>
      <c r="BS168" s="719"/>
      <c r="BT168" s="719"/>
      <c r="BU168" s="719"/>
      <c r="BV168" s="719"/>
      <c r="BW168" s="719"/>
      <c r="BX168" s="719"/>
      <c r="BY168" s="719"/>
      <c r="BZ168" s="719"/>
      <c r="CA168" s="719"/>
      <c r="CB168" s="719"/>
      <c r="CC168" s="719"/>
      <c r="CD168" s="719"/>
      <c r="CE168" s="719"/>
      <c r="CF168" s="719"/>
      <c r="CG168" s="719"/>
      <c r="CH168" s="719"/>
      <c r="CI168" s="719"/>
      <c r="CJ168" s="719"/>
      <c r="CK168" s="719"/>
      <c r="CL168" s="719"/>
      <c r="CM168" s="719"/>
      <c r="CN168" s="719"/>
      <c r="CO168" s="719"/>
      <c r="CP168" s="719"/>
      <c r="CQ168" s="719"/>
      <c r="CR168" s="719"/>
      <c r="CS168" s="719"/>
      <c r="CT168" s="719"/>
      <c r="CU168" s="719"/>
      <c r="CV168" s="719"/>
      <c r="CW168" s="719"/>
      <c r="CX168" s="719"/>
      <c r="CY168" s="719"/>
      <c r="CZ168" s="719"/>
      <c r="DA168" s="719"/>
      <c r="DB168" s="719"/>
      <c r="DC168" s="719"/>
      <c r="DD168" s="719"/>
      <c r="DE168" s="719"/>
      <c r="DF168" s="719"/>
      <c r="DG168" s="719"/>
      <c r="DH168" s="719"/>
      <c r="DI168" s="719"/>
      <c r="DJ168" s="719"/>
      <c r="DK168" s="719"/>
      <c r="DL168" s="719"/>
      <c r="DM168" s="719"/>
      <c r="DN168" s="719"/>
      <c r="DO168" s="719"/>
      <c r="DP168" s="719"/>
      <c r="DQ168" s="719"/>
      <c r="DR168" s="719"/>
    </row>
    <row r="169" spans="1:122" s="275" customFormat="1">
      <c r="A169" s="719"/>
      <c r="B169" s="719"/>
      <c r="C169" s="719"/>
      <c r="D169" s="719"/>
      <c r="E169" s="719"/>
      <c r="F169" s="719"/>
      <c r="G169" s="719"/>
      <c r="H169" s="719"/>
      <c r="I169" s="719"/>
      <c r="J169" s="719"/>
      <c r="K169" s="719"/>
      <c r="L169" s="719"/>
      <c r="M169" s="719"/>
      <c r="N169" s="721"/>
      <c r="O169" s="721"/>
      <c r="P169" s="719"/>
      <c r="Q169" s="719"/>
      <c r="R169" s="719"/>
      <c r="S169" s="721"/>
      <c r="T169" s="721"/>
      <c r="U169" s="719"/>
      <c r="V169" s="719"/>
      <c r="W169" s="719"/>
      <c r="X169" s="721"/>
      <c r="Y169" s="721"/>
      <c r="Z169" s="719"/>
      <c r="AA169" s="719"/>
      <c r="AB169" s="719"/>
      <c r="AC169" s="721"/>
      <c r="AD169" s="721"/>
      <c r="AE169" s="719"/>
      <c r="AF169" s="719"/>
      <c r="AG169" s="719"/>
      <c r="AH169" s="721"/>
      <c r="AI169" s="721"/>
      <c r="AJ169" s="719"/>
      <c r="AK169" s="719"/>
      <c r="AL169" s="719"/>
      <c r="AM169" s="719"/>
      <c r="AN169" s="719"/>
      <c r="AO169" s="719"/>
      <c r="AP169" s="719"/>
      <c r="AQ169" s="719"/>
      <c r="AR169" s="719"/>
      <c r="AS169" s="719"/>
      <c r="AT169" s="719"/>
      <c r="AU169" s="719"/>
      <c r="AV169" s="719"/>
      <c r="AW169" s="719"/>
      <c r="AX169" s="719"/>
      <c r="AY169" s="719"/>
      <c r="AZ169" s="719"/>
      <c r="BA169" s="719"/>
      <c r="BB169" s="719"/>
      <c r="BC169" s="719"/>
      <c r="BD169" s="719"/>
      <c r="BE169" s="719"/>
      <c r="BF169" s="719"/>
      <c r="BG169" s="719"/>
      <c r="BH169" s="719"/>
      <c r="BI169" s="719"/>
      <c r="BJ169" s="719"/>
      <c r="BK169" s="719"/>
      <c r="BL169" s="719"/>
      <c r="BM169" s="719"/>
      <c r="BN169" s="719"/>
      <c r="BO169" s="719"/>
      <c r="BP169" s="719"/>
      <c r="BQ169" s="719"/>
      <c r="BR169" s="719"/>
      <c r="BS169" s="719"/>
      <c r="BT169" s="719"/>
      <c r="BU169" s="719"/>
      <c r="BV169" s="719"/>
      <c r="BW169" s="719"/>
      <c r="BX169" s="719"/>
      <c r="BY169" s="719"/>
      <c r="BZ169" s="719"/>
      <c r="CA169" s="719"/>
      <c r="CB169" s="719"/>
      <c r="CC169" s="719"/>
      <c r="CD169" s="719"/>
      <c r="CE169" s="719"/>
      <c r="CF169" s="719"/>
      <c r="CG169" s="719"/>
      <c r="CH169" s="719"/>
      <c r="CI169" s="719"/>
      <c r="CJ169" s="719"/>
      <c r="CK169" s="719"/>
      <c r="CL169" s="719"/>
      <c r="CM169" s="719"/>
      <c r="CN169" s="719"/>
      <c r="CO169" s="719"/>
      <c r="CP169" s="719"/>
      <c r="CQ169" s="719"/>
      <c r="CR169" s="719"/>
      <c r="CS169" s="719"/>
      <c r="CT169" s="719"/>
      <c r="CU169" s="719"/>
      <c r="CV169" s="719"/>
      <c r="CW169" s="719"/>
      <c r="CX169" s="719"/>
      <c r="CY169" s="719"/>
      <c r="CZ169" s="719"/>
      <c r="DA169" s="719"/>
      <c r="DB169" s="719"/>
      <c r="DC169" s="719"/>
      <c r="DD169" s="719"/>
      <c r="DE169" s="719"/>
      <c r="DF169" s="719"/>
      <c r="DG169" s="719"/>
      <c r="DH169" s="719"/>
      <c r="DI169" s="719"/>
      <c r="DJ169" s="719"/>
      <c r="DK169" s="719"/>
      <c r="DL169" s="719"/>
      <c r="DM169" s="719"/>
      <c r="DN169" s="719"/>
      <c r="DO169" s="719"/>
      <c r="DP169" s="719"/>
      <c r="DQ169" s="719"/>
      <c r="DR169" s="719"/>
    </row>
    <row r="170" spans="1:122" s="275" customFormat="1">
      <c r="A170" s="719"/>
      <c r="B170" s="719"/>
      <c r="C170" s="719"/>
      <c r="D170" s="719"/>
      <c r="E170" s="719"/>
      <c r="F170" s="719"/>
      <c r="G170" s="719"/>
      <c r="H170" s="719"/>
      <c r="I170" s="719"/>
      <c r="J170" s="719"/>
      <c r="K170" s="719"/>
      <c r="L170" s="719"/>
      <c r="M170" s="719"/>
      <c r="N170" s="721"/>
      <c r="O170" s="721"/>
      <c r="P170" s="719"/>
      <c r="Q170" s="719"/>
      <c r="R170" s="719"/>
      <c r="S170" s="721"/>
      <c r="T170" s="721"/>
      <c r="U170" s="719"/>
      <c r="V170" s="719"/>
      <c r="W170" s="719"/>
      <c r="X170" s="721"/>
      <c r="Y170" s="721"/>
      <c r="Z170" s="719"/>
      <c r="AA170" s="719"/>
      <c r="AB170" s="719"/>
      <c r="AC170" s="721"/>
      <c r="AD170" s="721"/>
      <c r="AE170" s="719"/>
      <c r="AF170" s="719"/>
      <c r="AG170" s="719"/>
      <c r="AH170" s="721"/>
      <c r="AI170" s="721"/>
      <c r="AJ170" s="719"/>
      <c r="AK170" s="719"/>
      <c r="AL170" s="719"/>
      <c r="AM170" s="719"/>
      <c r="AN170" s="719"/>
      <c r="AO170" s="719"/>
      <c r="AP170" s="719"/>
      <c r="AQ170" s="719"/>
      <c r="AR170" s="719"/>
      <c r="AS170" s="719"/>
      <c r="AT170" s="719"/>
      <c r="AU170" s="719"/>
      <c r="AV170" s="719"/>
      <c r="AW170" s="719"/>
      <c r="AX170" s="719"/>
      <c r="AY170" s="719"/>
      <c r="AZ170" s="719"/>
      <c r="BA170" s="719"/>
      <c r="BB170" s="719"/>
      <c r="BC170" s="719"/>
      <c r="BD170" s="719"/>
      <c r="BE170" s="719"/>
      <c r="BF170" s="719"/>
      <c r="BG170" s="719"/>
      <c r="BH170" s="719"/>
      <c r="BI170" s="719"/>
      <c r="BJ170" s="719"/>
      <c r="BK170" s="719"/>
      <c r="BL170" s="719"/>
      <c r="BM170" s="719"/>
      <c r="BN170" s="719"/>
      <c r="BO170" s="719"/>
      <c r="BP170" s="719"/>
      <c r="BQ170" s="719"/>
      <c r="BR170" s="719"/>
      <c r="BS170" s="719"/>
      <c r="BT170" s="719"/>
      <c r="BU170" s="719"/>
      <c r="BV170" s="719"/>
      <c r="BW170" s="719"/>
      <c r="BX170" s="719"/>
      <c r="BY170" s="719"/>
      <c r="BZ170" s="719"/>
      <c r="CA170" s="719"/>
      <c r="CB170" s="719"/>
      <c r="CC170" s="719"/>
      <c r="CD170" s="719"/>
      <c r="CE170" s="719"/>
      <c r="CF170" s="719"/>
      <c r="CG170" s="719"/>
      <c r="CH170" s="719"/>
      <c r="CI170" s="719"/>
      <c r="CJ170" s="719"/>
      <c r="CK170" s="719"/>
      <c r="CL170" s="719"/>
      <c r="CM170" s="719"/>
      <c r="CN170" s="719"/>
      <c r="CO170" s="719"/>
      <c r="CP170" s="719"/>
      <c r="CQ170" s="719"/>
      <c r="CR170" s="719"/>
      <c r="CS170" s="719"/>
      <c r="CT170" s="719"/>
      <c r="CU170" s="719"/>
      <c r="CV170" s="719"/>
      <c r="CW170" s="719"/>
      <c r="CX170" s="719"/>
      <c r="CY170" s="719"/>
      <c r="CZ170" s="719"/>
      <c r="DA170" s="719"/>
      <c r="DB170" s="719"/>
      <c r="DC170" s="719"/>
      <c r="DD170" s="719"/>
      <c r="DE170" s="719"/>
      <c r="DF170" s="719"/>
      <c r="DG170" s="719"/>
      <c r="DH170" s="719"/>
      <c r="DI170" s="719"/>
      <c r="DJ170" s="719"/>
      <c r="DK170" s="719"/>
      <c r="DL170" s="719"/>
      <c r="DM170" s="719"/>
      <c r="DN170" s="719"/>
      <c r="DO170" s="719"/>
      <c r="DP170" s="719"/>
      <c r="DQ170" s="719"/>
      <c r="DR170" s="719"/>
    </row>
    <row r="171" spans="1:122" s="275" customFormat="1">
      <c r="A171" s="719"/>
      <c r="B171" s="719"/>
      <c r="C171" s="719"/>
      <c r="D171" s="719"/>
      <c r="E171" s="719"/>
      <c r="F171" s="719"/>
      <c r="G171" s="719"/>
      <c r="H171" s="719"/>
      <c r="I171" s="719"/>
      <c r="J171" s="719"/>
      <c r="K171" s="719"/>
      <c r="L171" s="719"/>
      <c r="M171" s="719"/>
      <c r="N171" s="721"/>
      <c r="O171" s="721"/>
      <c r="P171" s="719"/>
      <c r="Q171" s="719"/>
      <c r="R171" s="719"/>
      <c r="S171" s="721"/>
      <c r="T171" s="721"/>
      <c r="U171" s="719"/>
      <c r="V171" s="719"/>
      <c r="W171" s="719"/>
      <c r="X171" s="721"/>
      <c r="Y171" s="721"/>
      <c r="Z171" s="719"/>
      <c r="AA171" s="719"/>
      <c r="AB171" s="719"/>
      <c r="AC171" s="721"/>
      <c r="AD171" s="721"/>
      <c r="AE171" s="719"/>
      <c r="AF171" s="719"/>
      <c r="AG171" s="719"/>
      <c r="AH171" s="721"/>
      <c r="AI171" s="721"/>
      <c r="AJ171" s="719"/>
      <c r="AK171" s="719"/>
      <c r="AL171" s="719"/>
      <c r="AM171" s="719"/>
      <c r="AN171" s="719"/>
      <c r="AO171" s="719"/>
      <c r="AP171" s="719"/>
      <c r="AQ171" s="719"/>
      <c r="AR171" s="719"/>
      <c r="AS171" s="719"/>
      <c r="AT171" s="719"/>
      <c r="AU171" s="719"/>
      <c r="AV171" s="719"/>
      <c r="AW171" s="719"/>
      <c r="AX171" s="719"/>
      <c r="AY171" s="719"/>
      <c r="AZ171" s="719"/>
      <c r="BA171" s="719"/>
      <c r="BB171" s="719"/>
      <c r="BC171" s="719"/>
      <c r="BD171" s="719"/>
      <c r="BE171" s="719"/>
      <c r="BF171" s="719"/>
      <c r="BG171" s="719"/>
      <c r="BH171" s="719"/>
      <c r="BI171" s="719"/>
      <c r="BJ171" s="719"/>
      <c r="BK171" s="719"/>
      <c r="BL171" s="719"/>
      <c r="BM171" s="719"/>
      <c r="BN171" s="719"/>
      <c r="BO171" s="719"/>
      <c r="BP171" s="719"/>
      <c r="BQ171" s="719"/>
      <c r="BR171" s="719"/>
      <c r="BS171" s="719"/>
      <c r="BT171" s="719"/>
      <c r="BU171" s="719"/>
      <c r="BV171" s="719"/>
      <c r="BW171" s="719"/>
      <c r="BX171" s="719"/>
      <c r="BY171" s="719"/>
      <c r="BZ171" s="719"/>
      <c r="CA171" s="719"/>
      <c r="CB171" s="719"/>
      <c r="CC171" s="719"/>
      <c r="CD171" s="719"/>
      <c r="CE171" s="719"/>
      <c r="CF171" s="719"/>
      <c r="CG171" s="719"/>
      <c r="CH171" s="719"/>
      <c r="CI171" s="719"/>
      <c r="CJ171" s="719"/>
      <c r="CK171" s="719"/>
      <c r="CL171" s="719"/>
      <c r="CM171" s="719"/>
      <c r="CN171" s="719"/>
      <c r="CO171" s="719"/>
      <c r="CP171" s="719"/>
      <c r="CQ171" s="719"/>
      <c r="CR171" s="719"/>
      <c r="CS171" s="719"/>
      <c r="CT171" s="719"/>
      <c r="CU171" s="719"/>
      <c r="CV171" s="719"/>
      <c r="CW171" s="719"/>
      <c r="CX171" s="719"/>
      <c r="CY171" s="719"/>
      <c r="CZ171" s="719"/>
      <c r="DA171" s="719"/>
      <c r="DB171" s="719"/>
      <c r="DC171" s="719"/>
      <c r="DD171" s="719"/>
      <c r="DE171" s="719"/>
      <c r="DF171" s="719"/>
      <c r="DG171" s="719"/>
      <c r="DH171" s="719"/>
      <c r="DI171" s="719"/>
      <c r="DJ171" s="719"/>
      <c r="DK171" s="719"/>
      <c r="DL171" s="719"/>
      <c r="DM171" s="719"/>
      <c r="DN171" s="719"/>
      <c r="DO171" s="719"/>
      <c r="DP171" s="719"/>
      <c r="DQ171" s="719"/>
      <c r="DR171" s="719"/>
    </row>
    <row r="172" spans="1:122" s="275" customFormat="1">
      <c r="A172" s="719"/>
      <c r="B172" s="719"/>
      <c r="C172" s="719"/>
      <c r="D172" s="719"/>
      <c r="E172" s="719"/>
      <c r="F172" s="719"/>
      <c r="G172" s="719"/>
      <c r="H172" s="719"/>
      <c r="I172" s="719"/>
      <c r="J172" s="719"/>
      <c r="K172" s="719"/>
      <c r="L172" s="719"/>
      <c r="M172" s="719"/>
      <c r="N172" s="721"/>
      <c r="O172" s="721"/>
      <c r="P172" s="719"/>
      <c r="Q172" s="719"/>
      <c r="R172" s="719"/>
      <c r="S172" s="721"/>
      <c r="T172" s="721"/>
      <c r="U172" s="719"/>
      <c r="V172" s="719"/>
      <c r="W172" s="719"/>
      <c r="X172" s="721"/>
      <c r="Y172" s="721"/>
      <c r="Z172" s="719"/>
      <c r="AA172" s="719"/>
      <c r="AB172" s="719"/>
      <c r="AC172" s="721"/>
      <c r="AD172" s="721"/>
      <c r="AE172" s="719"/>
      <c r="AF172" s="719"/>
      <c r="AG172" s="719"/>
      <c r="AH172" s="721"/>
      <c r="AI172" s="721"/>
      <c r="AJ172" s="719"/>
      <c r="AK172" s="719"/>
      <c r="AL172" s="719"/>
      <c r="AM172" s="719"/>
      <c r="AN172" s="719"/>
      <c r="AO172" s="719"/>
      <c r="AP172" s="719"/>
      <c r="AQ172" s="719"/>
      <c r="AR172" s="719"/>
      <c r="AS172" s="719"/>
      <c r="AT172" s="719"/>
      <c r="AU172" s="719"/>
      <c r="AV172" s="719"/>
      <c r="AW172" s="719"/>
      <c r="AX172" s="719"/>
      <c r="AY172" s="719"/>
      <c r="AZ172" s="719"/>
      <c r="BA172" s="719"/>
      <c r="BB172" s="719"/>
      <c r="BC172" s="719"/>
      <c r="BD172" s="719"/>
      <c r="BE172" s="719"/>
      <c r="BF172" s="719"/>
      <c r="BG172" s="719"/>
      <c r="BH172" s="719"/>
      <c r="BI172" s="719"/>
      <c r="BJ172" s="719"/>
      <c r="BK172" s="719"/>
      <c r="BL172" s="719"/>
      <c r="BM172" s="719"/>
      <c r="BN172" s="719"/>
      <c r="BO172" s="719"/>
      <c r="BP172" s="719"/>
      <c r="BQ172" s="719"/>
      <c r="BR172" s="719"/>
      <c r="BS172" s="719"/>
      <c r="BT172" s="719"/>
      <c r="BU172" s="719"/>
      <c r="BV172" s="719"/>
      <c r="BW172" s="719"/>
      <c r="BX172" s="719"/>
      <c r="BY172" s="719"/>
      <c r="BZ172" s="719"/>
      <c r="CA172" s="719"/>
      <c r="CB172" s="719"/>
      <c r="CC172" s="719"/>
      <c r="CD172" s="719"/>
      <c r="CE172" s="719"/>
      <c r="CF172" s="719"/>
      <c r="CG172" s="719"/>
      <c r="CH172" s="719"/>
      <c r="CI172" s="719"/>
      <c r="CJ172" s="719"/>
      <c r="CK172" s="719"/>
      <c r="CL172" s="719"/>
      <c r="CM172" s="719"/>
      <c r="CN172" s="719"/>
      <c r="CO172" s="719"/>
      <c r="CP172" s="719"/>
      <c r="CQ172" s="719"/>
      <c r="CR172" s="719"/>
      <c r="CS172" s="719"/>
      <c r="CT172" s="719"/>
      <c r="CU172" s="719"/>
      <c r="CV172" s="719"/>
      <c r="CW172" s="719"/>
      <c r="CX172" s="719"/>
      <c r="CY172" s="719"/>
      <c r="CZ172" s="719"/>
      <c r="DA172" s="719"/>
      <c r="DB172" s="719"/>
      <c r="DC172" s="719"/>
      <c r="DD172" s="719"/>
      <c r="DE172" s="719"/>
      <c r="DF172" s="719"/>
      <c r="DG172" s="719"/>
      <c r="DH172" s="719"/>
      <c r="DI172" s="719"/>
      <c r="DJ172" s="719"/>
      <c r="DK172" s="719"/>
      <c r="DL172" s="719"/>
      <c r="DM172" s="719"/>
      <c r="DN172" s="719"/>
      <c r="DO172" s="719"/>
      <c r="DP172" s="719"/>
      <c r="DQ172" s="719"/>
      <c r="DR172" s="719"/>
    </row>
    <row r="173" spans="1:122" s="275" customFormat="1">
      <c r="A173" s="719"/>
      <c r="B173" s="719"/>
      <c r="C173" s="719"/>
      <c r="D173" s="719"/>
      <c r="E173" s="719"/>
      <c r="F173" s="719"/>
      <c r="G173" s="719"/>
      <c r="H173" s="719"/>
      <c r="I173" s="719"/>
      <c r="J173" s="719"/>
      <c r="K173" s="719"/>
      <c r="L173" s="719"/>
      <c r="M173" s="719"/>
      <c r="N173" s="721"/>
      <c r="O173" s="721"/>
      <c r="P173" s="719"/>
      <c r="Q173" s="719"/>
      <c r="R173" s="719"/>
      <c r="S173" s="721"/>
      <c r="T173" s="721"/>
      <c r="U173" s="719"/>
      <c r="V173" s="719"/>
      <c r="W173" s="719"/>
      <c r="X173" s="721"/>
      <c r="Y173" s="721"/>
      <c r="Z173" s="719"/>
      <c r="AA173" s="719"/>
      <c r="AB173" s="719"/>
      <c r="AC173" s="721"/>
      <c r="AD173" s="721"/>
      <c r="AE173" s="719"/>
      <c r="AF173" s="719"/>
      <c r="AG173" s="719"/>
      <c r="AH173" s="721"/>
      <c r="AI173" s="721"/>
      <c r="AJ173" s="719"/>
      <c r="AK173" s="719"/>
      <c r="AL173" s="719"/>
      <c r="AM173" s="719"/>
      <c r="AN173" s="719"/>
      <c r="AO173" s="719"/>
      <c r="AP173" s="719"/>
      <c r="AQ173" s="719"/>
      <c r="AR173" s="719"/>
      <c r="AS173" s="719"/>
      <c r="AT173" s="719"/>
      <c r="AU173" s="719"/>
      <c r="AV173" s="719"/>
      <c r="AW173" s="719"/>
      <c r="AX173" s="719"/>
      <c r="AY173" s="719"/>
      <c r="AZ173" s="719"/>
      <c r="BA173" s="719"/>
      <c r="BB173" s="719"/>
      <c r="BC173" s="719"/>
      <c r="BD173" s="719"/>
      <c r="BE173" s="719"/>
      <c r="BF173" s="719"/>
      <c r="BG173" s="719"/>
      <c r="BH173" s="719"/>
      <c r="BI173" s="719"/>
      <c r="BJ173" s="719"/>
      <c r="BK173" s="719"/>
      <c r="BL173" s="719"/>
      <c r="BM173" s="719"/>
      <c r="BN173" s="719"/>
      <c r="BO173" s="719"/>
      <c r="BP173" s="719"/>
      <c r="BQ173" s="719"/>
      <c r="BR173" s="719"/>
      <c r="BS173" s="719"/>
      <c r="BT173" s="719"/>
      <c r="BU173" s="719"/>
      <c r="BV173" s="719"/>
      <c r="BW173" s="719"/>
      <c r="BX173" s="719"/>
      <c r="BY173" s="719"/>
      <c r="BZ173" s="719"/>
      <c r="CA173" s="719"/>
      <c r="CB173" s="719"/>
      <c r="CC173" s="719"/>
      <c r="CD173" s="719"/>
      <c r="CE173" s="719"/>
      <c r="CF173" s="719"/>
      <c r="CG173" s="719"/>
      <c r="CH173" s="719"/>
      <c r="CI173" s="719"/>
      <c r="CJ173" s="719"/>
      <c r="CK173" s="719"/>
      <c r="CL173" s="719"/>
      <c r="CM173" s="719"/>
      <c r="CN173" s="719"/>
      <c r="CO173" s="719"/>
      <c r="CP173" s="719"/>
      <c r="CQ173" s="719"/>
      <c r="CR173" s="719"/>
      <c r="CS173" s="719"/>
      <c r="CT173" s="719"/>
      <c r="CU173" s="719"/>
      <c r="CV173" s="719"/>
      <c r="CW173" s="719"/>
      <c r="CX173" s="719"/>
      <c r="CY173" s="719"/>
      <c r="CZ173" s="719"/>
      <c r="DA173" s="719"/>
      <c r="DB173" s="719"/>
      <c r="DC173" s="719"/>
      <c r="DD173" s="719"/>
      <c r="DE173" s="719"/>
      <c r="DF173" s="719"/>
      <c r="DG173" s="719"/>
      <c r="DH173" s="719"/>
      <c r="DI173" s="719"/>
      <c r="DJ173" s="719"/>
      <c r="DK173" s="719"/>
      <c r="DL173" s="719"/>
      <c r="DM173" s="719"/>
      <c r="DN173" s="719"/>
      <c r="DO173" s="719"/>
      <c r="DP173" s="719"/>
      <c r="DQ173" s="719"/>
      <c r="DR173" s="719"/>
    </row>
    <row r="174" spans="1:122" s="275" customFormat="1">
      <c r="A174" s="719"/>
      <c r="B174" s="719"/>
      <c r="C174" s="719"/>
      <c r="D174" s="719"/>
      <c r="E174" s="719"/>
      <c r="F174" s="719"/>
      <c r="G174" s="719"/>
      <c r="H174" s="719"/>
      <c r="I174" s="719"/>
      <c r="J174" s="719"/>
      <c r="K174" s="719"/>
      <c r="L174" s="719"/>
      <c r="M174" s="719"/>
      <c r="N174" s="721"/>
      <c r="O174" s="721"/>
      <c r="P174" s="719"/>
      <c r="Q174" s="719"/>
      <c r="R174" s="719"/>
      <c r="S174" s="721"/>
      <c r="T174" s="721"/>
      <c r="U174" s="719"/>
      <c r="V174" s="719"/>
      <c r="W174" s="719"/>
      <c r="X174" s="721"/>
      <c r="Y174" s="721"/>
      <c r="Z174" s="719"/>
      <c r="AA174" s="719"/>
      <c r="AB174" s="719"/>
      <c r="AC174" s="721"/>
      <c r="AD174" s="721"/>
      <c r="AE174" s="719"/>
      <c r="AF174" s="719"/>
      <c r="AG174" s="719"/>
      <c r="AH174" s="721"/>
      <c r="AI174" s="721"/>
      <c r="AJ174" s="719"/>
      <c r="AK174" s="719"/>
      <c r="AL174" s="719"/>
      <c r="AM174" s="719"/>
      <c r="AN174" s="719"/>
      <c r="AO174" s="719"/>
      <c r="AP174" s="719"/>
      <c r="AQ174" s="719"/>
      <c r="AR174" s="719"/>
      <c r="AS174" s="719"/>
      <c r="AT174" s="719"/>
      <c r="AU174" s="719"/>
      <c r="AV174" s="719"/>
      <c r="AW174" s="719"/>
      <c r="AX174" s="719"/>
      <c r="AY174" s="719"/>
      <c r="AZ174" s="719"/>
      <c r="BA174" s="719"/>
      <c r="BB174" s="719"/>
      <c r="BC174" s="719"/>
      <c r="BD174" s="719"/>
      <c r="BE174" s="719"/>
      <c r="BF174" s="719"/>
      <c r="BG174" s="719"/>
      <c r="BH174" s="719"/>
      <c r="BI174" s="719"/>
      <c r="BJ174" s="719"/>
      <c r="BK174" s="719"/>
      <c r="BL174" s="719"/>
      <c r="BM174" s="719"/>
      <c r="BN174" s="719"/>
      <c r="BO174" s="719"/>
      <c r="BP174" s="719"/>
      <c r="BQ174" s="719"/>
      <c r="BR174" s="719"/>
      <c r="BS174" s="719"/>
      <c r="BT174" s="719"/>
      <c r="BU174" s="719"/>
      <c r="BV174" s="719"/>
      <c r="BW174" s="719"/>
      <c r="BX174" s="719"/>
      <c r="BY174" s="719"/>
      <c r="BZ174" s="719"/>
      <c r="CA174" s="719"/>
      <c r="CB174" s="719"/>
      <c r="CC174" s="719"/>
      <c r="CD174" s="719"/>
      <c r="CE174" s="719"/>
      <c r="CF174" s="719"/>
      <c r="CG174" s="719"/>
      <c r="CH174" s="719"/>
      <c r="CI174" s="719"/>
      <c r="CJ174" s="719"/>
      <c r="CK174" s="719"/>
      <c r="CL174" s="719"/>
      <c r="CM174" s="719"/>
      <c r="CN174" s="719"/>
      <c r="CO174" s="719"/>
      <c r="CP174" s="719"/>
      <c r="CQ174" s="719"/>
      <c r="CR174" s="719"/>
      <c r="CS174" s="719"/>
      <c r="CT174" s="719"/>
      <c r="CU174" s="719"/>
      <c r="CV174" s="719"/>
      <c r="CW174" s="719"/>
      <c r="CX174" s="719"/>
      <c r="CY174" s="719"/>
      <c r="CZ174" s="719"/>
      <c r="DA174" s="719"/>
      <c r="DB174" s="719"/>
      <c r="DC174" s="719"/>
      <c r="DD174" s="719"/>
      <c r="DE174" s="719"/>
      <c r="DF174" s="719"/>
      <c r="DG174" s="719"/>
      <c r="DH174" s="719"/>
      <c r="DI174" s="719"/>
      <c r="DJ174" s="719"/>
      <c r="DK174" s="719"/>
      <c r="DL174" s="719"/>
      <c r="DM174" s="719"/>
      <c r="DN174" s="719"/>
      <c r="DO174" s="719"/>
      <c r="DP174" s="719"/>
      <c r="DQ174" s="719"/>
      <c r="DR174" s="719"/>
    </row>
    <row r="175" spans="1:122" s="275" customFormat="1">
      <c r="A175" s="719"/>
      <c r="B175" s="719"/>
      <c r="C175" s="719"/>
      <c r="D175" s="719"/>
      <c r="E175" s="719"/>
      <c r="F175" s="719"/>
      <c r="G175" s="719"/>
      <c r="H175" s="719"/>
      <c r="I175" s="719"/>
      <c r="J175" s="719"/>
      <c r="K175" s="719"/>
      <c r="L175" s="719"/>
      <c r="M175" s="719"/>
      <c r="N175" s="721"/>
      <c r="O175" s="721"/>
      <c r="P175" s="719"/>
      <c r="Q175" s="719"/>
      <c r="R175" s="719"/>
      <c r="S175" s="721"/>
      <c r="T175" s="721"/>
      <c r="U175" s="719"/>
      <c r="V175" s="719"/>
      <c r="W175" s="719"/>
      <c r="X175" s="721"/>
      <c r="Y175" s="721"/>
      <c r="Z175" s="719"/>
      <c r="AA175" s="719"/>
      <c r="AB175" s="719"/>
      <c r="AC175" s="721"/>
      <c r="AD175" s="721"/>
      <c r="AE175" s="719"/>
      <c r="AF175" s="719"/>
      <c r="AG175" s="719"/>
      <c r="AH175" s="721"/>
      <c r="AI175" s="721"/>
      <c r="AJ175" s="719"/>
      <c r="AK175" s="719"/>
      <c r="AL175" s="719"/>
      <c r="AM175" s="719"/>
      <c r="AN175" s="719"/>
      <c r="AO175" s="719"/>
      <c r="AP175" s="719"/>
      <c r="AQ175" s="719"/>
      <c r="AR175" s="719"/>
      <c r="AS175" s="719"/>
      <c r="AT175" s="719"/>
      <c r="AU175" s="719"/>
      <c r="AV175" s="719"/>
      <c r="AW175" s="719"/>
      <c r="AX175" s="719"/>
      <c r="AY175" s="719"/>
      <c r="AZ175" s="719"/>
      <c r="BA175" s="719"/>
      <c r="BB175" s="719"/>
      <c r="BC175" s="719"/>
      <c r="BD175" s="719"/>
      <c r="BE175" s="719"/>
      <c r="BF175" s="719"/>
      <c r="BG175" s="719"/>
      <c r="BH175" s="719"/>
      <c r="BI175" s="719"/>
      <c r="BJ175" s="719"/>
      <c r="BK175" s="719"/>
      <c r="BL175" s="719"/>
      <c r="BM175" s="719"/>
      <c r="BN175" s="719"/>
      <c r="BO175" s="719"/>
      <c r="BP175" s="719"/>
      <c r="BQ175" s="719"/>
      <c r="BR175" s="719"/>
      <c r="BS175" s="719"/>
      <c r="BT175" s="719"/>
      <c r="BU175" s="719"/>
      <c r="BV175" s="719"/>
      <c r="BW175" s="719"/>
      <c r="BX175" s="719"/>
      <c r="BY175" s="719"/>
      <c r="BZ175" s="719"/>
      <c r="CA175" s="719"/>
      <c r="CB175" s="719"/>
      <c r="CC175" s="719"/>
      <c r="CD175" s="719"/>
      <c r="CE175" s="719"/>
      <c r="CF175" s="719"/>
      <c r="CG175" s="719"/>
      <c r="CH175" s="719"/>
      <c r="CI175" s="719"/>
      <c r="CJ175" s="719"/>
      <c r="CK175" s="719"/>
      <c r="CL175" s="719"/>
      <c r="CM175" s="719"/>
      <c r="CN175" s="719"/>
      <c r="CO175" s="719"/>
      <c r="CP175" s="719"/>
      <c r="CQ175" s="719"/>
      <c r="CR175" s="719"/>
      <c r="CS175" s="719"/>
      <c r="CT175" s="719"/>
      <c r="CU175" s="719"/>
      <c r="CV175" s="719"/>
      <c r="CW175" s="719"/>
      <c r="CX175" s="719"/>
      <c r="CY175" s="719"/>
      <c r="CZ175" s="719"/>
      <c r="DA175" s="719"/>
      <c r="DB175" s="719"/>
      <c r="DC175" s="719"/>
      <c r="DD175" s="719"/>
      <c r="DE175" s="719"/>
      <c r="DF175" s="719"/>
      <c r="DG175" s="719"/>
      <c r="DH175" s="719"/>
      <c r="DI175" s="719"/>
      <c r="DJ175" s="719"/>
      <c r="DK175" s="719"/>
      <c r="DL175" s="719"/>
      <c r="DM175" s="719"/>
      <c r="DN175" s="719"/>
      <c r="DO175" s="719"/>
      <c r="DP175" s="719"/>
      <c r="DQ175" s="719"/>
      <c r="DR175" s="719"/>
    </row>
    <row r="176" spans="1:122" s="275" customFormat="1">
      <c r="A176" s="719"/>
      <c r="B176" s="719"/>
      <c r="C176" s="719"/>
      <c r="D176" s="719"/>
      <c r="E176" s="719"/>
      <c r="F176" s="719"/>
      <c r="G176" s="719"/>
      <c r="H176" s="719"/>
      <c r="I176" s="719"/>
      <c r="J176" s="719"/>
      <c r="K176" s="719"/>
      <c r="L176" s="719"/>
      <c r="M176" s="719"/>
      <c r="N176" s="721"/>
      <c r="O176" s="721"/>
      <c r="P176" s="719"/>
      <c r="Q176" s="719"/>
      <c r="R176" s="719"/>
      <c r="S176" s="721"/>
      <c r="T176" s="721"/>
      <c r="U176" s="719"/>
      <c r="V176" s="719"/>
      <c r="W176" s="719"/>
      <c r="X176" s="721"/>
      <c r="Y176" s="721"/>
      <c r="Z176" s="719"/>
      <c r="AA176" s="719"/>
      <c r="AB176" s="719"/>
      <c r="AC176" s="721"/>
      <c r="AD176" s="721"/>
      <c r="AE176" s="719"/>
      <c r="AF176" s="719"/>
      <c r="AG176" s="719"/>
      <c r="AH176" s="721"/>
      <c r="AI176" s="721"/>
      <c r="AJ176" s="719"/>
      <c r="AK176" s="719"/>
      <c r="AL176" s="719"/>
      <c r="AM176" s="719"/>
      <c r="AN176" s="719"/>
      <c r="AO176" s="719"/>
      <c r="AP176" s="719"/>
      <c r="AQ176" s="719"/>
      <c r="AR176" s="719"/>
      <c r="AS176" s="719"/>
      <c r="AT176" s="719"/>
      <c r="AU176" s="719"/>
      <c r="AV176" s="719"/>
      <c r="AW176" s="719"/>
      <c r="AX176" s="719"/>
      <c r="AY176" s="719"/>
      <c r="AZ176" s="719"/>
      <c r="BA176" s="719"/>
      <c r="BB176" s="719"/>
      <c r="BC176" s="719"/>
      <c r="BD176" s="719"/>
      <c r="BE176" s="719"/>
      <c r="BF176" s="719"/>
      <c r="BG176" s="719"/>
      <c r="BH176" s="719"/>
      <c r="BI176" s="719"/>
      <c r="BJ176" s="719"/>
      <c r="BK176" s="719"/>
      <c r="BL176" s="719"/>
      <c r="BM176" s="719"/>
      <c r="BN176" s="719"/>
      <c r="BO176" s="719"/>
      <c r="BP176" s="719"/>
      <c r="BQ176" s="719"/>
      <c r="BR176" s="719"/>
      <c r="BS176" s="719"/>
      <c r="BT176" s="719"/>
      <c r="BU176" s="719"/>
      <c r="BV176" s="719"/>
      <c r="BW176" s="719"/>
      <c r="BX176" s="719"/>
      <c r="BY176" s="719"/>
      <c r="BZ176" s="719"/>
      <c r="CA176" s="719"/>
      <c r="CB176" s="719"/>
      <c r="CC176" s="719"/>
      <c r="CD176" s="719"/>
      <c r="CE176" s="719"/>
      <c r="CF176" s="719"/>
      <c r="CG176" s="719"/>
      <c r="CH176" s="719"/>
      <c r="CI176" s="719"/>
      <c r="CJ176" s="719"/>
      <c r="CK176" s="719"/>
      <c r="CL176" s="719"/>
      <c r="CM176" s="719"/>
      <c r="CN176" s="719"/>
      <c r="CO176" s="719"/>
      <c r="CP176" s="719"/>
      <c r="CQ176" s="719"/>
      <c r="CR176" s="719"/>
      <c r="CS176" s="719"/>
      <c r="CT176" s="719"/>
      <c r="CU176" s="719"/>
      <c r="CV176" s="719"/>
      <c r="CW176" s="719"/>
      <c r="CX176" s="719"/>
      <c r="CY176" s="719"/>
      <c r="CZ176" s="719"/>
      <c r="DA176" s="719"/>
      <c r="DB176" s="719"/>
      <c r="DC176" s="719"/>
      <c r="DD176" s="719"/>
      <c r="DE176" s="719"/>
      <c r="DF176" s="719"/>
      <c r="DG176" s="719"/>
      <c r="DH176" s="719"/>
      <c r="DI176" s="719"/>
      <c r="DJ176" s="719"/>
      <c r="DK176" s="719"/>
      <c r="DL176" s="719"/>
      <c r="DM176" s="719"/>
      <c r="DN176" s="719"/>
      <c r="DO176" s="719"/>
      <c r="DP176" s="719"/>
      <c r="DQ176" s="719"/>
      <c r="DR176" s="719"/>
    </row>
    <row r="177" spans="1:122" s="275" customFormat="1">
      <c r="A177" s="719"/>
      <c r="B177" s="719"/>
      <c r="C177" s="719"/>
      <c r="D177" s="719"/>
      <c r="E177" s="719"/>
      <c r="F177" s="719"/>
      <c r="G177" s="719"/>
      <c r="H177" s="719"/>
      <c r="I177" s="719"/>
      <c r="J177" s="719"/>
      <c r="K177" s="719"/>
      <c r="L177" s="719"/>
      <c r="M177" s="719"/>
      <c r="N177" s="721"/>
      <c r="O177" s="721"/>
      <c r="P177" s="719"/>
      <c r="Q177" s="719"/>
      <c r="R177" s="719"/>
      <c r="S177" s="721"/>
      <c r="T177" s="721"/>
      <c r="U177" s="719"/>
      <c r="V177" s="719"/>
      <c r="W177" s="719"/>
      <c r="X177" s="721"/>
      <c r="Y177" s="721"/>
      <c r="Z177" s="719"/>
      <c r="AA177" s="719"/>
      <c r="AB177" s="719"/>
      <c r="AC177" s="721"/>
      <c r="AD177" s="721"/>
      <c r="AE177" s="719"/>
      <c r="AF177" s="719"/>
      <c r="AG177" s="719"/>
      <c r="AH177" s="721"/>
      <c r="AI177" s="721"/>
      <c r="AJ177" s="719"/>
      <c r="AK177" s="719"/>
      <c r="AL177" s="719"/>
      <c r="AM177" s="719"/>
      <c r="AN177" s="719"/>
      <c r="AO177" s="719"/>
      <c r="AP177" s="719"/>
      <c r="AQ177" s="719"/>
      <c r="AR177" s="719"/>
      <c r="AS177" s="719"/>
      <c r="AT177" s="719"/>
      <c r="AU177" s="719"/>
      <c r="AV177" s="719"/>
      <c r="AW177" s="719"/>
      <c r="AX177" s="719"/>
      <c r="AY177" s="719"/>
      <c r="AZ177" s="719"/>
      <c r="BA177" s="719"/>
      <c r="BB177" s="719"/>
      <c r="BC177" s="719"/>
      <c r="BD177" s="719"/>
      <c r="BE177" s="719"/>
      <c r="BF177" s="719"/>
      <c r="BG177" s="719"/>
      <c r="BH177" s="719"/>
      <c r="BI177" s="719"/>
      <c r="BJ177" s="719"/>
      <c r="BK177" s="719"/>
      <c r="BL177" s="719"/>
      <c r="BM177" s="719"/>
      <c r="BN177" s="719"/>
      <c r="BO177" s="719"/>
      <c r="BP177" s="719"/>
      <c r="BQ177" s="719"/>
      <c r="BR177" s="719"/>
      <c r="BS177" s="719"/>
      <c r="BT177" s="719"/>
      <c r="BU177" s="719"/>
      <c r="BV177" s="719"/>
      <c r="BW177" s="719"/>
      <c r="BX177" s="719"/>
      <c r="BY177" s="719"/>
      <c r="BZ177" s="719"/>
      <c r="CA177" s="719"/>
      <c r="CB177" s="719"/>
      <c r="CC177" s="719"/>
      <c r="CD177" s="719"/>
      <c r="CE177" s="719"/>
      <c r="CF177" s="719"/>
      <c r="CG177" s="719"/>
      <c r="CH177" s="719"/>
      <c r="CI177" s="719"/>
      <c r="CJ177" s="719"/>
      <c r="CK177" s="719"/>
      <c r="CL177" s="719"/>
      <c r="CM177" s="719"/>
      <c r="CN177" s="719"/>
      <c r="CO177" s="719"/>
      <c r="CP177" s="719"/>
      <c r="CQ177" s="719"/>
      <c r="CR177" s="719"/>
      <c r="CS177" s="719"/>
      <c r="CT177" s="719"/>
      <c r="CU177" s="719"/>
      <c r="CV177" s="719"/>
      <c r="CW177" s="719"/>
      <c r="CX177" s="719"/>
      <c r="CY177" s="719"/>
      <c r="CZ177" s="719"/>
      <c r="DA177" s="719"/>
      <c r="DB177" s="719"/>
      <c r="DC177" s="719"/>
      <c r="DD177" s="719"/>
      <c r="DE177" s="719"/>
      <c r="DF177" s="719"/>
      <c r="DG177" s="719"/>
      <c r="DH177" s="719"/>
      <c r="DI177" s="719"/>
      <c r="DJ177" s="719"/>
      <c r="DK177" s="719"/>
      <c r="DL177" s="719"/>
      <c r="DM177" s="719"/>
      <c r="DN177" s="719"/>
      <c r="DO177" s="719"/>
      <c r="DP177" s="719"/>
      <c r="DQ177" s="719"/>
      <c r="DR177" s="719"/>
    </row>
    <row r="178" spans="1:122" s="275" customFormat="1">
      <c r="A178" s="719"/>
      <c r="B178" s="719"/>
      <c r="C178" s="719"/>
      <c r="D178" s="719"/>
      <c r="E178" s="719"/>
      <c r="F178" s="719"/>
      <c r="G178" s="719"/>
      <c r="H178" s="719"/>
      <c r="I178" s="719"/>
      <c r="J178" s="719"/>
      <c r="K178" s="719"/>
      <c r="L178" s="719"/>
      <c r="M178" s="719"/>
      <c r="N178" s="721"/>
      <c r="O178" s="721"/>
      <c r="P178" s="719"/>
      <c r="Q178" s="719"/>
      <c r="R178" s="719"/>
      <c r="S178" s="721"/>
      <c r="T178" s="721"/>
      <c r="U178" s="719"/>
      <c r="V178" s="719"/>
      <c r="W178" s="719"/>
      <c r="X178" s="721"/>
      <c r="Y178" s="721"/>
      <c r="Z178" s="719"/>
      <c r="AA178" s="719"/>
      <c r="AB178" s="719"/>
      <c r="AC178" s="721"/>
      <c r="AD178" s="721"/>
      <c r="AE178" s="719"/>
      <c r="AF178" s="719"/>
      <c r="AG178" s="719"/>
      <c r="AH178" s="721"/>
      <c r="AI178" s="721"/>
      <c r="AJ178" s="719"/>
      <c r="AK178" s="719"/>
      <c r="AL178" s="719"/>
      <c r="AM178" s="719"/>
      <c r="AN178" s="719"/>
      <c r="AO178" s="719"/>
      <c r="AP178" s="719"/>
      <c r="AQ178" s="719"/>
      <c r="AR178" s="719"/>
      <c r="AS178" s="719"/>
      <c r="AT178" s="719"/>
      <c r="AU178" s="719"/>
      <c r="AV178" s="719"/>
      <c r="AW178" s="719"/>
      <c r="AX178" s="719"/>
      <c r="AY178" s="719"/>
      <c r="AZ178" s="719"/>
      <c r="BA178" s="719"/>
      <c r="BB178" s="719"/>
      <c r="BC178" s="719"/>
      <c r="BD178" s="719"/>
      <c r="BE178" s="719"/>
      <c r="BF178" s="719"/>
      <c r="BG178" s="719"/>
      <c r="BH178" s="719"/>
      <c r="BI178" s="719"/>
      <c r="BJ178" s="719"/>
      <c r="BK178" s="719"/>
      <c r="BL178" s="719"/>
      <c r="BM178" s="719"/>
      <c r="BN178" s="719"/>
      <c r="BO178" s="719"/>
      <c r="BP178" s="719"/>
      <c r="BQ178" s="719"/>
      <c r="BR178" s="719"/>
      <c r="BS178" s="719"/>
      <c r="BT178" s="719"/>
      <c r="BU178" s="719"/>
      <c r="BV178" s="719"/>
      <c r="BW178" s="719"/>
      <c r="BX178" s="719"/>
      <c r="BY178" s="719"/>
      <c r="BZ178" s="719"/>
      <c r="CA178" s="719"/>
      <c r="CB178" s="719"/>
      <c r="CC178" s="719"/>
      <c r="CD178" s="719"/>
      <c r="CE178" s="719"/>
      <c r="CF178" s="719"/>
      <c r="CG178" s="719"/>
      <c r="CH178" s="719"/>
      <c r="CI178" s="719"/>
      <c r="CJ178" s="719"/>
      <c r="CK178" s="719"/>
      <c r="CL178" s="719"/>
      <c r="CM178" s="719"/>
      <c r="CN178" s="719"/>
      <c r="CO178" s="719"/>
      <c r="CP178" s="719"/>
      <c r="CQ178" s="719"/>
      <c r="CR178" s="719"/>
      <c r="CS178" s="719"/>
      <c r="CT178" s="719"/>
      <c r="CU178" s="719"/>
      <c r="CV178" s="719"/>
      <c r="CW178" s="719"/>
      <c r="CX178" s="719"/>
      <c r="CY178" s="719"/>
      <c r="CZ178" s="719"/>
      <c r="DA178" s="719"/>
      <c r="DB178" s="719"/>
      <c r="DC178" s="719"/>
      <c r="DD178" s="719"/>
      <c r="DE178" s="719"/>
      <c r="DF178" s="719"/>
      <c r="DG178" s="719"/>
      <c r="DH178" s="719"/>
      <c r="DI178" s="719"/>
      <c r="DJ178" s="719"/>
      <c r="DK178" s="719"/>
      <c r="DL178" s="719"/>
      <c r="DM178" s="719"/>
      <c r="DN178" s="719"/>
      <c r="DO178" s="719"/>
      <c r="DP178" s="719"/>
      <c r="DQ178" s="719"/>
      <c r="DR178" s="719"/>
    </row>
    <row r="179" spans="1:122" s="275" customFormat="1">
      <c r="A179" s="719"/>
      <c r="B179" s="719"/>
      <c r="C179" s="719"/>
      <c r="D179" s="719"/>
      <c r="E179" s="719"/>
      <c r="F179" s="719"/>
      <c r="G179" s="719"/>
      <c r="H179" s="719"/>
      <c r="I179" s="719"/>
      <c r="J179" s="719"/>
      <c r="K179" s="719"/>
      <c r="L179" s="719"/>
      <c r="M179" s="719"/>
      <c r="N179" s="721"/>
      <c r="O179" s="721"/>
      <c r="P179" s="719"/>
      <c r="Q179" s="719"/>
      <c r="R179" s="719"/>
      <c r="S179" s="721"/>
      <c r="T179" s="721"/>
      <c r="U179" s="719"/>
      <c r="V179" s="719"/>
      <c r="W179" s="719"/>
      <c r="X179" s="721"/>
      <c r="Y179" s="721"/>
      <c r="Z179" s="719"/>
      <c r="AA179" s="719"/>
      <c r="AB179" s="719"/>
      <c r="AC179" s="721"/>
      <c r="AD179" s="721"/>
      <c r="AE179" s="719"/>
      <c r="AF179" s="719"/>
      <c r="AG179" s="719"/>
      <c r="AH179" s="721"/>
      <c r="AI179" s="721"/>
      <c r="AJ179" s="719"/>
      <c r="AK179" s="719"/>
      <c r="AL179" s="719"/>
      <c r="AM179" s="719"/>
      <c r="AN179" s="719"/>
      <c r="AO179" s="719"/>
      <c r="AP179" s="719"/>
      <c r="AQ179" s="719"/>
      <c r="AR179" s="719"/>
      <c r="AS179" s="719"/>
      <c r="AT179" s="719"/>
      <c r="AU179" s="719"/>
      <c r="AV179" s="719"/>
      <c r="AW179" s="719"/>
      <c r="AX179" s="719"/>
      <c r="AY179" s="719"/>
      <c r="AZ179" s="719"/>
      <c r="BA179" s="719"/>
      <c r="BB179" s="719"/>
      <c r="BC179" s="719"/>
      <c r="BD179" s="719"/>
      <c r="BE179" s="719"/>
      <c r="BF179" s="719"/>
      <c r="BG179" s="719"/>
      <c r="BH179" s="719"/>
      <c r="BI179" s="719"/>
      <c r="BJ179" s="719"/>
      <c r="BK179" s="719"/>
      <c r="BL179" s="719"/>
      <c r="BM179" s="719"/>
      <c r="BN179" s="719"/>
      <c r="BO179" s="719"/>
      <c r="BP179" s="719"/>
      <c r="BQ179" s="719"/>
      <c r="BR179" s="719"/>
      <c r="BS179" s="719"/>
      <c r="BT179" s="719"/>
      <c r="BU179" s="719"/>
      <c r="BV179" s="719"/>
      <c r="BW179" s="719"/>
      <c r="BX179" s="719"/>
      <c r="BY179" s="719"/>
      <c r="BZ179" s="719"/>
      <c r="CA179" s="719"/>
      <c r="CB179" s="719"/>
      <c r="CC179" s="719"/>
      <c r="CD179" s="719"/>
      <c r="CE179" s="719"/>
      <c r="CF179" s="719"/>
      <c r="CG179" s="719"/>
      <c r="CH179" s="719"/>
      <c r="CI179" s="719"/>
      <c r="CJ179" s="719"/>
      <c r="CK179" s="719"/>
      <c r="CL179" s="719"/>
      <c r="CM179" s="719"/>
      <c r="CN179" s="719"/>
      <c r="CO179" s="719"/>
      <c r="CP179" s="719"/>
      <c r="CQ179" s="719"/>
      <c r="CR179" s="719"/>
      <c r="CS179" s="719"/>
      <c r="CT179" s="719"/>
      <c r="CU179" s="719"/>
      <c r="CV179" s="719"/>
      <c r="CW179" s="719"/>
      <c r="CX179" s="719"/>
      <c r="CY179" s="719"/>
      <c r="CZ179" s="719"/>
      <c r="DA179" s="719"/>
      <c r="DB179" s="719"/>
      <c r="DC179" s="719"/>
      <c r="DD179" s="719"/>
      <c r="DE179" s="719"/>
      <c r="DF179" s="719"/>
      <c r="DG179" s="719"/>
      <c r="DH179" s="719"/>
      <c r="DI179" s="719"/>
      <c r="DJ179" s="719"/>
      <c r="DK179" s="719"/>
      <c r="DL179" s="719"/>
      <c r="DM179" s="719"/>
      <c r="DN179" s="719"/>
      <c r="DO179" s="719"/>
      <c r="DP179" s="719"/>
      <c r="DQ179" s="719"/>
      <c r="DR179" s="719"/>
    </row>
    <row r="180" spans="1:122" s="275" customFormat="1">
      <c r="A180" s="719"/>
      <c r="B180" s="719"/>
      <c r="C180" s="719"/>
      <c r="D180" s="719"/>
      <c r="E180" s="719"/>
      <c r="F180" s="719"/>
      <c r="G180" s="719"/>
      <c r="H180" s="719"/>
      <c r="I180" s="719"/>
      <c r="J180" s="719"/>
      <c r="K180" s="719"/>
      <c r="L180" s="719"/>
      <c r="M180" s="719"/>
      <c r="N180" s="721"/>
      <c r="O180" s="721"/>
      <c r="P180" s="719"/>
      <c r="Q180" s="719"/>
      <c r="R180" s="719"/>
      <c r="S180" s="721"/>
      <c r="T180" s="721"/>
      <c r="U180" s="719"/>
      <c r="V180" s="719"/>
      <c r="W180" s="719"/>
      <c r="X180" s="721"/>
      <c r="Y180" s="721"/>
      <c r="Z180" s="719"/>
      <c r="AA180" s="719"/>
      <c r="AB180" s="719"/>
      <c r="AC180" s="721"/>
      <c r="AD180" s="721"/>
      <c r="AE180" s="719"/>
      <c r="AF180" s="719"/>
      <c r="AG180" s="719"/>
      <c r="AH180" s="721"/>
      <c r="AI180" s="721"/>
      <c r="AJ180" s="719"/>
      <c r="AK180" s="719"/>
      <c r="AL180" s="719"/>
      <c r="AM180" s="719"/>
      <c r="AN180" s="719"/>
      <c r="AO180" s="719"/>
      <c r="AP180" s="719"/>
      <c r="AQ180" s="719"/>
      <c r="AR180" s="719"/>
      <c r="AS180" s="719"/>
      <c r="AT180" s="719"/>
      <c r="AU180" s="719"/>
      <c r="AV180" s="719"/>
      <c r="AW180" s="719"/>
      <c r="AX180" s="719"/>
      <c r="AY180" s="719"/>
      <c r="AZ180" s="719"/>
      <c r="BA180" s="719"/>
      <c r="BB180" s="719"/>
      <c r="BC180" s="719"/>
      <c r="BD180" s="719"/>
      <c r="BE180" s="719"/>
      <c r="BF180" s="719"/>
      <c r="BG180" s="719"/>
      <c r="BH180" s="719"/>
      <c r="BI180" s="719"/>
      <c r="BJ180" s="719"/>
      <c r="BK180" s="719"/>
      <c r="BL180" s="719"/>
      <c r="BM180" s="719"/>
      <c r="BN180" s="719"/>
      <c r="BO180" s="719"/>
      <c r="BP180" s="719"/>
      <c r="BQ180" s="719"/>
      <c r="BR180" s="719"/>
      <c r="BS180" s="719"/>
      <c r="BT180" s="719"/>
      <c r="BU180" s="719"/>
      <c r="BV180" s="719"/>
      <c r="BW180" s="719"/>
      <c r="BX180" s="719"/>
      <c r="BY180" s="719"/>
      <c r="BZ180" s="719"/>
      <c r="CA180" s="719"/>
      <c r="CB180" s="719"/>
      <c r="CC180" s="719"/>
      <c r="CD180" s="719"/>
      <c r="CE180" s="719"/>
      <c r="CF180" s="719"/>
      <c r="CG180" s="719"/>
      <c r="CH180" s="719"/>
      <c r="CI180" s="719"/>
      <c r="CJ180" s="719"/>
      <c r="CK180" s="719"/>
      <c r="CL180" s="719"/>
      <c r="CM180" s="719"/>
      <c r="CN180" s="719"/>
      <c r="CO180" s="719"/>
      <c r="CP180" s="719"/>
      <c r="CQ180" s="719"/>
      <c r="CR180" s="719"/>
      <c r="CS180" s="719"/>
      <c r="CT180" s="719"/>
      <c r="CU180" s="719"/>
      <c r="CV180" s="719"/>
      <c r="CW180" s="719"/>
      <c r="CX180" s="719"/>
      <c r="CY180" s="719"/>
      <c r="CZ180" s="719"/>
      <c r="DA180" s="719"/>
      <c r="DB180" s="719"/>
      <c r="DC180" s="719"/>
      <c r="DD180" s="719"/>
      <c r="DE180" s="719"/>
      <c r="DF180" s="719"/>
      <c r="DG180" s="719"/>
      <c r="DH180" s="719"/>
      <c r="DI180" s="719"/>
      <c r="DJ180" s="719"/>
      <c r="DK180" s="719"/>
      <c r="DL180" s="719"/>
      <c r="DM180" s="719"/>
      <c r="DN180" s="719"/>
      <c r="DO180" s="719"/>
      <c r="DP180" s="719"/>
      <c r="DQ180" s="719"/>
      <c r="DR180" s="719"/>
    </row>
    <row r="181" spans="1:122" s="275" customFormat="1">
      <c r="A181" s="719"/>
      <c r="B181" s="719"/>
      <c r="C181" s="719"/>
      <c r="D181" s="719"/>
      <c r="E181" s="719"/>
      <c r="F181" s="719"/>
      <c r="G181" s="719"/>
      <c r="H181" s="719"/>
      <c r="I181" s="719"/>
      <c r="J181" s="719"/>
      <c r="K181" s="719"/>
      <c r="L181" s="719"/>
      <c r="M181" s="719"/>
      <c r="N181" s="721"/>
      <c r="O181" s="721"/>
      <c r="P181" s="719"/>
      <c r="Q181" s="719"/>
      <c r="R181" s="719"/>
      <c r="S181" s="721"/>
      <c r="T181" s="721"/>
      <c r="U181" s="719"/>
      <c r="V181" s="719"/>
      <c r="W181" s="719"/>
      <c r="X181" s="721"/>
      <c r="Y181" s="721"/>
      <c r="Z181" s="719"/>
      <c r="AA181" s="719"/>
      <c r="AB181" s="719"/>
      <c r="AC181" s="721"/>
      <c r="AD181" s="721"/>
      <c r="AE181" s="719"/>
      <c r="AF181" s="719"/>
      <c r="AG181" s="719"/>
      <c r="AH181" s="721"/>
      <c r="AI181" s="721"/>
      <c r="AJ181" s="719"/>
      <c r="AK181" s="719"/>
      <c r="AL181" s="719"/>
      <c r="AM181" s="719"/>
      <c r="AN181" s="719"/>
      <c r="AO181" s="719"/>
      <c r="AP181" s="719"/>
      <c r="AQ181" s="719"/>
      <c r="AR181" s="719"/>
      <c r="AS181" s="719"/>
      <c r="AT181" s="719"/>
      <c r="AU181" s="719"/>
      <c r="AV181" s="719"/>
      <c r="AW181" s="719"/>
      <c r="AX181" s="719"/>
      <c r="AY181" s="719"/>
      <c r="AZ181" s="719"/>
      <c r="BA181" s="719"/>
      <c r="BB181" s="719"/>
      <c r="BC181" s="719"/>
      <c r="BD181" s="719"/>
      <c r="BE181" s="719"/>
      <c r="BF181" s="719"/>
      <c r="BG181" s="719"/>
      <c r="BH181" s="719"/>
      <c r="BI181" s="719"/>
      <c r="BJ181" s="719"/>
      <c r="BK181" s="719"/>
      <c r="BL181" s="719"/>
      <c r="BM181" s="719"/>
      <c r="BN181" s="719"/>
      <c r="BO181" s="719"/>
      <c r="BP181" s="719"/>
      <c r="BQ181" s="719"/>
      <c r="BR181" s="719"/>
      <c r="BS181" s="719"/>
      <c r="BT181" s="719"/>
      <c r="BU181" s="719"/>
      <c r="BV181" s="719"/>
      <c r="BW181" s="719"/>
      <c r="BX181" s="719"/>
      <c r="BY181" s="719"/>
      <c r="BZ181" s="719"/>
      <c r="CA181" s="719"/>
      <c r="CB181" s="719"/>
      <c r="CC181" s="719"/>
      <c r="CD181" s="719"/>
      <c r="CE181" s="719"/>
      <c r="CF181" s="719"/>
      <c r="CG181" s="719"/>
      <c r="CH181" s="719"/>
      <c r="CI181" s="719"/>
      <c r="CJ181" s="719"/>
      <c r="CK181" s="719"/>
      <c r="CL181" s="719"/>
      <c r="CM181" s="719"/>
      <c r="CN181" s="719"/>
      <c r="CO181" s="719"/>
      <c r="CP181" s="719"/>
      <c r="CQ181" s="719"/>
      <c r="CR181" s="719"/>
      <c r="CS181" s="719"/>
      <c r="CT181" s="719"/>
      <c r="CU181" s="719"/>
      <c r="CV181" s="719"/>
      <c r="CW181" s="719"/>
      <c r="CX181" s="719"/>
      <c r="CY181" s="719"/>
      <c r="CZ181" s="719"/>
      <c r="DA181" s="719"/>
      <c r="DB181" s="719"/>
      <c r="DC181" s="719"/>
      <c r="DD181" s="719"/>
      <c r="DE181" s="719"/>
      <c r="DF181" s="719"/>
      <c r="DG181" s="719"/>
      <c r="DH181" s="719"/>
      <c r="DI181" s="719"/>
      <c r="DJ181" s="719"/>
      <c r="DK181" s="719"/>
      <c r="DL181" s="719"/>
      <c r="DM181" s="719"/>
      <c r="DN181" s="719"/>
      <c r="DO181" s="719"/>
      <c r="DP181" s="719"/>
      <c r="DQ181" s="719"/>
      <c r="DR181" s="719"/>
    </row>
    <row r="182" spans="1:122" s="275" customFormat="1">
      <c r="A182" s="719"/>
      <c r="B182" s="719"/>
      <c r="C182" s="719"/>
      <c r="D182" s="719"/>
      <c r="E182" s="719"/>
      <c r="F182" s="719"/>
      <c r="G182" s="719"/>
      <c r="H182" s="719"/>
      <c r="I182" s="719"/>
      <c r="J182" s="719"/>
      <c r="K182" s="719"/>
      <c r="L182" s="719"/>
      <c r="M182" s="719"/>
      <c r="N182" s="721"/>
      <c r="O182" s="721"/>
      <c r="P182" s="719"/>
      <c r="Q182" s="719"/>
      <c r="R182" s="719"/>
      <c r="S182" s="721"/>
      <c r="T182" s="721"/>
      <c r="U182" s="719"/>
      <c r="V182" s="719"/>
      <c r="W182" s="719"/>
      <c r="X182" s="721"/>
      <c r="Y182" s="721"/>
      <c r="Z182" s="719"/>
      <c r="AA182" s="719"/>
      <c r="AB182" s="719"/>
      <c r="AC182" s="721"/>
      <c r="AD182" s="721"/>
      <c r="AE182" s="719"/>
      <c r="AF182" s="719"/>
      <c r="AG182" s="719"/>
      <c r="AH182" s="721"/>
      <c r="AI182" s="721"/>
      <c r="AJ182" s="719"/>
      <c r="AK182" s="719"/>
      <c r="AL182" s="719"/>
      <c r="AM182" s="719"/>
      <c r="AN182" s="719"/>
      <c r="AO182" s="719"/>
      <c r="AP182" s="719"/>
      <c r="AQ182" s="719"/>
      <c r="AR182" s="719"/>
      <c r="AS182" s="719"/>
      <c r="AT182" s="719"/>
      <c r="AU182" s="719"/>
      <c r="AV182" s="719"/>
      <c r="AW182" s="719"/>
      <c r="AX182" s="719"/>
      <c r="AY182" s="719"/>
      <c r="AZ182" s="719"/>
      <c r="BA182" s="719"/>
      <c r="BB182" s="719"/>
      <c r="BC182" s="719"/>
      <c r="BD182" s="719"/>
      <c r="BE182" s="719"/>
      <c r="BF182" s="719"/>
      <c r="BG182" s="719"/>
      <c r="BH182" s="719"/>
      <c r="BI182" s="719"/>
      <c r="BJ182" s="719"/>
      <c r="BK182" s="719"/>
      <c r="BL182" s="719"/>
      <c r="BM182" s="719"/>
      <c r="BN182" s="719"/>
      <c r="BO182" s="719"/>
      <c r="BP182" s="719"/>
      <c r="BQ182" s="719"/>
      <c r="BR182" s="719"/>
      <c r="BS182" s="719"/>
      <c r="BT182" s="719"/>
      <c r="BU182" s="719"/>
      <c r="BV182" s="719"/>
      <c r="BW182" s="719"/>
      <c r="BX182" s="719"/>
      <c r="BY182" s="719"/>
      <c r="BZ182" s="719"/>
      <c r="CA182" s="719"/>
      <c r="CB182" s="719"/>
      <c r="CC182" s="719"/>
      <c r="CD182" s="719"/>
      <c r="CE182" s="719"/>
      <c r="CF182" s="719"/>
      <c r="CG182" s="719"/>
      <c r="CH182" s="719"/>
      <c r="CI182" s="719"/>
      <c r="CJ182" s="719"/>
      <c r="CK182" s="719"/>
      <c r="CL182" s="719"/>
      <c r="CM182" s="719"/>
      <c r="CN182" s="719"/>
      <c r="CO182" s="719"/>
      <c r="CP182" s="719"/>
      <c r="CQ182" s="719"/>
      <c r="CR182" s="719"/>
      <c r="CS182" s="719"/>
      <c r="CT182" s="719"/>
      <c r="CU182" s="719"/>
      <c r="CV182" s="719"/>
      <c r="CW182" s="719"/>
      <c r="CX182" s="719"/>
      <c r="CY182" s="719"/>
      <c r="CZ182" s="719"/>
      <c r="DA182" s="719"/>
      <c r="DB182" s="719"/>
      <c r="DC182" s="719"/>
      <c r="DD182" s="719"/>
      <c r="DE182" s="719"/>
      <c r="DF182" s="719"/>
      <c r="DG182" s="719"/>
      <c r="DH182" s="719"/>
      <c r="DI182" s="719"/>
      <c r="DJ182" s="719"/>
      <c r="DK182" s="719"/>
      <c r="DL182" s="719"/>
      <c r="DM182" s="719"/>
      <c r="DN182" s="719"/>
      <c r="DO182" s="719"/>
      <c r="DP182" s="719"/>
      <c r="DQ182" s="719"/>
      <c r="DR182" s="719"/>
    </row>
    <row r="183" spans="1:122" s="275" customFormat="1">
      <c r="A183" s="719"/>
      <c r="B183" s="719"/>
      <c r="C183" s="719"/>
      <c r="D183" s="719"/>
      <c r="E183" s="719"/>
      <c r="F183" s="719"/>
      <c r="G183" s="719"/>
      <c r="H183" s="719"/>
      <c r="I183" s="719"/>
      <c r="J183" s="719"/>
      <c r="K183" s="719"/>
      <c r="L183" s="719"/>
      <c r="M183" s="719"/>
      <c r="N183" s="721"/>
      <c r="O183" s="721"/>
      <c r="P183" s="719"/>
      <c r="Q183" s="719"/>
      <c r="R183" s="719"/>
      <c r="S183" s="721"/>
      <c r="T183" s="721"/>
      <c r="U183" s="719"/>
      <c r="V183" s="719"/>
      <c r="W183" s="719"/>
      <c r="X183" s="721"/>
      <c r="Y183" s="721"/>
      <c r="Z183" s="719"/>
      <c r="AA183" s="719"/>
      <c r="AB183" s="719"/>
      <c r="AC183" s="721"/>
      <c r="AD183" s="721"/>
      <c r="AE183" s="719"/>
      <c r="AF183" s="719"/>
      <c r="AG183" s="719"/>
      <c r="AH183" s="721"/>
      <c r="AI183" s="721"/>
      <c r="AJ183" s="719"/>
      <c r="AK183" s="719"/>
      <c r="AL183" s="719"/>
      <c r="AM183" s="719"/>
      <c r="AN183" s="719"/>
      <c r="AO183" s="719"/>
      <c r="AP183" s="719"/>
      <c r="AQ183" s="719"/>
      <c r="AR183" s="719"/>
      <c r="AS183" s="719"/>
      <c r="AT183" s="719"/>
      <c r="AU183" s="719"/>
      <c r="AV183" s="719"/>
      <c r="AW183" s="719"/>
      <c r="AX183" s="719"/>
      <c r="AY183" s="719"/>
      <c r="AZ183" s="719"/>
      <c r="BA183" s="719"/>
      <c r="BB183" s="719"/>
      <c r="BC183" s="719"/>
      <c r="BD183" s="719"/>
      <c r="BE183" s="719"/>
      <c r="BF183" s="719"/>
      <c r="BG183" s="719"/>
      <c r="BH183" s="719"/>
      <c r="BI183" s="719"/>
      <c r="BJ183" s="719"/>
      <c r="BK183" s="719"/>
      <c r="BL183" s="719"/>
      <c r="BM183" s="719"/>
      <c r="BN183" s="719"/>
      <c r="BO183" s="719"/>
      <c r="BP183" s="719"/>
      <c r="BQ183" s="719"/>
      <c r="BR183" s="719"/>
      <c r="BS183" s="719"/>
      <c r="BT183" s="719"/>
      <c r="BU183" s="719"/>
      <c r="BV183" s="719"/>
      <c r="BW183" s="719"/>
      <c r="BX183" s="719"/>
      <c r="BY183" s="719"/>
      <c r="BZ183" s="719"/>
      <c r="CA183" s="719"/>
      <c r="CB183" s="719"/>
      <c r="CC183" s="719"/>
      <c r="CD183" s="719"/>
      <c r="CE183" s="719"/>
      <c r="CF183" s="719"/>
      <c r="CG183" s="719"/>
      <c r="CH183" s="719"/>
      <c r="CI183" s="719"/>
      <c r="CJ183" s="719"/>
      <c r="CK183" s="719"/>
      <c r="CL183" s="719"/>
      <c r="CM183" s="719"/>
      <c r="CN183" s="719"/>
      <c r="CO183" s="719"/>
      <c r="CP183" s="719"/>
      <c r="CQ183" s="719"/>
      <c r="CR183" s="719"/>
      <c r="CS183" s="719"/>
      <c r="CT183" s="719"/>
      <c r="CU183" s="719"/>
      <c r="CV183" s="719"/>
      <c r="CW183" s="719"/>
      <c r="CX183" s="719"/>
      <c r="CY183" s="719"/>
      <c r="CZ183" s="719"/>
      <c r="DA183" s="719"/>
      <c r="DB183" s="719"/>
      <c r="DC183" s="719"/>
      <c r="DD183" s="719"/>
      <c r="DE183" s="719"/>
      <c r="DF183" s="719"/>
      <c r="DG183" s="719"/>
      <c r="DH183" s="719"/>
      <c r="DI183" s="719"/>
      <c r="DJ183" s="719"/>
      <c r="DK183" s="719"/>
      <c r="DL183" s="719"/>
      <c r="DM183" s="719"/>
      <c r="DN183" s="719"/>
      <c r="DO183" s="719"/>
      <c r="DP183" s="719"/>
      <c r="DQ183" s="719"/>
      <c r="DR183" s="719"/>
    </row>
    <row r="184" spans="1:122" s="275" customFormat="1">
      <c r="A184" s="719"/>
      <c r="B184" s="719"/>
      <c r="C184" s="719"/>
      <c r="D184" s="719"/>
      <c r="E184" s="719"/>
      <c r="F184" s="719"/>
      <c r="G184" s="719"/>
      <c r="H184" s="719"/>
      <c r="I184" s="719"/>
      <c r="J184" s="719"/>
      <c r="K184" s="719"/>
      <c r="L184" s="719"/>
      <c r="M184" s="719"/>
      <c r="N184" s="721"/>
      <c r="O184" s="721"/>
      <c r="P184" s="719"/>
      <c r="Q184" s="719"/>
      <c r="R184" s="719"/>
      <c r="S184" s="721"/>
      <c r="T184" s="721"/>
      <c r="U184" s="719"/>
      <c r="V184" s="719"/>
      <c r="W184" s="719"/>
      <c r="X184" s="721"/>
      <c r="Y184" s="721"/>
      <c r="Z184" s="719"/>
      <c r="AA184" s="719"/>
      <c r="AB184" s="719"/>
      <c r="AC184" s="721"/>
      <c r="AD184" s="721"/>
      <c r="AE184" s="719"/>
      <c r="AF184" s="719"/>
      <c r="AG184" s="719"/>
      <c r="AH184" s="721"/>
      <c r="AI184" s="721"/>
      <c r="AJ184" s="719"/>
      <c r="AK184" s="719"/>
      <c r="AL184" s="719"/>
      <c r="AM184" s="719"/>
      <c r="AN184" s="719"/>
      <c r="AO184" s="719"/>
      <c r="AP184" s="719"/>
      <c r="AQ184" s="719"/>
      <c r="AR184" s="719"/>
      <c r="AS184" s="719"/>
      <c r="AT184" s="719"/>
      <c r="AU184" s="719"/>
      <c r="AV184" s="719"/>
      <c r="AW184" s="719"/>
      <c r="AX184" s="719"/>
      <c r="AY184" s="719"/>
      <c r="AZ184" s="719"/>
      <c r="BA184" s="719"/>
      <c r="BB184" s="719"/>
      <c r="BC184" s="719"/>
      <c r="BD184" s="719"/>
      <c r="BE184" s="719"/>
      <c r="BF184" s="719"/>
      <c r="BG184" s="719"/>
      <c r="BH184" s="719"/>
      <c r="BI184" s="719"/>
      <c r="BJ184" s="719"/>
      <c r="BK184" s="719"/>
      <c r="BL184" s="719"/>
      <c r="BM184" s="719"/>
      <c r="BN184" s="719"/>
      <c r="BO184" s="719"/>
      <c r="BP184" s="719"/>
      <c r="BQ184" s="719"/>
      <c r="BR184" s="719"/>
      <c r="BS184" s="719"/>
      <c r="BT184" s="719"/>
      <c r="BU184" s="719"/>
      <c r="BV184" s="719"/>
      <c r="BW184" s="719"/>
      <c r="BX184" s="719"/>
      <c r="BY184" s="719"/>
      <c r="BZ184" s="719"/>
      <c r="CA184" s="719"/>
      <c r="CB184" s="719"/>
      <c r="CC184" s="719"/>
      <c r="CD184" s="719"/>
      <c r="CE184" s="719"/>
      <c r="CF184" s="719"/>
      <c r="CG184" s="719"/>
      <c r="CH184" s="719"/>
      <c r="CI184" s="719"/>
      <c r="CJ184" s="719"/>
      <c r="CK184" s="719"/>
      <c r="CL184" s="719"/>
      <c r="CM184" s="719"/>
      <c r="CN184" s="719"/>
      <c r="CO184" s="719"/>
      <c r="CP184" s="719"/>
      <c r="CQ184" s="719"/>
      <c r="CR184" s="719"/>
      <c r="CS184" s="719"/>
      <c r="CT184" s="719"/>
      <c r="CU184" s="719"/>
      <c r="CV184" s="719"/>
      <c r="CW184" s="719"/>
      <c r="CX184" s="719"/>
      <c r="CY184" s="719"/>
      <c r="CZ184" s="719"/>
      <c r="DA184" s="719"/>
      <c r="DB184" s="719"/>
      <c r="DC184" s="719"/>
      <c r="DD184" s="719"/>
      <c r="DE184" s="719"/>
      <c r="DF184" s="719"/>
      <c r="DG184" s="719"/>
      <c r="DH184" s="719"/>
      <c r="DI184" s="719"/>
      <c r="DJ184" s="719"/>
      <c r="DK184" s="719"/>
      <c r="DL184" s="719"/>
      <c r="DM184" s="719"/>
      <c r="DN184" s="719"/>
      <c r="DO184" s="719"/>
      <c r="DP184" s="719"/>
      <c r="DQ184" s="719"/>
      <c r="DR184" s="719"/>
    </row>
    <row r="185" spans="1:122" s="275" customFormat="1">
      <c r="A185" s="719"/>
      <c r="B185" s="719"/>
      <c r="C185" s="719"/>
      <c r="D185" s="719"/>
      <c r="E185" s="719"/>
      <c r="F185" s="719"/>
      <c r="G185" s="719"/>
      <c r="H185" s="719"/>
      <c r="I185" s="719"/>
      <c r="J185" s="719"/>
      <c r="K185" s="719"/>
      <c r="L185" s="719"/>
      <c r="M185" s="719"/>
      <c r="N185" s="721"/>
      <c r="O185" s="721"/>
      <c r="P185" s="719"/>
      <c r="Q185" s="719"/>
      <c r="R185" s="719"/>
      <c r="S185" s="721"/>
      <c r="T185" s="721"/>
      <c r="U185" s="719"/>
      <c r="V185" s="719"/>
      <c r="W185" s="719"/>
      <c r="X185" s="721"/>
      <c r="Y185" s="721"/>
      <c r="Z185" s="719"/>
      <c r="AA185" s="719"/>
      <c r="AB185" s="719"/>
      <c r="AC185" s="721"/>
      <c r="AD185" s="721"/>
      <c r="AE185" s="719"/>
      <c r="AF185" s="719"/>
      <c r="AG185" s="719"/>
      <c r="AH185" s="721"/>
      <c r="AI185" s="721"/>
      <c r="AJ185" s="719"/>
      <c r="AK185" s="719"/>
      <c r="AL185" s="719"/>
      <c r="AM185" s="719"/>
      <c r="AN185" s="719"/>
      <c r="AO185" s="719"/>
      <c r="AP185" s="719"/>
      <c r="AQ185" s="719"/>
      <c r="AR185" s="719"/>
      <c r="AS185" s="719"/>
      <c r="AT185" s="719"/>
      <c r="AU185" s="719"/>
      <c r="AV185" s="719"/>
      <c r="AW185" s="719"/>
      <c r="AX185" s="719"/>
      <c r="AY185" s="719"/>
      <c r="AZ185" s="719"/>
      <c r="BA185" s="719"/>
      <c r="BB185" s="719"/>
      <c r="BC185" s="719"/>
      <c r="BD185" s="719"/>
      <c r="BE185" s="719"/>
      <c r="BF185" s="719"/>
      <c r="BG185" s="719"/>
      <c r="BH185" s="719"/>
      <c r="BI185" s="719"/>
      <c r="BJ185" s="719"/>
      <c r="BK185" s="719"/>
      <c r="BL185" s="719"/>
      <c r="BM185" s="719"/>
      <c r="BN185" s="719"/>
      <c r="BO185" s="719"/>
      <c r="BP185" s="719"/>
      <c r="BQ185" s="719"/>
      <c r="BR185" s="719"/>
      <c r="BS185" s="719"/>
      <c r="BT185" s="719"/>
      <c r="BU185" s="719"/>
      <c r="BV185" s="719"/>
      <c r="BW185" s="719"/>
      <c r="BX185" s="719"/>
      <c r="BY185" s="719"/>
      <c r="BZ185" s="719"/>
      <c r="CA185" s="719"/>
      <c r="CB185" s="719"/>
      <c r="CC185" s="719"/>
      <c r="CD185" s="719"/>
      <c r="CE185" s="719"/>
      <c r="CF185" s="719"/>
      <c r="CG185" s="719"/>
      <c r="CH185" s="719"/>
      <c r="CI185" s="719"/>
      <c r="CJ185" s="719"/>
      <c r="CK185" s="719"/>
      <c r="CL185" s="719"/>
      <c r="CM185" s="719"/>
      <c r="CN185" s="719"/>
      <c r="CO185" s="719"/>
      <c r="CP185" s="719"/>
      <c r="CQ185" s="719"/>
      <c r="CR185" s="719"/>
      <c r="CS185" s="719"/>
      <c r="CT185" s="719"/>
      <c r="CU185" s="719"/>
      <c r="CV185" s="719"/>
      <c r="CW185" s="719"/>
      <c r="CX185" s="719"/>
      <c r="CY185" s="719"/>
      <c r="CZ185" s="719"/>
      <c r="DA185" s="719"/>
      <c r="DB185" s="719"/>
      <c r="DC185" s="719"/>
      <c r="DD185" s="719"/>
      <c r="DE185" s="719"/>
      <c r="DF185" s="719"/>
      <c r="DG185" s="719"/>
      <c r="DH185" s="719"/>
      <c r="DI185" s="719"/>
      <c r="DJ185" s="719"/>
      <c r="DK185" s="719"/>
      <c r="DL185" s="719"/>
      <c r="DM185" s="719"/>
      <c r="DN185" s="719"/>
      <c r="DO185" s="719"/>
      <c r="DP185" s="719"/>
      <c r="DQ185" s="719"/>
      <c r="DR185" s="719"/>
    </row>
    <row r="186" spans="1:122" s="275" customFormat="1">
      <c r="A186" s="719"/>
      <c r="B186" s="719"/>
      <c r="C186" s="719"/>
      <c r="D186" s="719"/>
      <c r="E186" s="719"/>
      <c r="F186" s="719"/>
      <c r="G186" s="719"/>
      <c r="H186" s="719"/>
      <c r="I186" s="719"/>
      <c r="J186" s="719"/>
      <c r="K186" s="719"/>
      <c r="L186" s="719"/>
      <c r="M186" s="719"/>
      <c r="N186" s="721"/>
      <c r="O186" s="721"/>
      <c r="P186" s="719"/>
      <c r="Q186" s="719"/>
      <c r="R186" s="719"/>
      <c r="S186" s="721"/>
      <c r="T186" s="721"/>
      <c r="U186" s="719"/>
      <c r="V186" s="719"/>
      <c r="W186" s="719"/>
      <c r="X186" s="721"/>
      <c r="Y186" s="721"/>
      <c r="Z186" s="719"/>
      <c r="AA186" s="719"/>
      <c r="AB186" s="719"/>
      <c r="AC186" s="721"/>
      <c r="AD186" s="721"/>
      <c r="AE186" s="719"/>
      <c r="AF186" s="719"/>
      <c r="AG186" s="719"/>
      <c r="AH186" s="721"/>
      <c r="AI186" s="721"/>
      <c r="AJ186" s="719"/>
      <c r="AK186" s="719"/>
      <c r="AL186" s="719"/>
      <c r="AM186" s="719"/>
      <c r="AN186" s="719"/>
      <c r="AO186" s="719"/>
      <c r="AP186" s="719"/>
      <c r="AQ186" s="719"/>
      <c r="AR186" s="719"/>
      <c r="AS186" s="719"/>
      <c r="AT186" s="719"/>
      <c r="AU186" s="719"/>
      <c r="AV186" s="719"/>
      <c r="AW186" s="719"/>
      <c r="AX186" s="719"/>
      <c r="AY186" s="719"/>
      <c r="AZ186" s="719"/>
      <c r="BA186" s="719"/>
      <c r="BB186" s="719"/>
      <c r="BC186" s="719"/>
      <c r="BD186" s="719"/>
      <c r="BE186" s="719"/>
      <c r="BF186" s="719"/>
      <c r="BG186" s="719"/>
      <c r="BH186" s="719"/>
      <c r="BI186" s="719"/>
      <c r="BJ186" s="719"/>
      <c r="BK186" s="719"/>
      <c r="BL186" s="719"/>
      <c r="BM186" s="719"/>
      <c r="BN186" s="719"/>
      <c r="BO186" s="719"/>
      <c r="BP186" s="719"/>
      <c r="BQ186" s="719"/>
      <c r="BR186" s="719"/>
      <c r="BS186" s="719"/>
      <c r="BT186" s="719"/>
      <c r="BU186" s="719"/>
      <c r="BV186" s="719"/>
      <c r="BW186" s="719"/>
      <c r="BX186" s="719"/>
      <c r="BY186" s="719"/>
      <c r="BZ186" s="719"/>
      <c r="CA186" s="719"/>
      <c r="CB186" s="719"/>
      <c r="CC186" s="719"/>
      <c r="CD186" s="719"/>
      <c r="CE186" s="719"/>
      <c r="CF186" s="719"/>
      <c r="CG186" s="719"/>
      <c r="CH186" s="719"/>
      <c r="CI186" s="719"/>
      <c r="CJ186" s="719"/>
      <c r="CK186" s="719"/>
      <c r="CL186" s="719"/>
      <c r="CM186" s="719"/>
      <c r="CN186" s="719"/>
      <c r="CO186" s="719"/>
      <c r="CP186" s="719"/>
      <c r="CQ186" s="719"/>
      <c r="CR186" s="719"/>
      <c r="CS186" s="719"/>
      <c r="CT186" s="719"/>
      <c r="CU186" s="719"/>
      <c r="CV186" s="719"/>
      <c r="CW186" s="719"/>
      <c r="CX186" s="719"/>
      <c r="CY186" s="719"/>
      <c r="CZ186" s="719"/>
      <c r="DA186" s="719"/>
      <c r="DB186" s="719"/>
      <c r="DC186" s="719"/>
      <c r="DD186" s="719"/>
      <c r="DE186" s="719"/>
      <c r="DF186" s="719"/>
      <c r="DG186" s="719"/>
      <c r="DH186" s="719"/>
      <c r="DI186" s="719"/>
      <c r="DJ186" s="719"/>
      <c r="DK186" s="719"/>
      <c r="DL186" s="719"/>
      <c r="DM186" s="719"/>
      <c r="DN186" s="719"/>
      <c r="DO186" s="719"/>
      <c r="DP186" s="719"/>
      <c r="DQ186" s="719"/>
      <c r="DR186" s="719"/>
    </row>
    <row r="187" spans="1:122" s="275" customFormat="1">
      <c r="A187" s="719"/>
      <c r="B187" s="719"/>
      <c r="C187" s="719"/>
      <c r="D187" s="719"/>
      <c r="E187" s="719"/>
      <c r="F187" s="719"/>
      <c r="G187" s="719"/>
      <c r="H187" s="719"/>
      <c r="I187" s="719"/>
      <c r="J187" s="719"/>
      <c r="K187" s="719"/>
      <c r="L187" s="719"/>
      <c r="M187" s="719"/>
      <c r="N187" s="721"/>
      <c r="O187" s="721"/>
      <c r="P187" s="719"/>
      <c r="Q187" s="719"/>
      <c r="R187" s="719"/>
      <c r="S187" s="721"/>
      <c r="T187" s="721"/>
      <c r="U187" s="719"/>
      <c r="V187" s="719"/>
      <c r="W187" s="719"/>
      <c r="X187" s="721"/>
      <c r="Y187" s="721"/>
      <c r="Z187" s="719"/>
      <c r="AA187" s="719"/>
      <c r="AB187" s="719"/>
      <c r="AC187" s="721"/>
      <c r="AD187" s="721"/>
      <c r="AE187" s="719"/>
      <c r="AF187" s="719"/>
      <c r="AG187" s="719"/>
      <c r="AH187" s="721"/>
      <c r="AI187" s="721"/>
      <c r="AJ187" s="719"/>
      <c r="AK187" s="719"/>
      <c r="AL187" s="719"/>
      <c r="AM187" s="719"/>
      <c r="AN187" s="719"/>
      <c r="AO187" s="719"/>
      <c r="AP187" s="719"/>
      <c r="AQ187" s="719"/>
      <c r="AR187" s="719"/>
      <c r="AS187" s="719"/>
      <c r="AT187" s="719"/>
      <c r="AU187" s="719"/>
      <c r="AV187" s="719"/>
      <c r="AW187" s="719"/>
      <c r="AX187" s="719"/>
      <c r="AY187" s="719"/>
      <c r="AZ187" s="719"/>
      <c r="BA187" s="719"/>
      <c r="BB187" s="719"/>
      <c r="BC187" s="719"/>
      <c r="BD187" s="719"/>
      <c r="BE187" s="719"/>
      <c r="BF187" s="719"/>
      <c r="BG187" s="719"/>
      <c r="BH187" s="719"/>
      <c r="BI187" s="719"/>
      <c r="BJ187" s="719"/>
      <c r="BK187" s="719"/>
      <c r="BL187" s="719"/>
      <c r="BM187" s="719"/>
      <c r="BN187" s="719"/>
      <c r="BO187" s="719"/>
      <c r="BP187" s="719"/>
      <c r="BQ187" s="719"/>
      <c r="BR187" s="719"/>
      <c r="BS187" s="719"/>
      <c r="BT187" s="719"/>
      <c r="BU187" s="719"/>
      <c r="BV187" s="719"/>
      <c r="BW187" s="719"/>
      <c r="BX187" s="719"/>
      <c r="BY187" s="719"/>
      <c r="BZ187" s="719"/>
      <c r="CA187" s="719"/>
      <c r="CB187" s="719"/>
      <c r="CC187" s="719"/>
      <c r="CD187" s="719"/>
      <c r="CE187" s="719"/>
      <c r="CF187" s="719"/>
      <c r="CG187" s="719"/>
      <c r="CH187" s="719"/>
      <c r="CI187" s="719"/>
      <c r="CJ187" s="719"/>
      <c r="CK187" s="719"/>
      <c r="CL187" s="719"/>
      <c r="CM187" s="719"/>
      <c r="CN187" s="719"/>
      <c r="CO187" s="719"/>
      <c r="CP187" s="719"/>
      <c r="CQ187" s="719"/>
      <c r="CR187" s="719"/>
      <c r="CS187" s="719"/>
      <c r="CT187" s="719"/>
      <c r="CU187" s="719"/>
      <c r="CV187" s="719"/>
      <c r="CW187" s="719"/>
      <c r="CX187" s="719"/>
      <c r="CY187" s="719"/>
      <c r="CZ187" s="719"/>
      <c r="DA187" s="719"/>
      <c r="DB187" s="719"/>
      <c r="DC187" s="719"/>
      <c r="DD187" s="719"/>
      <c r="DE187" s="719"/>
      <c r="DF187" s="719"/>
      <c r="DG187" s="719"/>
      <c r="DH187" s="719"/>
      <c r="DI187" s="719"/>
      <c r="DJ187" s="719"/>
      <c r="DK187" s="719"/>
      <c r="DL187" s="719"/>
      <c r="DM187" s="719"/>
      <c r="DN187" s="719"/>
      <c r="DO187" s="719"/>
      <c r="DP187" s="719"/>
      <c r="DQ187" s="719"/>
      <c r="DR187" s="719"/>
    </row>
    <row r="188" spans="1:122" s="275" customFormat="1">
      <c r="A188" s="719"/>
      <c r="B188" s="719"/>
      <c r="C188" s="719"/>
      <c r="D188" s="719"/>
      <c r="E188" s="719"/>
      <c r="F188" s="719"/>
      <c r="G188" s="719"/>
      <c r="H188" s="719"/>
      <c r="I188" s="719"/>
      <c r="J188" s="719"/>
      <c r="K188" s="719"/>
      <c r="L188" s="719"/>
      <c r="M188" s="719"/>
      <c r="N188" s="721"/>
      <c r="O188" s="721"/>
      <c r="P188" s="719"/>
      <c r="Q188" s="719"/>
      <c r="R188" s="719"/>
      <c r="S188" s="721"/>
      <c r="T188" s="721"/>
      <c r="U188" s="719"/>
      <c r="V188" s="719"/>
      <c r="W188" s="719"/>
      <c r="X188" s="721"/>
      <c r="Y188" s="721"/>
      <c r="Z188" s="719"/>
      <c r="AA188" s="719"/>
      <c r="AB188" s="719"/>
      <c r="AC188" s="721"/>
      <c r="AD188" s="721"/>
      <c r="AE188" s="719"/>
      <c r="AF188" s="719"/>
      <c r="AG188" s="719"/>
      <c r="AH188" s="721"/>
      <c r="AI188" s="721"/>
      <c r="AJ188" s="719"/>
      <c r="AK188" s="719"/>
      <c r="AL188" s="719"/>
      <c r="AM188" s="719"/>
      <c r="AN188" s="719"/>
      <c r="AO188" s="719"/>
      <c r="AP188" s="719"/>
      <c r="AQ188" s="719"/>
      <c r="AR188" s="719"/>
      <c r="AS188" s="719"/>
      <c r="AT188" s="719"/>
      <c r="AU188" s="719"/>
      <c r="AV188" s="719"/>
      <c r="AW188" s="719"/>
      <c r="AX188" s="719"/>
      <c r="AY188" s="719"/>
      <c r="AZ188" s="719"/>
      <c r="BA188" s="719"/>
      <c r="BB188" s="719"/>
      <c r="BC188" s="719"/>
      <c r="BD188" s="719"/>
      <c r="BE188" s="719"/>
      <c r="BF188" s="719"/>
      <c r="BG188" s="719"/>
      <c r="BH188" s="719"/>
      <c r="BI188" s="719"/>
      <c r="BJ188" s="719"/>
      <c r="BK188" s="719"/>
      <c r="BL188" s="719"/>
      <c r="BM188" s="719"/>
      <c r="BN188" s="719"/>
      <c r="BO188" s="719"/>
      <c r="BP188" s="719"/>
      <c r="BQ188" s="719"/>
      <c r="BR188" s="719"/>
      <c r="BS188" s="719"/>
      <c r="BT188" s="719"/>
      <c r="BU188" s="719"/>
      <c r="BV188" s="719"/>
      <c r="BW188" s="719"/>
      <c r="BX188" s="719"/>
      <c r="BY188" s="719"/>
      <c r="BZ188" s="719"/>
      <c r="CA188" s="719"/>
      <c r="CB188" s="719"/>
      <c r="CC188" s="719"/>
      <c r="CD188" s="719"/>
      <c r="CE188" s="719"/>
      <c r="CF188" s="719"/>
      <c r="CG188" s="719"/>
      <c r="CH188" s="719"/>
      <c r="CI188" s="719"/>
      <c r="CJ188" s="719"/>
      <c r="CK188" s="719"/>
      <c r="CL188" s="719"/>
      <c r="CM188" s="719"/>
      <c r="CN188" s="719"/>
      <c r="CO188" s="719"/>
      <c r="CP188" s="719"/>
      <c r="CQ188" s="719"/>
      <c r="CR188" s="719"/>
      <c r="CS188" s="719"/>
      <c r="CT188" s="719"/>
      <c r="CU188" s="719"/>
      <c r="CV188" s="719"/>
      <c r="CW188" s="719"/>
      <c r="CX188" s="719"/>
      <c r="CY188" s="719"/>
      <c r="CZ188" s="719"/>
      <c r="DA188" s="719"/>
      <c r="DB188" s="719"/>
      <c r="DC188" s="719"/>
      <c r="DD188" s="719"/>
      <c r="DE188" s="719"/>
      <c r="DF188" s="719"/>
      <c r="DG188" s="719"/>
      <c r="DH188" s="719"/>
      <c r="DI188" s="719"/>
      <c r="DJ188" s="719"/>
      <c r="DK188" s="719"/>
      <c r="DL188" s="719"/>
      <c r="DM188" s="719"/>
      <c r="DN188" s="719"/>
      <c r="DO188" s="719"/>
      <c r="DP188" s="719"/>
      <c r="DQ188" s="719"/>
      <c r="DR188" s="719"/>
    </row>
    <row r="189" spans="1:122" s="275" customFormat="1">
      <c r="A189" s="719"/>
      <c r="B189" s="719"/>
      <c r="C189" s="719"/>
      <c r="D189" s="719"/>
      <c r="E189" s="719"/>
      <c r="F189" s="719"/>
      <c r="G189" s="719"/>
      <c r="H189" s="719"/>
      <c r="I189" s="719"/>
      <c r="J189" s="719"/>
      <c r="K189" s="719"/>
      <c r="L189" s="719"/>
      <c r="M189" s="719"/>
      <c r="N189" s="721"/>
      <c r="O189" s="721"/>
      <c r="P189" s="719"/>
      <c r="Q189" s="719"/>
      <c r="R189" s="719"/>
      <c r="S189" s="721"/>
      <c r="T189" s="721"/>
      <c r="U189" s="719"/>
      <c r="V189" s="719"/>
      <c r="W189" s="719"/>
      <c r="X189" s="721"/>
      <c r="Y189" s="721"/>
      <c r="Z189" s="719"/>
      <c r="AA189" s="719"/>
      <c r="AB189" s="719"/>
      <c r="AC189" s="721"/>
      <c r="AD189" s="721"/>
      <c r="AE189" s="719"/>
      <c r="AF189" s="719"/>
      <c r="AG189" s="719"/>
      <c r="AH189" s="721"/>
      <c r="AI189" s="721"/>
      <c r="AJ189" s="719"/>
      <c r="AK189" s="719"/>
      <c r="AL189" s="719"/>
      <c r="AM189" s="719"/>
      <c r="AN189" s="719"/>
      <c r="AO189" s="719"/>
      <c r="AP189" s="719"/>
      <c r="AQ189" s="719"/>
      <c r="AR189" s="719"/>
      <c r="AS189" s="719"/>
      <c r="AT189" s="719"/>
      <c r="AU189" s="719"/>
      <c r="AV189" s="719"/>
      <c r="AW189" s="719"/>
      <c r="AX189" s="719"/>
      <c r="AY189" s="719"/>
      <c r="AZ189" s="719"/>
      <c r="BA189" s="719"/>
      <c r="BB189" s="719"/>
      <c r="BC189" s="719"/>
      <c r="BD189" s="719"/>
      <c r="BE189" s="719"/>
      <c r="BF189" s="719"/>
      <c r="BG189" s="719"/>
      <c r="BH189" s="719"/>
      <c r="BI189" s="719"/>
      <c r="BJ189" s="719"/>
      <c r="BK189" s="719"/>
      <c r="BL189" s="719"/>
      <c r="BM189" s="719"/>
      <c r="BN189" s="719"/>
      <c r="BO189" s="719"/>
      <c r="BP189" s="719"/>
      <c r="BQ189" s="719"/>
      <c r="BR189" s="719"/>
      <c r="BS189" s="719"/>
      <c r="BT189" s="719"/>
      <c r="BU189" s="719"/>
      <c r="BV189" s="719"/>
      <c r="BW189" s="719"/>
      <c r="BX189" s="719"/>
      <c r="BY189" s="719"/>
      <c r="BZ189" s="719"/>
      <c r="CA189" s="719"/>
      <c r="CB189" s="719"/>
      <c r="CC189" s="719"/>
      <c r="CD189" s="719"/>
      <c r="CE189" s="719"/>
      <c r="CF189" s="719"/>
      <c r="CG189" s="719"/>
      <c r="CH189" s="719"/>
      <c r="CI189" s="719"/>
      <c r="CJ189" s="719"/>
      <c r="CK189" s="719"/>
      <c r="CL189" s="719"/>
      <c r="CM189" s="719"/>
      <c r="CN189" s="719"/>
      <c r="CO189" s="719"/>
      <c r="CP189" s="719"/>
      <c r="CQ189" s="719"/>
      <c r="CR189" s="719"/>
      <c r="CS189" s="719"/>
      <c r="CT189" s="719"/>
      <c r="CU189" s="719"/>
      <c r="CV189" s="719"/>
      <c r="CW189" s="719"/>
      <c r="CX189" s="719"/>
      <c r="CY189" s="719"/>
      <c r="CZ189" s="719"/>
      <c r="DA189" s="719"/>
      <c r="DB189" s="719"/>
      <c r="DC189" s="719"/>
      <c r="DD189" s="719"/>
      <c r="DE189" s="719"/>
      <c r="DF189" s="719"/>
      <c r="DG189" s="719"/>
      <c r="DH189" s="719"/>
      <c r="DI189" s="719"/>
      <c r="DJ189" s="719"/>
      <c r="DK189" s="719"/>
      <c r="DL189" s="719"/>
      <c r="DM189" s="719"/>
      <c r="DN189" s="719"/>
      <c r="DO189" s="719"/>
      <c r="DP189" s="719"/>
      <c r="DQ189" s="719"/>
      <c r="DR189" s="719"/>
    </row>
    <row r="190" spans="1:122" s="275" customFormat="1">
      <c r="A190" s="719"/>
      <c r="B190" s="719"/>
      <c r="C190" s="719"/>
      <c r="D190" s="719"/>
      <c r="E190" s="719"/>
      <c r="F190" s="719"/>
      <c r="G190" s="719"/>
      <c r="H190" s="719"/>
      <c r="I190" s="719"/>
      <c r="J190" s="719"/>
      <c r="K190" s="719"/>
      <c r="L190" s="719"/>
      <c r="M190" s="719"/>
      <c r="N190" s="721"/>
      <c r="O190" s="721"/>
      <c r="P190" s="719"/>
      <c r="Q190" s="719"/>
      <c r="R190" s="719"/>
      <c r="S190" s="721"/>
      <c r="T190" s="721"/>
      <c r="U190" s="719"/>
      <c r="V190" s="719"/>
      <c r="W190" s="719"/>
      <c r="X190" s="721"/>
      <c r="Y190" s="721"/>
      <c r="Z190" s="719"/>
      <c r="AA190" s="719"/>
      <c r="AB190" s="719"/>
      <c r="AC190" s="721"/>
      <c r="AD190" s="721"/>
      <c r="AE190" s="719"/>
      <c r="AF190" s="719"/>
      <c r="AG190" s="719"/>
      <c r="AH190" s="721"/>
      <c r="AI190" s="721"/>
      <c r="AJ190" s="719"/>
      <c r="AK190" s="719"/>
      <c r="AL190" s="719"/>
      <c r="AM190" s="719"/>
      <c r="AN190" s="719"/>
      <c r="AO190" s="719"/>
      <c r="AP190" s="719"/>
      <c r="AQ190" s="719"/>
      <c r="AR190" s="719"/>
      <c r="AS190" s="719"/>
      <c r="AT190" s="719"/>
      <c r="AU190" s="719"/>
      <c r="AV190" s="719"/>
      <c r="AW190" s="719"/>
      <c r="AX190" s="719"/>
      <c r="AY190" s="719"/>
      <c r="AZ190" s="719"/>
      <c r="BA190" s="719"/>
      <c r="BB190" s="719"/>
      <c r="BC190" s="719"/>
      <c r="BD190" s="719"/>
      <c r="BE190" s="719"/>
      <c r="BF190" s="719"/>
      <c r="BG190" s="719"/>
      <c r="BH190" s="719"/>
      <c r="BI190" s="719"/>
      <c r="BJ190" s="719"/>
      <c r="BK190" s="719"/>
      <c r="BL190" s="719"/>
      <c r="BM190" s="719"/>
      <c r="BN190" s="719"/>
      <c r="BO190" s="719"/>
      <c r="BP190" s="719"/>
      <c r="BQ190" s="719"/>
      <c r="BR190" s="719"/>
      <c r="BS190" s="719"/>
      <c r="BT190" s="719"/>
      <c r="BU190" s="719"/>
      <c r="BV190" s="719"/>
      <c r="BW190" s="719"/>
      <c r="BX190" s="719"/>
      <c r="BY190" s="719"/>
      <c r="BZ190" s="719"/>
      <c r="CA190" s="719"/>
      <c r="CB190" s="719"/>
      <c r="CC190" s="719"/>
      <c r="CD190" s="719"/>
      <c r="CE190" s="719"/>
      <c r="CF190" s="719"/>
      <c r="CG190" s="719"/>
      <c r="CH190" s="719"/>
      <c r="CI190" s="719"/>
      <c r="CJ190" s="719"/>
      <c r="CK190" s="719"/>
      <c r="CL190" s="719"/>
      <c r="CM190" s="719"/>
      <c r="CN190" s="719"/>
      <c r="CO190" s="719"/>
      <c r="CP190" s="719"/>
      <c r="CQ190" s="719"/>
      <c r="CR190" s="719"/>
      <c r="CS190" s="719"/>
      <c r="CT190" s="719"/>
      <c r="CU190" s="719"/>
      <c r="CV190" s="719"/>
      <c r="CW190" s="719"/>
      <c r="CX190" s="719"/>
      <c r="CY190" s="719"/>
      <c r="CZ190" s="719"/>
      <c r="DA190" s="719"/>
      <c r="DB190" s="719"/>
      <c r="DC190" s="719"/>
      <c r="DD190" s="719"/>
      <c r="DE190" s="719"/>
      <c r="DF190" s="719"/>
      <c r="DG190" s="719"/>
      <c r="DH190" s="719"/>
      <c r="DI190" s="719"/>
      <c r="DJ190" s="719"/>
      <c r="DK190" s="719"/>
      <c r="DL190" s="719"/>
      <c r="DM190" s="719"/>
      <c r="DN190" s="719"/>
      <c r="DO190" s="719"/>
      <c r="DP190" s="719"/>
      <c r="DQ190" s="719"/>
      <c r="DR190" s="719"/>
    </row>
    <row r="191" spans="1:122" s="275" customFormat="1">
      <c r="A191" s="719"/>
      <c r="B191" s="719"/>
      <c r="C191" s="719"/>
      <c r="D191" s="719"/>
      <c r="E191" s="719"/>
      <c r="F191" s="719"/>
      <c r="G191" s="719"/>
      <c r="H191" s="719"/>
      <c r="I191" s="719"/>
      <c r="J191" s="719"/>
      <c r="K191" s="719"/>
      <c r="L191" s="719"/>
      <c r="M191" s="719"/>
      <c r="N191" s="721"/>
      <c r="O191" s="721"/>
      <c r="P191" s="719"/>
      <c r="Q191" s="719"/>
      <c r="R191" s="719"/>
      <c r="S191" s="721"/>
      <c r="T191" s="721"/>
      <c r="U191" s="719"/>
      <c r="V191" s="719"/>
      <c r="W191" s="719"/>
      <c r="X191" s="721"/>
      <c r="Y191" s="721"/>
      <c r="Z191" s="719"/>
      <c r="AA191" s="719"/>
      <c r="AB191" s="719"/>
      <c r="AC191" s="721"/>
      <c r="AD191" s="721"/>
      <c r="AE191" s="719"/>
      <c r="AF191" s="719"/>
      <c r="AG191" s="719"/>
      <c r="AH191" s="721"/>
      <c r="AI191" s="721"/>
      <c r="AJ191" s="719"/>
      <c r="AK191" s="719"/>
      <c r="AL191" s="719"/>
      <c r="AM191" s="719"/>
      <c r="AN191" s="719"/>
      <c r="AO191" s="719"/>
      <c r="AP191" s="719"/>
      <c r="AQ191" s="719"/>
      <c r="AR191" s="719"/>
      <c r="AS191" s="719"/>
      <c r="AT191" s="719"/>
      <c r="AU191" s="719"/>
      <c r="AV191" s="719"/>
      <c r="AW191" s="719"/>
      <c r="AX191" s="719"/>
      <c r="AY191" s="719"/>
      <c r="AZ191" s="719"/>
      <c r="BA191" s="719"/>
      <c r="BB191" s="719"/>
      <c r="BC191" s="719"/>
      <c r="BD191" s="719"/>
      <c r="BE191" s="719"/>
      <c r="BF191" s="719"/>
      <c r="BG191" s="719"/>
      <c r="BH191" s="719"/>
      <c r="BI191" s="719"/>
      <c r="BJ191" s="719"/>
      <c r="BK191" s="719"/>
      <c r="BL191" s="719"/>
      <c r="BM191" s="719"/>
      <c r="BN191" s="719"/>
      <c r="BO191" s="719"/>
      <c r="BP191" s="719"/>
      <c r="BQ191" s="719"/>
      <c r="BR191" s="719"/>
      <c r="BS191" s="719"/>
      <c r="BT191" s="719"/>
      <c r="BU191" s="719"/>
      <c r="BV191" s="719"/>
      <c r="BW191" s="719"/>
      <c r="BX191" s="719"/>
      <c r="BY191" s="719"/>
      <c r="BZ191" s="719"/>
      <c r="CA191" s="719"/>
      <c r="CB191" s="719"/>
      <c r="CC191" s="719"/>
      <c r="CD191" s="719"/>
      <c r="CE191" s="719"/>
      <c r="CF191" s="719"/>
      <c r="CG191" s="719"/>
      <c r="CH191" s="719"/>
      <c r="CI191" s="719"/>
      <c r="CJ191" s="719"/>
      <c r="CK191" s="719"/>
      <c r="CL191" s="719"/>
      <c r="CM191" s="719"/>
      <c r="CN191" s="719"/>
      <c r="CO191" s="719"/>
      <c r="CP191" s="719"/>
      <c r="CQ191" s="719"/>
      <c r="CR191" s="719"/>
      <c r="CS191" s="719"/>
      <c r="CT191" s="719"/>
      <c r="CU191" s="719"/>
      <c r="CV191" s="719"/>
      <c r="CW191" s="719"/>
      <c r="CX191" s="719"/>
      <c r="CY191" s="719"/>
      <c r="CZ191" s="719"/>
      <c r="DA191" s="719"/>
      <c r="DB191" s="719"/>
      <c r="DC191" s="719"/>
      <c r="DD191" s="719"/>
      <c r="DE191" s="719"/>
      <c r="DF191" s="719"/>
      <c r="DG191" s="719"/>
      <c r="DH191" s="719"/>
      <c r="DI191" s="719"/>
      <c r="DJ191" s="719"/>
      <c r="DK191" s="719"/>
      <c r="DL191" s="719"/>
      <c r="DM191" s="719"/>
      <c r="DN191" s="719"/>
      <c r="DO191" s="719"/>
      <c r="DP191" s="719"/>
      <c r="DQ191" s="719"/>
      <c r="DR191" s="719"/>
    </row>
    <row r="192" spans="1:122" s="275" customFormat="1">
      <c r="A192" s="719"/>
      <c r="B192" s="719"/>
      <c r="C192" s="719"/>
      <c r="D192" s="719"/>
      <c r="E192" s="719"/>
      <c r="F192" s="719"/>
      <c r="G192" s="719"/>
      <c r="H192" s="719"/>
      <c r="I192" s="719"/>
      <c r="J192" s="719"/>
      <c r="K192" s="719"/>
      <c r="L192" s="719"/>
      <c r="M192" s="719"/>
      <c r="N192" s="721"/>
      <c r="O192" s="721"/>
      <c r="P192" s="719"/>
      <c r="Q192" s="719"/>
      <c r="R192" s="719"/>
      <c r="S192" s="721"/>
      <c r="T192" s="721"/>
      <c r="U192" s="719"/>
      <c r="V192" s="719"/>
      <c r="W192" s="719"/>
      <c r="X192" s="721"/>
      <c r="Y192" s="721"/>
      <c r="Z192" s="719"/>
      <c r="AA192" s="719"/>
      <c r="AB192" s="719"/>
      <c r="AC192" s="721"/>
      <c r="AD192" s="721"/>
      <c r="AE192" s="719"/>
      <c r="AF192" s="719"/>
      <c r="AG192" s="719"/>
      <c r="AH192" s="721"/>
      <c r="AI192" s="721"/>
      <c r="AJ192" s="719"/>
      <c r="AK192" s="719"/>
      <c r="AL192" s="719"/>
      <c r="AM192" s="719"/>
      <c r="AN192" s="719"/>
      <c r="AO192" s="719"/>
      <c r="AP192" s="719"/>
      <c r="AQ192" s="719"/>
      <c r="AR192" s="719"/>
      <c r="AS192" s="719"/>
      <c r="AT192" s="719"/>
      <c r="AU192" s="719"/>
      <c r="AV192" s="719"/>
      <c r="AW192" s="719"/>
      <c r="AX192" s="719"/>
      <c r="AY192" s="719"/>
      <c r="AZ192" s="719"/>
      <c r="BA192" s="719"/>
      <c r="BB192" s="719"/>
      <c r="BC192" s="719"/>
      <c r="BD192" s="719"/>
      <c r="BE192" s="719"/>
      <c r="BF192" s="719"/>
      <c r="BG192" s="719"/>
      <c r="BH192" s="719"/>
      <c r="BI192" s="719"/>
      <c r="BJ192" s="719"/>
      <c r="BK192" s="719"/>
      <c r="BL192" s="719"/>
      <c r="BM192" s="719"/>
      <c r="BN192" s="719"/>
      <c r="BO192" s="719"/>
      <c r="BP192" s="719"/>
      <c r="BQ192" s="719"/>
      <c r="BR192" s="719"/>
      <c r="BS192" s="719"/>
      <c r="BT192" s="719"/>
      <c r="BU192" s="719"/>
      <c r="BV192" s="719"/>
      <c r="BW192" s="719"/>
      <c r="BX192" s="719"/>
      <c r="BY192" s="719"/>
      <c r="BZ192" s="719"/>
      <c r="CA192" s="719"/>
      <c r="CB192" s="719"/>
      <c r="CC192" s="719"/>
      <c r="CD192" s="719"/>
      <c r="CE192" s="719"/>
      <c r="CF192" s="719"/>
      <c r="CG192" s="719"/>
      <c r="CH192" s="719"/>
      <c r="CI192" s="719"/>
      <c r="CJ192" s="719"/>
      <c r="CK192" s="719"/>
      <c r="CL192" s="719"/>
      <c r="CM192" s="719"/>
      <c r="CN192" s="719"/>
      <c r="CO192" s="719"/>
      <c r="CP192" s="719"/>
      <c r="CQ192" s="719"/>
      <c r="CR192" s="719"/>
      <c r="CS192" s="719"/>
      <c r="CT192" s="719"/>
      <c r="CU192" s="719"/>
      <c r="CV192" s="719"/>
      <c r="CW192" s="719"/>
      <c r="CX192" s="719"/>
      <c r="CY192" s="719"/>
      <c r="CZ192" s="719"/>
      <c r="DA192" s="719"/>
      <c r="DB192" s="719"/>
      <c r="DC192" s="719"/>
      <c r="DD192" s="719"/>
      <c r="DE192" s="719"/>
      <c r="DF192" s="719"/>
      <c r="DG192" s="719"/>
      <c r="DH192" s="719"/>
      <c r="DI192" s="719"/>
      <c r="DJ192" s="719"/>
      <c r="DK192" s="719"/>
      <c r="DL192" s="719"/>
      <c r="DM192" s="719"/>
      <c r="DN192" s="719"/>
      <c r="DO192" s="719"/>
      <c r="DP192" s="719"/>
      <c r="DQ192" s="719"/>
      <c r="DR192" s="719"/>
    </row>
    <row r="193" spans="1:122" s="275" customFormat="1">
      <c r="A193" s="719"/>
      <c r="B193" s="719"/>
      <c r="C193" s="719"/>
      <c r="D193" s="719"/>
      <c r="E193" s="719"/>
      <c r="F193" s="719"/>
      <c r="G193" s="719"/>
      <c r="H193" s="719"/>
      <c r="I193" s="719"/>
      <c r="J193" s="719"/>
      <c r="K193" s="719"/>
      <c r="L193" s="719"/>
      <c r="M193" s="719"/>
      <c r="N193" s="721"/>
      <c r="O193" s="721"/>
      <c r="P193" s="719"/>
      <c r="Q193" s="719"/>
      <c r="R193" s="719"/>
      <c r="S193" s="721"/>
      <c r="T193" s="721"/>
      <c r="U193" s="719"/>
      <c r="V193" s="719"/>
      <c r="W193" s="719"/>
      <c r="X193" s="721"/>
      <c r="Y193" s="721"/>
      <c r="Z193" s="719"/>
      <c r="AA193" s="719"/>
      <c r="AB193" s="719"/>
      <c r="AC193" s="721"/>
      <c r="AD193" s="721"/>
      <c r="AE193" s="719"/>
      <c r="AF193" s="719"/>
      <c r="AG193" s="719"/>
      <c r="AH193" s="721"/>
      <c r="AI193" s="721"/>
      <c r="AJ193" s="719"/>
      <c r="AK193" s="719"/>
      <c r="AL193" s="719"/>
      <c r="AM193" s="719"/>
      <c r="AN193" s="719"/>
      <c r="AO193" s="719"/>
      <c r="AP193" s="719"/>
      <c r="AQ193" s="719"/>
      <c r="AR193" s="719"/>
      <c r="AS193" s="719"/>
      <c r="AT193" s="719"/>
      <c r="AU193" s="719"/>
      <c r="AV193" s="719"/>
      <c r="AW193" s="719"/>
      <c r="AX193" s="719"/>
      <c r="AY193" s="719"/>
      <c r="AZ193" s="719"/>
      <c r="BA193" s="719"/>
      <c r="BB193" s="719"/>
      <c r="BC193" s="719"/>
      <c r="BD193" s="719"/>
      <c r="BE193" s="719"/>
      <c r="BF193" s="719"/>
      <c r="BG193" s="719"/>
      <c r="BH193" s="719"/>
      <c r="BI193" s="719"/>
      <c r="BJ193" s="719"/>
      <c r="BK193" s="719"/>
      <c r="BL193" s="719"/>
      <c r="BM193" s="719"/>
      <c r="BN193" s="719"/>
      <c r="BO193" s="719"/>
      <c r="BP193" s="719"/>
      <c r="BQ193" s="719"/>
      <c r="BR193" s="719"/>
      <c r="BS193" s="719"/>
      <c r="BT193" s="719"/>
      <c r="BU193" s="719"/>
      <c r="BV193" s="719"/>
      <c r="BW193" s="719"/>
      <c r="BX193" s="719"/>
      <c r="BY193" s="719"/>
      <c r="BZ193" s="719"/>
      <c r="CA193" s="719"/>
      <c r="CB193" s="719"/>
      <c r="CC193" s="719"/>
      <c r="CD193" s="719"/>
      <c r="CE193" s="719"/>
      <c r="CF193" s="719"/>
      <c r="CG193" s="719"/>
      <c r="CH193" s="719"/>
      <c r="CI193" s="719"/>
      <c r="CJ193" s="719"/>
      <c r="CK193" s="719"/>
      <c r="CL193" s="719"/>
      <c r="CM193" s="719"/>
      <c r="CN193" s="719"/>
      <c r="CO193" s="719"/>
      <c r="CP193" s="719"/>
      <c r="CQ193" s="719"/>
      <c r="CR193" s="719"/>
      <c r="CS193" s="719"/>
      <c r="CT193" s="719"/>
      <c r="CU193" s="719"/>
      <c r="CV193" s="719"/>
      <c r="CW193" s="719"/>
      <c r="CX193" s="719"/>
      <c r="CY193" s="719"/>
      <c r="CZ193" s="719"/>
      <c r="DA193" s="719"/>
      <c r="DB193" s="719"/>
      <c r="DC193" s="719"/>
      <c r="DD193" s="719"/>
      <c r="DE193" s="719"/>
      <c r="DF193" s="719"/>
      <c r="DG193" s="719"/>
      <c r="DH193" s="719"/>
      <c r="DI193" s="719"/>
      <c r="DJ193" s="719"/>
      <c r="DK193" s="719"/>
      <c r="DL193" s="719"/>
      <c r="DM193" s="719"/>
      <c r="DN193" s="719"/>
      <c r="DO193" s="719"/>
      <c r="DP193" s="719"/>
      <c r="DQ193" s="719"/>
      <c r="DR193" s="719"/>
    </row>
    <row r="194" spans="1:122" s="275" customFormat="1">
      <c r="A194" s="719"/>
      <c r="B194" s="719"/>
      <c r="C194" s="719"/>
      <c r="D194" s="719"/>
      <c r="E194" s="719"/>
      <c r="F194" s="719"/>
      <c r="G194" s="719"/>
      <c r="H194" s="719"/>
      <c r="I194" s="719"/>
      <c r="J194" s="719"/>
      <c r="K194" s="719"/>
      <c r="L194" s="719"/>
      <c r="M194" s="719"/>
      <c r="N194" s="721"/>
      <c r="O194" s="721"/>
      <c r="P194" s="719"/>
      <c r="Q194" s="719"/>
      <c r="R194" s="719"/>
      <c r="S194" s="721"/>
      <c r="T194" s="721"/>
      <c r="U194" s="719"/>
      <c r="V194" s="719"/>
      <c r="W194" s="719"/>
      <c r="X194" s="721"/>
      <c r="Y194" s="721"/>
      <c r="Z194" s="719"/>
      <c r="AA194" s="719"/>
      <c r="AB194" s="719"/>
      <c r="AC194" s="721"/>
      <c r="AD194" s="721"/>
      <c r="AE194" s="719"/>
      <c r="AF194" s="719"/>
      <c r="AG194" s="719"/>
      <c r="AH194" s="721"/>
      <c r="AI194" s="721"/>
      <c r="AJ194" s="719"/>
      <c r="AK194" s="719"/>
      <c r="AL194" s="719"/>
      <c r="AM194" s="719"/>
      <c r="AN194" s="719"/>
      <c r="AO194" s="719"/>
      <c r="AP194" s="719"/>
      <c r="AQ194" s="719"/>
      <c r="AR194" s="719"/>
      <c r="AS194" s="719"/>
      <c r="AT194" s="719"/>
      <c r="AU194" s="719"/>
      <c r="AV194" s="719"/>
      <c r="AW194" s="719"/>
      <c r="AX194" s="719"/>
      <c r="AY194" s="719"/>
      <c r="AZ194" s="719"/>
      <c r="BA194" s="719"/>
      <c r="BB194" s="719"/>
      <c r="BC194" s="719"/>
      <c r="BD194" s="719"/>
      <c r="BE194" s="719"/>
      <c r="BF194" s="719"/>
      <c r="BG194" s="719"/>
      <c r="BH194" s="719"/>
      <c r="BI194" s="719"/>
      <c r="BJ194" s="719"/>
      <c r="BK194" s="719"/>
      <c r="BL194" s="719"/>
      <c r="BM194" s="719"/>
      <c r="BN194" s="719"/>
      <c r="BO194" s="719"/>
      <c r="BP194" s="719"/>
      <c r="BQ194" s="719"/>
      <c r="BR194" s="719"/>
      <c r="BS194" s="719"/>
      <c r="BT194" s="719"/>
      <c r="BU194" s="719"/>
      <c r="BV194" s="719"/>
      <c r="BW194" s="719"/>
      <c r="BX194" s="719"/>
      <c r="BY194" s="719"/>
      <c r="BZ194" s="719"/>
      <c r="CA194" s="719"/>
      <c r="CB194" s="719"/>
      <c r="CC194" s="719"/>
      <c r="CD194" s="719"/>
      <c r="CE194" s="719"/>
      <c r="CF194" s="719"/>
      <c r="CG194" s="719"/>
      <c r="CH194" s="719"/>
      <c r="CI194" s="719"/>
      <c r="CJ194" s="719"/>
      <c r="CK194" s="719"/>
      <c r="CL194" s="719"/>
      <c r="CM194" s="719"/>
      <c r="CN194" s="719"/>
      <c r="CO194" s="719"/>
      <c r="CP194" s="719"/>
      <c r="CQ194" s="719"/>
      <c r="CR194" s="719"/>
      <c r="CS194" s="719"/>
      <c r="CT194" s="719"/>
      <c r="CU194" s="719"/>
      <c r="CV194" s="719"/>
      <c r="CW194" s="719"/>
      <c r="CX194" s="719"/>
      <c r="CY194" s="719"/>
      <c r="CZ194" s="719"/>
      <c r="DA194" s="719"/>
      <c r="DB194" s="719"/>
      <c r="DC194" s="719"/>
      <c r="DD194" s="719"/>
      <c r="DE194" s="719"/>
      <c r="DF194" s="719"/>
      <c r="DG194" s="719"/>
      <c r="DH194" s="719"/>
      <c r="DI194" s="719"/>
      <c r="DJ194" s="719"/>
      <c r="DK194" s="719"/>
      <c r="DL194" s="719"/>
      <c r="DM194" s="719"/>
      <c r="DN194" s="719"/>
      <c r="DO194" s="719"/>
      <c r="DP194" s="719"/>
      <c r="DQ194" s="719"/>
      <c r="DR194" s="719"/>
    </row>
    <row r="195" spans="1:122" s="275" customFormat="1">
      <c r="A195" s="719"/>
      <c r="B195" s="719"/>
      <c r="C195" s="719"/>
      <c r="D195" s="719"/>
      <c r="E195" s="719"/>
      <c r="F195" s="719"/>
      <c r="G195" s="719"/>
      <c r="H195" s="719"/>
      <c r="I195" s="719"/>
      <c r="J195" s="719"/>
      <c r="K195" s="719"/>
      <c r="L195" s="719"/>
      <c r="M195" s="719"/>
      <c r="N195" s="721"/>
      <c r="O195" s="721"/>
      <c r="P195" s="719"/>
      <c r="Q195" s="719"/>
      <c r="R195" s="719"/>
      <c r="S195" s="721"/>
      <c r="T195" s="721"/>
      <c r="U195" s="719"/>
      <c r="V195" s="719"/>
      <c r="W195" s="719"/>
      <c r="X195" s="721"/>
      <c r="Y195" s="721"/>
      <c r="Z195" s="719"/>
      <c r="AA195" s="719"/>
      <c r="AB195" s="719"/>
      <c r="AC195" s="721"/>
      <c r="AD195" s="721"/>
      <c r="AE195" s="719"/>
      <c r="AF195" s="719"/>
      <c r="AG195" s="719"/>
      <c r="AH195" s="721"/>
      <c r="AI195" s="721"/>
      <c r="AJ195" s="719"/>
      <c r="AK195" s="719"/>
      <c r="AL195" s="719"/>
      <c r="AM195" s="719"/>
      <c r="AN195" s="719"/>
      <c r="AO195" s="719"/>
      <c r="AP195" s="719"/>
      <c r="AQ195" s="719"/>
      <c r="AR195" s="719"/>
      <c r="AS195" s="719"/>
      <c r="AT195" s="719"/>
      <c r="AU195" s="719"/>
      <c r="AV195" s="719"/>
      <c r="AW195" s="719"/>
      <c r="AX195" s="719"/>
      <c r="AY195" s="719"/>
      <c r="AZ195" s="719"/>
      <c r="BA195" s="719"/>
      <c r="BB195" s="719"/>
      <c r="BC195" s="719"/>
      <c r="BD195" s="719"/>
      <c r="BE195" s="719"/>
      <c r="BF195" s="719"/>
      <c r="BG195" s="719"/>
      <c r="BH195" s="719"/>
      <c r="BI195" s="719"/>
      <c r="BJ195" s="719"/>
      <c r="BK195" s="719"/>
      <c r="BL195" s="719"/>
      <c r="BM195" s="719"/>
      <c r="BN195" s="719"/>
      <c r="BO195" s="719"/>
      <c r="BP195" s="719"/>
      <c r="BQ195" s="719"/>
      <c r="BR195" s="719"/>
      <c r="BS195" s="719"/>
      <c r="BT195" s="719"/>
      <c r="BU195" s="719"/>
      <c r="BV195" s="719"/>
      <c r="BW195" s="719"/>
      <c r="BX195" s="719"/>
      <c r="BY195" s="719"/>
      <c r="BZ195" s="719"/>
      <c r="CA195" s="719"/>
      <c r="CB195" s="719"/>
      <c r="CC195" s="719"/>
      <c r="CD195" s="719"/>
      <c r="CE195" s="719"/>
      <c r="CF195" s="719"/>
      <c r="CG195" s="719"/>
      <c r="CH195" s="719"/>
      <c r="CI195" s="719"/>
      <c r="CJ195" s="719"/>
      <c r="CK195" s="719"/>
      <c r="CL195" s="719"/>
      <c r="CM195" s="719"/>
      <c r="CN195" s="719"/>
      <c r="CO195" s="719"/>
      <c r="CP195" s="719"/>
      <c r="CQ195" s="719"/>
      <c r="CR195" s="719"/>
      <c r="CS195" s="719"/>
      <c r="CT195" s="719"/>
      <c r="CU195" s="719"/>
      <c r="CV195" s="719"/>
      <c r="CW195" s="719"/>
      <c r="CX195" s="719"/>
      <c r="CY195" s="719"/>
      <c r="CZ195" s="719"/>
      <c r="DA195" s="719"/>
      <c r="DB195" s="719"/>
      <c r="DC195" s="719"/>
      <c r="DD195" s="719"/>
      <c r="DE195" s="719"/>
      <c r="DF195" s="719"/>
      <c r="DG195" s="719"/>
      <c r="DH195" s="719"/>
      <c r="DI195" s="719"/>
      <c r="DJ195" s="719"/>
      <c r="DK195" s="719"/>
      <c r="DL195" s="719"/>
      <c r="DM195" s="719"/>
      <c r="DN195" s="719"/>
      <c r="DO195" s="719"/>
      <c r="DP195" s="719"/>
      <c r="DQ195" s="719"/>
      <c r="DR195" s="719"/>
    </row>
    <row r="196" spans="1:122" s="275" customFormat="1">
      <c r="A196" s="719"/>
      <c r="B196" s="719"/>
      <c r="C196" s="719"/>
      <c r="D196" s="719"/>
      <c r="E196" s="719"/>
      <c r="F196" s="719"/>
      <c r="G196" s="719"/>
      <c r="H196" s="719"/>
      <c r="I196" s="719"/>
      <c r="J196" s="719"/>
      <c r="K196" s="719"/>
      <c r="L196" s="719"/>
      <c r="M196" s="719"/>
      <c r="N196" s="721"/>
      <c r="O196" s="721"/>
      <c r="P196" s="719"/>
      <c r="Q196" s="719"/>
      <c r="R196" s="719"/>
      <c r="S196" s="721"/>
      <c r="T196" s="721"/>
      <c r="U196" s="719"/>
      <c r="V196" s="719"/>
      <c r="W196" s="719"/>
      <c r="X196" s="721"/>
      <c r="Y196" s="721"/>
      <c r="Z196" s="719"/>
      <c r="AA196" s="719"/>
      <c r="AB196" s="719"/>
      <c r="AC196" s="721"/>
      <c r="AD196" s="721"/>
      <c r="AE196" s="719"/>
      <c r="AF196" s="719"/>
      <c r="AG196" s="719"/>
      <c r="AH196" s="721"/>
      <c r="AI196" s="721"/>
      <c r="AJ196" s="719"/>
      <c r="AK196" s="719"/>
      <c r="AL196" s="719"/>
      <c r="AM196" s="719"/>
      <c r="AN196" s="719"/>
      <c r="AO196" s="719"/>
      <c r="AP196" s="719"/>
      <c r="AQ196" s="719"/>
      <c r="AR196" s="719"/>
      <c r="AS196" s="719"/>
      <c r="AT196" s="719"/>
      <c r="AU196" s="719"/>
      <c r="AV196" s="719"/>
      <c r="AW196" s="719"/>
      <c r="AX196" s="719"/>
      <c r="AY196" s="719"/>
      <c r="AZ196" s="719"/>
      <c r="BA196" s="719"/>
      <c r="BB196" s="719"/>
      <c r="BC196" s="719"/>
      <c r="BD196" s="719"/>
      <c r="BE196" s="719"/>
      <c r="BF196" s="719"/>
      <c r="BG196" s="719"/>
      <c r="BH196" s="719"/>
      <c r="BI196" s="719"/>
      <c r="BJ196" s="719"/>
      <c r="BK196" s="719"/>
      <c r="BL196" s="719"/>
      <c r="BM196" s="719"/>
      <c r="BN196" s="719"/>
      <c r="BO196" s="719"/>
      <c r="BP196" s="719"/>
      <c r="BQ196" s="719"/>
      <c r="BR196" s="719"/>
      <c r="BS196" s="719"/>
      <c r="BT196" s="719"/>
      <c r="BU196" s="719"/>
      <c r="BV196" s="719"/>
      <c r="BW196" s="719"/>
      <c r="BX196" s="719"/>
      <c r="BY196" s="719"/>
      <c r="BZ196" s="719"/>
      <c r="CA196" s="719"/>
      <c r="CB196" s="719"/>
      <c r="CC196" s="719"/>
      <c r="CD196" s="719"/>
      <c r="CE196" s="719"/>
      <c r="CF196" s="719"/>
      <c r="CG196" s="719"/>
      <c r="CH196" s="719"/>
      <c r="CI196" s="719"/>
      <c r="CJ196" s="719"/>
      <c r="CK196" s="719"/>
      <c r="CL196" s="719"/>
      <c r="CM196" s="719"/>
      <c r="CN196" s="719"/>
      <c r="CO196" s="719"/>
      <c r="CP196" s="719"/>
      <c r="CQ196" s="719"/>
      <c r="CR196" s="719"/>
      <c r="CS196" s="719"/>
      <c r="CT196" s="719"/>
      <c r="CU196" s="719"/>
      <c r="CV196" s="719"/>
      <c r="CW196" s="719"/>
      <c r="CX196" s="719"/>
      <c r="CY196" s="719"/>
      <c r="CZ196" s="719"/>
      <c r="DA196" s="719"/>
      <c r="DB196" s="719"/>
      <c r="DC196" s="719"/>
      <c r="DD196" s="719"/>
      <c r="DE196" s="719"/>
      <c r="DF196" s="719"/>
      <c r="DG196" s="719"/>
      <c r="DH196" s="719"/>
      <c r="DI196" s="719"/>
      <c r="DJ196" s="719"/>
      <c r="DK196" s="719"/>
      <c r="DL196" s="719"/>
      <c r="DM196" s="719"/>
      <c r="DN196" s="719"/>
      <c r="DO196" s="719"/>
      <c r="DP196" s="719"/>
      <c r="DQ196" s="719"/>
      <c r="DR196" s="719"/>
    </row>
    <row r="197" spans="1:122" s="275" customFormat="1">
      <c r="A197" s="719"/>
      <c r="B197" s="719"/>
      <c r="C197" s="719"/>
      <c r="D197" s="719"/>
      <c r="E197" s="719"/>
      <c r="F197" s="719"/>
      <c r="G197" s="719"/>
      <c r="H197" s="719"/>
      <c r="I197" s="719"/>
      <c r="J197" s="719"/>
      <c r="K197" s="719"/>
      <c r="L197" s="719"/>
      <c r="M197" s="719"/>
      <c r="N197" s="721"/>
      <c r="O197" s="721"/>
      <c r="P197" s="719"/>
      <c r="Q197" s="719"/>
      <c r="R197" s="719"/>
      <c r="S197" s="721"/>
      <c r="T197" s="721"/>
      <c r="U197" s="719"/>
      <c r="V197" s="719"/>
      <c r="W197" s="719"/>
      <c r="X197" s="721"/>
      <c r="Y197" s="721"/>
      <c r="Z197" s="719"/>
      <c r="AA197" s="719"/>
      <c r="AB197" s="719"/>
      <c r="AC197" s="721"/>
      <c r="AD197" s="721"/>
      <c r="AE197" s="719"/>
      <c r="AF197" s="719"/>
      <c r="AG197" s="719"/>
      <c r="AH197" s="721"/>
      <c r="AI197" s="721"/>
      <c r="AJ197" s="719"/>
      <c r="AK197" s="719"/>
      <c r="AL197" s="719"/>
      <c r="AM197" s="719"/>
      <c r="AN197" s="719"/>
      <c r="AO197" s="719"/>
      <c r="AP197" s="719"/>
      <c r="AQ197" s="719"/>
      <c r="AR197" s="719"/>
      <c r="AS197" s="719"/>
      <c r="AT197" s="719"/>
      <c r="AU197" s="719"/>
      <c r="AV197" s="719"/>
      <c r="AW197" s="719"/>
      <c r="AX197" s="719"/>
      <c r="AY197" s="719"/>
      <c r="AZ197" s="719"/>
      <c r="BA197" s="719"/>
      <c r="BB197" s="719"/>
      <c r="BC197" s="719"/>
      <c r="BD197" s="719"/>
      <c r="BE197" s="719"/>
      <c r="BF197" s="719"/>
      <c r="BG197" s="719"/>
      <c r="BH197" s="719"/>
      <c r="BI197" s="719"/>
      <c r="BJ197" s="719"/>
      <c r="BK197" s="719"/>
      <c r="BL197" s="719"/>
      <c r="BM197" s="719"/>
      <c r="BN197" s="719"/>
      <c r="BO197" s="719"/>
      <c r="BP197" s="719"/>
      <c r="BQ197" s="719"/>
      <c r="BR197" s="719"/>
      <c r="BS197" s="719"/>
      <c r="BT197" s="719"/>
      <c r="BU197" s="719"/>
      <c r="BV197" s="719"/>
      <c r="BW197" s="719"/>
      <c r="BX197" s="719"/>
      <c r="BY197" s="719"/>
      <c r="BZ197" s="719"/>
      <c r="CA197" s="719"/>
      <c r="CB197" s="719"/>
      <c r="CC197" s="719"/>
      <c r="CD197" s="719"/>
      <c r="CE197" s="719"/>
      <c r="CF197" s="719"/>
      <c r="CG197" s="719"/>
      <c r="CH197" s="719"/>
      <c r="CI197" s="719"/>
      <c r="CJ197" s="719"/>
      <c r="CK197" s="719"/>
      <c r="CL197" s="719"/>
      <c r="CM197" s="719"/>
      <c r="CN197" s="719"/>
      <c r="CO197" s="719"/>
      <c r="CP197" s="719"/>
      <c r="CQ197" s="719"/>
      <c r="CR197" s="719"/>
      <c r="CS197" s="719"/>
      <c r="CT197" s="719"/>
      <c r="CU197" s="719"/>
      <c r="CV197" s="719"/>
      <c r="CW197" s="719"/>
      <c r="CX197" s="719"/>
      <c r="CY197" s="719"/>
      <c r="CZ197" s="719"/>
      <c r="DA197" s="719"/>
      <c r="DB197" s="719"/>
      <c r="DC197" s="719"/>
      <c r="DD197" s="719"/>
      <c r="DE197" s="719"/>
      <c r="DF197" s="719"/>
      <c r="DG197" s="719"/>
      <c r="DH197" s="719"/>
      <c r="DI197" s="719"/>
      <c r="DJ197" s="719"/>
      <c r="DK197" s="719"/>
      <c r="DL197" s="719"/>
      <c r="DM197" s="719"/>
      <c r="DN197" s="719"/>
      <c r="DO197" s="719"/>
      <c r="DP197" s="719"/>
      <c r="DQ197" s="719"/>
      <c r="DR197" s="719"/>
    </row>
    <row r="198" spans="1:122" s="275" customFormat="1">
      <c r="A198" s="719"/>
      <c r="B198" s="719"/>
      <c r="C198" s="719"/>
      <c r="D198" s="719"/>
      <c r="E198" s="719"/>
      <c r="F198" s="719"/>
      <c r="G198" s="719"/>
      <c r="H198" s="719"/>
      <c r="I198" s="719"/>
      <c r="J198" s="719"/>
      <c r="K198" s="719"/>
      <c r="L198" s="719"/>
      <c r="M198" s="719"/>
      <c r="N198" s="721"/>
      <c r="O198" s="721"/>
      <c r="P198" s="719"/>
      <c r="Q198" s="719"/>
      <c r="R198" s="719"/>
      <c r="S198" s="721"/>
      <c r="T198" s="721"/>
      <c r="U198" s="719"/>
      <c r="V198" s="719"/>
      <c r="W198" s="719"/>
      <c r="X198" s="721"/>
      <c r="Y198" s="721"/>
      <c r="Z198" s="719"/>
      <c r="AA198" s="719"/>
      <c r="AB198" s="719"/>
      <c r="AC198" s="721"/>
      <c r="AD198" s="721"/>
      <c r="AE198" s="719"/>
      <c r="AF198" s="719"/>
      <c r="AG198" s="719"/>
      <c r="AH198" s="721"/>
      <c r="AI198" s="721"/>
      <c r="AJ198" s="719"/>
      <c r="AK198" s="719"/>
      <c r="AL198" s="719"/>
      <c r="AM198" s="719"/>
      <c r="AN198" s="719"/>
      <c r="AO198" s="719"/>
      <c r="AP198" s="719"/>
      <c r="AQ198" s="719"/>
      <c r="AR198" s="719"/>
      <c r="AS198" s="719"/>
      <c r="AT198" s="719"/>
      <c r="AU198" s="719"/>
      <c r="AV198" s="719"/>
      <c r="AW198" s="719"/>
      <c r="AX198" s="719"/>
      <c r="AY198" s="719"/>
      <c r="AZ198" s="719"/>
      <c r="BA198" s="719"/>
      <c r="BB198" s="719"/>
      <c r="BC198" s="719"/>
      <c r="BD198" s="719"/>
      <c r="BE198" s="719"/>
      <c r="BF198" s="719"/>
      <c r="BG198" s="719"/>
      <c r="BH198" s="719"/>
      <c r="BI198" s="719"/>
      <c r="BJ198" s="719"/>
      <c r="BK198" s="719"/>
      <c r="BL198" s="719"/>
      <c r="BM198" s="719"/>
      <c r="BN198" s="719"/>
      <c r="BO198" s="719"/>
      <c r="BP198" s="719"/>
      <c r="BQ198" s="719"/>
      <c r="BR198" s="719"/>
      <c r="BS198" s="719"/>
      <c r="BT198" s="719"/>
      <c r="BU198" s="719"/>
      <c r="BV198" s="719"/>
      <c r="BW198" s="719"/>
      <c r="BX198" s="719"/>
      <c r="BY198" s="719"/>
      <c r="BZ198" s="719"/>
      <c r="CA198" s="719"/>
      <c r="CB198" s="719"/>
      <c r="CC198" s="719"/>
      <c r="CD198" s="719"/>
      <c r="CE198" s="719"/>
      <c r="CF198" s="719"/>
      <c r="CG198" s="719"/>
      <c r="CH198" s="719"/>
      <c r="CI198" s="719"/>
      <c r="CJ198" s="719"/>
      <c r="CK198" s="719"/>
      <c r="CL198" s="719"/>
      <c r="CM198" s="719"/>
      <c r="CN198" s="719"/>
      <c r="CO198" s="719"/>
      <c r="CP198" s="719"/>
      <c r="CQ198" s="719"/>
      <c r="CR198" s="719"/>
      <c r="CS198" s="719"/>
      <c r="CT198" s="719"/>
      <c r="CU198" s="719"/>
      <c r="CV198" s="719"/>
      <c r="CW198" s="719"/>
      <c r="CX198" s="719"/>
      <c r="CY198" s="719"/>
      <c r="CZ198" s="719"/>
      <c r="DA198" s="719"/>
      <c r="DB198" s="719"/>
      <c r="DC198" s="719"/>
      <c r="DD198" s="719"/>
      <c r="DE198" s="719"/>
      <c r="DF198" s="719"/>
      <c r="DG198" s="719"/>
      <c r="DH198" s="719"/>
      <c r="DI198" s="719"/>
      <c r="DJ198" s="719"/>
      <c r="DK198" s="719"/>
      <c r="DL198" s="719"/>
      <c r="DM198" s="719"/>
      <c r="DN198" s="719"/>
      <c r="DO198" s="719"/>
      <c r="DP198" s="719"/>
      <c r="DQ198" s="719"/>
      <c r="DR198" s="719"/>
    </row>
    <row r="199" spans="1:122" s="275" customFormat="1">
      <c r="A199" s="719"/>
      <c r="B199" s="719"/>
      <c r="C199" s="719"/>
      <c r="D199" s="719"/>
      <c r="E199" s="719"/>
      <c r="F199" s="719"/>
      <c r="G199" s="719"/>
      <c r="H199" s="719"/>
      <c r="I199" s="719"/>
      <c r="J199" s="719"/>
      <c r="K199" s="719"/>
      <c r="L199" s="719"/>
      <c r="M199" s="719"/>
      <c r="N199" s="721"/>
      <c r="O199" s="721"/>
      <c r="P199" s="719"/>
      <c r="Q199" s="719"/>
      <c r="R199" s="719"/>
      <c r="S199" s="721"/>
      <c r="T199" s="721"/>
      <c r="U199" s="719"/>
      <c r="V199" s="719"/>
      <c r="W199" s="719"/>
      <c r="X199" s="721"/>
      <c r="Y199" s="721"/>
      <c r="Z199" s="719"/>
      <c r="AA199" s="719"/>
      <c r="AB199" s="719"/>
      <c r="AC199" s="721"/>
      <c r="AD199" s="721"/>
      <c r="AE199" s="719"/>
      <c r="AF199" s="719"/>
      <c r="AG199" s="719"/>
      <c r="AH199" s="721"/>
      <c r="AI199" s="721"/>
      <c r="AJ199" s="719"/>
      <c r="AK199" s="719"/>
      <c r="AL199" s="719"/>
      <c r="AM199" s="719"/>
      <c r="AN199" s="719"/>
      <c r="AO199" s="719"/>
      <c r="AP199" s="719"/>
      <c r="AQ199" s="719"/>
      <c r="AR199" s="719"/>
      <c r="AS199" s="719"/>
      <c r="AT199" s="719"/>
      <c r="AU199" s="719"/>
      <c r="AV199" s="719"/>
      <c r="AW199" s="719"/>
      <c r="AX199" s="719"/>
      <c r="AY199" s="719"/>
      <c r="AZ199" s="719"/>
      <c r="BA199" s="719"/>
      <c r="BB199" s="719"/>
      <c r="BC199" s="719"/>
      <c r="BD199" s="719"/>
      <c r="BE199" s="719"/>
      <c r="BF199" s="719"/>
      <c r="BG199" s="719"/>
      <c r="BH199" s="719"/>
      <c r="BI199" s="719"/>
      <c r="BJ199" s="719"/>
      <c r="BK199" s="719"/>
      <c r="BL199" s="719"/>
      <c r="BM199" s="719"/>
      <c r="BN199" s="719"/>
      <c r="BO199" s="719"/>
      <c r="BP199" s="719"/>
      <c r="BQ199" s="719"/>
      <c r="BR199" s="719"/>
      <c r="BS199" s="719"/>
      <c r="BT199" s="719"/>
      <c r="BU199" s="719"/>
      <c r="BV199" s="719"/>
      <c r="BW199" s="719"/>
      <c r="BX199" s="719"/>
      <c r="BY199" s="719"/>
      <c r="BZ199" s="719"/>
      <c r="CA199" s="719"/>
      <c r="CB199" s="719"/>
      <c r="CC199" s="719"/>
      <c r="CD199" s="719"/>
      <c r="CE199" s="719"/>
      <c r="CF199" s="719"/>
      <c r="CG199" s="719"/>
      <c r="CH199" s="719"/>
      <c r="CI199" s="719"/>
      <c r="CJ199" s="719"/>
      <c r="CK199" s="719"/>
      <c r="CL199" s="719"/>
      <c r="CM199" s="719"/>
      <c r="CN199" s="719"/>
      <c r="CO199" s="719"/>
      <c r="CP199" s="719"/>
      <c r="CQ199" s="719"/>
      <c r="CR199" s="719"/>
      <c r="CS199" s="719"/>
      <c r="CT199" s="719"/>
      <c r="CU199" s="719"/>
      <c r="CV199" s="719"/>
      <c r="CW199" s="719"/>
      <c r="CX199" s="719"/>
      <c r="CY199" s="719"/>
      <c r="CZ199" s="719"/>
      <c r="DA199" s="719"/>
      <c r="DB199" s="719"/>
      <c r="DC199" s="719"/>
      <c r="DD199" s="719"/>
      <c r="DE199" s="719"/>
      <c r="DF199" s="719"/>
      <c r="DG199" s="719"/>
      <c r="DH199" s="719"/>
      <c r="DI199" s="719"/>
      <c r="DJ199" s="719"/>
      <c r="DK199" s="719"/>
      <c r="DL199" s="719"/>
      <c r="DM199" s="719"/>
      <c r="DN199" s="719"/>
      <c r="DO199" s="719"/>
      <c r="DP199" s="719"/>
      <c r="DQ199" s="719"/>
      <c r="DR199" s="719"/>
    </row>
    <row r="200" spans="1:122" s="275" customFormat="1">
      <c r="A200" s="719"/>
      <c r="B200" s="719"/>
      <c r="C200" s="719"/>
      <c r="D200" s="719"/>
      <c r="E200" s="719"/>
      <c r="F200" s="719"/>
      <c r="G200" s="719"/>
      <c r="H200" s="719"/>
      <c r="I200" s="719"/>
      <c r="J200" s="719"/>
      <c r="K200" s="719"/>
      <c r="L200" s="719"/>
      <c r="M200" s="719"/>
      <c r="N200" s="721"/>
      <c r="O200" s="721"/>
      <c r="P200" s="719"/>
      <c r="Q200" s="719"/>
      <c r="R200" s="719"/>
      <c r="S200" s="721"/>
      <c r="T200" s="721"/>
      <c r="U200" s="719"/>
      <c r="V200" s="719"/>
      <c r="W200" s="719"/>
      <c r="X200" s="721"/>
      <c r="Y200" s="721"/>
      <c r="Z200" s="719"/>
      <c r="AA200" s="719"/>
      <c r="AB200" s="719"/>
      <c r="AC200" s="721"/>
      <c r="AD200" s="721"/>
      <c r="AE200" s="719"/>
      <c r="AF200" s="719"/>
      <c r="AG200" s="719"/>
      <c r="AH200" s="721"/>
      <c r="AI200" s="721"/>
      <c r="AJ200" s="719"/>
      <c r="AK200" s="719"/>
      <c r="AL200" s="719"/>
      <c r="AM200" s="719"/>
      <c r="AN200" s="719"/>
      <c r="AO200" s="719"/>
      <c r="AP200" s="719"/>
      <c r="AQ200" s="719"/>
      <c r="AR200" s="719"/>
      <c r="AS200" s="719"/>
      <c r="AT200" s="719"/>
      <c r="AU200" s="719"/>
      <c r="AV200" s="719"/>
      <c r="AW200" s="719"/>
      <c r="AX200" s="719"/>
      <c r="AY200" s="719"/>
      <c r="AZ200" s="719"/>
      <c r="BA200" s="719"/>
      <c r="BB200" s="719"/>
      <c r="BC200" s="719"/>
      <c r="BD200" s="719"/>
      <c r="BE200" s="719"/>
      <c r="BF200" s="719"/>
      <c r="BG200" s="719"/>
      <c r="BH200" s="719"/>
      <c r="BI200" s="719"/>
      <c r="BJ200" s="719"/>
      <c r="BK200" s="719"/>
      <c r="BL200" s="719"/>
      <c r="BM200" s="719"/>
      <c r="BN200" s="719"/>
      <c r="BO200" s="719"/>
      <c r="BP200" s="719"/>
      <c r="BQ200" s="719"/>
      <c r="BR200" s="719"/>
      <c r="BS200" s="719"/>
      <c r="BT200" s="719"/>
      <c r="BU200" s="719"/>
      <c r="BV200" s="719"/>
      <c r="BW200" s="719"/>
      <c r="BX200" s="719"/>
      <c r="BY200" s="719"/>
      <c r="BZ200" s="719"/>
      <c r="CA200" s="719"/>
      <c r="CB200" s="719"/>
      <c r="CC200" s="719"/>
      <c r="CD200" s="719"/>
      <c r="CE200" s="719"/>
      <c r="CF200" s="719"/>
      <c r="CG200" s="719"/>
      <c r="CH200" s="719"/>
      <c r="CI200" s="719"/>
      <c r="CJ200" s="719"/>
      <c r="CK200" s="719"/>
      <c r="CL200" s="719"/>
      <c r="CM200" s="719"/>
      <c r="CN200" s="719"/>
      <c r="CO200" s="719"/>
      <c r="CP200" s="719"/>
      <c r="CQ200" s="719"/>
      <c r="CR200" s="719"/>
      <c r="CS200" s="719"/>
      <c r="CT200" s="719"/>
      <c r="CU200" s="719"/>
      <c r="CV200" s="719"/>
      <c r="CW200" s="719"/>
      <c r="CX200" s="719"/>
      <c r="CY200" s="719"/>
      <c r="CZ200" s="719"/>
      <c r="DA200" s="719"/>
      <c r="DB200" s="719"/>
      <c r="DC200" s="719"/>
      <c r="DD200" s="719"/>
      <c r="DE200" s="719"/>
      <c r="DF200" s="719"/>
      <c r="DG200" s="719"/>
      <c r="DH200" s="719"/>
      <c r="DI200" s="719"/>
      <c r="DJ200" s="719"/>
      <c r="DK200" s="719"/>
      <c r="DL200" s="719"/>
      <c r="DM200" s="719"/>
      <c r="DN200" s="719"/>
      <c r="DO200" s="719"/>
      <c r="DP200" s="719"/>
      <c r="DQ200" s="719"/>
      <c r="DR200" s="719"/>
    </row>
    <row r="201" spans="1:122" s="275" customFormat="1">
      <c r="A201" s="719"/>
      <c r="B201" s="719"/>
      <c r="C201" s="719"/>
      <c r="D201" s="719"/>
      <c r="E201" s="719"/>
      <c r="F201" s="719"/>
      <c r="G201" s="719"/>
      <c r="H201" s="719"/>
      <c r="I201" s="719"/>
      <c r="J201" s="719"/>
      <c r="K201" s="719"/>
      <c r="L201" s="719"/>
      <c r="M201" s="719"/>
      <c r="N201" s="721"/>
      <c r="O201" s="721"/>
      <c r="P201" s="719"/>
      <c r="Q201" s="719"/>
      <c r="R201" s="719"/>
      <c r="S201" s="721"/>
      <c r="T201" s="721"/>
      <c r="U201" s="719"/>
      <c r="V201" s="719"/>
      <c r="W201" s="719"/>
      <c r="X201" s="721"/>
      <c r="Y201" s="721"/>
      <c r="Z201" s="719"/>
      <c r="AA201" s="719"/>
      <c r="AB201" s="719"/>
      <c r="AC201" s="721"/>
      <c r="AD201" s="721"/>
      <c r="AE201" s="719"/>
      <c r="AF201" s="719"/>
      <c r="AG201" s="719"/>
      <c r="AH201" s="721"/>
      <c r="AI201" s="721"/>
      <c r="AJ201" s="719"/>
      <c r="AK201" s="719"/>
      <c r="AL201" s="719"/>
      <c r="AM201" s="719"/>
      <c r="AN201" s="719"/>
      <c r="AO201" s="719"/>
      <c r="AP201" s="719"/>
      <c r="AQ201" s="719"/>
      <c r="AR201" s="719"/>
      <c r="AS201" s="719"/>
      <c r="AT201" s="719"/>
      <c r="AU201" s="719"/>
      <c r="AV201" s="719"/>
      <c r="AW201" s="719"/>
      <c r="AX201" s="719"/>
      <c r="AY201" s="719"/>
      <c r="AZ201" s="719"/>
      <c r="BA201" s="719"/>
      <c r="BB201" s="719"/>
      <c r="BC201" s="719"/>
      <c r="BD201" s="719"/>
      <c r="BE201" s="719"/>
      <c r="BF201" s="719"/>
      <c r="BG201" s="719"/>
      <c r="BH201" s="719"/>
      <c r="BI201" s="719"/>
      <c r="BJ201" s="719"/>
      <c r="BK201" s="719"/>
      <c r="BL201" s="719"/>
      <c r="BM201" s="719"/>
      <c r="BN201" s="719"/>
      <c r="BO201" s="719"/>
      <c r="BP201" s="719"/>
      <c r="BQ201" s="719"/>
      <c r="BR201" s="719"/>
      <c r="BS201" s="719"/>
      <c r="BT201" s="719"/>
      <c r="BU201" s="719"/>
      <c r="BV201" s="719"/>
      <c r="BW201" s="719"/>
      <c r="BX201" s="719"/>
      <c r="BY201" s="719"/>
      <c r="BZ201" s="719"/>
      <c r="CA201" s="719"/>
      <c r="CB201" s="719"/>
      <c r="CC201" s="719"/>
      <c r="CD201" s="719"/>
      <c r="CE201" s="719"/>
      <c r="CF201" s="719"/>
      <c r="CG201" s="719"/>
      <c r="CH201" s="719"/>
      <c r="CI201" s="719"/>
      <c r="CJ201" s="719"/>
      <c r="CK201" s="719"/>
      <c r="CL201" s="719"/>
      <c r="CM201" s="719"/>
      <c r="CN201" s="719"/>
      <c r="CO201" s="719"/>
      <c r="CP201" s="719"/>
      <c r="CQ201" s="719"/>
      <c r="CR201" s="719"/>
      <c r="CS201" s="719"/>
      <c r="CT201" s="719"/>
      <c r="CU201" s="719"/>
      <c r="CV201" s="719"/>
      <c r="CW201" s="719"/>
      <c r="CX201" s="719"/>
      <c r="CY201" s="719"/>
      <c r="CZ201" s="719"/>
      <c r="DA201" s="719"/>
      <c r="DB201" s="719"/>
      <c r="DC201" s="719"/>
      <c r="DD201" s="719"/>
      <c r="DE201" s="719"/>
      <c r="DF201" s="719"/>
      <c r="DG201" s="719"/>
      <c r="DH201" s="719"/>
      <c r="DI201" s="719"/>
      <c r="DJ201" s="719"/>
      <c r="DK201" s="719"/>
      <c r="DL201" s="719"/>
      <c r="DM201" s="719"/>
      <c r="DN201" s="719"/>
      <c r="DO201" s="719"/>
      <c r="DP201" s="719"/>
      <c r="DQ201" s="719"/>
      <c r="DR201" s="719"/>
    </row>
    <row r="202" spans="1:122" s="275" customFormat="1">
      <c r="A202" s="719"/>
      <c r="B202" s="719"/>
      <c r="C202" s="719"/>
      <c r="D202" s="719"/>
      <c r="E202" s="719"/>
      <c r="F202" s="719"/>
      <c r="G202" s="719"/>
      <c r="H202" s="719"/>
      <c r="I202" s="719"/>
      <c r="J202" s="719"/>
      <c r="K202" s="719"/>
      <c r="L202" s="719"/>
      <c r="M202" s="719"/>
      <c r="N202" s="721"/>
      <c r="O202" s="721"/>
      <c r="P202" s="719"/>
      <c r="Q202" s="719"/>
      <c r="R202" s="719"/>
      <c r="S202" s="721"/>
      <c r="T202" s="721"/>
      <c r="U202" s="719"/>
      <c r="V202" s="719"/>
      <c r="W202" s="719"/>
      <c r="X202" s="721"/>
      <c r="Y202" s="721"/>
      <c r="Z202" s="719"/>
      <c r="AA202" s="719"/>
      <c r="AB202" s="719"/>
      <c r="AC202" s="721"/>
      <c r="AD202" s="721"/>
      <c r="AE202" s="719"/>
      <c r="AF202" s="719"/>
      <c r="AG202" s="719"/>
      <c r="AH202" s="721"/>
      <c r="AI202" s="721"/>
      <c r="AJ202" s="719"/>
      <c r="AK202" s="719"/>
      <c r="AL202" s="719"/>
      <c r="AM202" s="719"/>
      <c r="AN202" s="719"/>
      <c r="AO202" s="719"/>
      <c r="AP202" s="719"/>
      <c r="AQ202" s="719"/>
      <c r="AR202" s="719"/>
      <c r="AS202" s="719"/>
      <c r="AT202" s="719"/>
      <c r="AU202" s="719"/>
      <c r="AV202" s="719"/>
      <c r="AW202" s="719"/>
      <c r="AX202" s="719"/>
      <c r="AY202" s="719"/>
      <c r="AZ202" s="719"/>
      <c r="BA202" s="719"/>
      <c r="BB202" s="719"/>
      <c r="BC202" s="719"/>
      <c r="BD202" s="719"/>
      <c r="BE202" s="719"/>
      <c r="BF202" s="719"/>
      <c r="BG202" s="719"/>
      <c r="BH202" s="719"/>
      <c r="BI202" s="719"/>
      <c r="BJ202" s="719"/>
      <c r="BK202" s="719"/>
      <c r="BL202" s="719"/>
      <c r="BM202" s="719"/>
      <c r="BN202" s="719"/>
      <c r="BO202" s="719"/>
      <c r="BP202" s="719"/>
      <c r="BQ202" s="719"/>
      <c r="BR202" s="719"/>
      <c r="BS202" s="719"/>
      <c r="BT202" s="719"/>
      <c r="BU202" s="719"/>
      <c r="BV202" s="719"/>
      <c r="BW202" s="719"/>
      <c r="BX202" s="719"/>
      <c r="BY202" s="719"/>
      <c r="BZ202" s="719"/>
      <c r="CA202" s="719"/>
      <c r="CB202" s="719"/>
      <c r="CC202" s="719"/>
      <c r="CD202" s="719"/>
      <c r="CE202" s="719"/>
      <c r="CF202" s="719"/>
      <c r="CG202" s="719"/>
      <c r="CH202" s="719"/>
      <c r="CI202" s="719"/>
      <c r="CJ202" s="719"/>
      <c r="CK202" s="719"/>
      <c r="CL202" s="719"/>
      <c r="CM202" s="719"/>
      <c r="CN202" s="719"/>
      <c r="CO202" s="719"/>
      <c r="CP202" s="719"/>
      <c r="CQ202" s="719"/>
      <c r="CR202" s="719"/>
      <c r="CS202" s="719"/>
      <c r="CT202" s="719"/>
      <c r="CU202" s="719"/>
      <c r="CV202" s="719"/>
      <c r="CW202" s="719"/>
      <c r="CX202" s="719"/>
      <c r="CY202" s="719"/>
      <c r="CZ202" s="719"/>
      <c r="DA202" s="719"/>
      <c r="DB202" s="719"/>
      <c r="DC202" s="719"/>
      <c r="DD202" s="719"/>
      <c r="DE202" s="719"/>
      <c r="DF202" s="719"/>
      <c r="DG202" s="719"/>
      <c r="DH202" s="719"/>
      <c r="DI202" s="719"/>
      <c r="DJ202" s="719"/>
      <c r="DK202" s="719"/>
      <c r="DL202" s="719"/>
      <c r="DM202" s="719"/>
      <c r="DN202" s="719"/>
      <c r="DO202" s="719"/>
      <c r="DP202" s="719"/>
      <c r="DQ202" s="719"/>
      <c r="DR202" s="719"/>
    </row>
    <row r="203" spans="1:122" s="275" customFormat="1">
      <c r="A203" s="719"/>
      <c r="B203" s="719"/>
      <c r="C203" s="719"/>
      <c r="D203" s="719"/>
      <c r="E203" s="719"/>
      <c r="F203" s="719"/>
      <c r="G203" s="719"/>
      <c r="H203" s="719"/>
      <c r="I203" s="719"/>
      <c r="J203" s="719"/>
      <c r="K203" s="719"/>
      <c r="L203" s="719"/>
      <c r="M203" s="719"/>
      <c r="N203" s="721"/>
      <c r="O203" s="721"/>
      <c r="P203" s="719"/>
      <c r="Q203" s="719"/>
      <c r="R203" s="719"/>
      <c r="S203" s="721"/>
      <c r="T203" s="721"/>
      <c r="U203" s="719"/>
      <c r="V203" s="719"/>
      <c r="W203" s="719"/>
      <c r="X203" s="721"/>
      <c r="Y203" s="721"/>
      <c r="Z203" s="719"/>
      <c r="AA203" s="719"/>
      <c r="AB203" s="719"/>
      <c r="AC203" s="721"/>
      <c r="AD203" s="721"/>
      <c r="AE203" s="719"/>
      <c r="AF203" s="719"/>
      <c r="AG203" s="719"/>
      <c r="AH203" s="721"/>
      <c r="AI203" s="721"/>
      <c r="AJ203" s="719"/>
      <c r="AK203" s="719"/>
      <c r="AL203" s="719"/>
      <c r="AM203" s="719"/>
      <c r="AN203" s="719"/>
      <c r="AO203" s="719"/>
      <c r="AP203" s="719"/>
      <c r="AQ203" s="719"/>
      <c r="AR203" s="719"/>
      <c r="AS203" s="719"/>
      <c r="AT203" s="719"/>
      <c r="AU203" s="719"/>
      <c r="AV203" s="719"/>
      <c r="AW203" s="719"/>
      <c r="AX203" s="719"/>
      <c r="AY203" s="719"/>
      <c r="AZ203" s="719"/>
      <c r="BA203" s="719"/>
      <c r="BB203" s="719"/>
      <c r="BC203" s="719"/>
      <c r="BD203" s="719"/>
      <c r="BE203" s="719"/>
      <c r="BF203" s="719"/>
      <c r="BG203" s="719"/>
      <c r="BH203" s="719"/>
      <c r="BI203" s="719"/>
      <c r="BJ203" s="719"/>
      <c r="BK203" s="719"/>
      <c r="BL203" s="719"/>
      <c r="BM203" s="719"/>
      <c r="BN203" s="719"/>
      <c r="BO203" s="719"/>
      <c r="BP203" s="719"/>
      <c r="BQ203" s="719"/>
      <c r="BR203" s="719"/>
      <c r="BS203" s="719"/>
      <c r="BT203" s="719"/>
      <c r="BU203" s="719"/>
      <c r="BV203" s="719"/>
      <c r="BW203" s="719"/>
      <c r="BX203" s="719"/>
      <c r="BY203" s="719"/>
      <c r="BZ203" s="719"/>
      <c r="CA203" s="719"/>
      <c r="CB203" s="719"/>
      <c r="CC203" s="719"/>
      <c r="CD203" s="719"/>
      <c r="CE203" s="719"/>
      <c r="CF203" s="719"/>
      <c r="CG203" s="719"/>
      <c r="CH203" s="719"/>
      <c r="CI203" s="719"/>
      <c r="CJ203" s="719"/>
      <c r="CK203" s="719"/>
      <c r="CL203" s="719"/>
      <c r="CM203" s="719"/>
      <c r="CN203" s="719"/>
      <c r="CO203" s="719"/>
      <c r="CP203" s="719"/>
      <c r="CQ203" s="719"/>
      <c r="CR203" s="719"/>
      <c r="CS203" s="719"/>
      <c r="CT203" s="719"/>
      <c r="CU203" s="719"/>
      <c r="CV203" s="719"/>
      <c r="CW203" s="719"/>
      <c r="CX203" s="719"/>
      <c r="CY203" s="719"/>
      <c r="CZ203" s="719"/>
      <c r="DA203" s="719"/>
      <c r="DB203" s="719"/>
      <c r="DC203" s="719"/>
      <c r="DD203" s="719"/>
      <c r="DE203" s="719"/>
      <c r="DF203" s="719"/>
      <c r="DG203" s="719"/>
      <c r="DH203" s="719"/>
      <c r="DI203" s="719"/>
      <c r="DJ203" s="719"/>
      <c r="DK203" s="719"/>
      <c r="DL203" s="719"/>
      <c r="DM203" s="719"/>
      <c r="DN203" s="719"/>
      <c r="DO203" s="719"/>
      <c r="DP203" s="719"/>
      <c r="DQ203" s="719"/>
      <c r="DR203" s="719"/>
    </row>
    <row r="204" spans="1:122" s="275" customFormat="1">
      <c r="A204" s="719"/>
      <c r="B204" s="719"/>
      <c r="C204" s="719"/>
      <c r="D204" s="719"/>
      <c r="E204" s="719"/>
      <c r="F204" s="719"/>
      <c r="G204" s="719"/>
      <c r="H204" s="719"/>
      <c r="I204" s="719"/>
      <c r="J204" s="719"/>
      <c r="K204" s="719"/>
      <c r="L204" s="719"/>
      <c r="M204" s="719"/>
      <c r="N204" s="721"/>
      <c r="O204" s="721"/>
      <c r="P204" s="719"/>
      <c r="Q204" s="719"/>
      <c r="R204" s="719"/>
      <c r="S204" s="721"/>
      <c r="T204" s="721"/>
      <c r="U204" s="719"/>
      <c r="V204" s="719"/>
      <c r="W204" s="719"/>
      <c r="X204" s="721"/>
      <c r="Y204" s="721"/>
      <c r="Z204" s="719"/>
      <c r="AA204" s="719"/>
      <c r="AB204" s="719"/>
      <c r="AC204" s="721"/>
      <c r="AD204" s="721"/>
      <c r="AE204" s="719"/>
      <c r="AF204" s="719"/>
      <c r="AG204" s="719"/>
      <c r="AH204" s="721"/>
      <c r="AI204" s="721"/>
      <c r="AJ204" s="719"/>
      <c r="AK204" s="719"/>
      <c r="AL204" s="719"/>
      <c r="AM204" s="719"/>
      <c r="AN204" s="719"/>
      <c r="AO204" s="719"/>
      <c r="AP204" s="719"/>
      <c r="AQ204" s="719"/>
      <c r="AR204" s="719"/>
      <c r="AS204" s="719"/>
      <c r="AT204" s="719"/>
      <c r="AU204" s="719"/>
      <c r="AV204" s="719"/>
      <c r="AW204" s="719"/>
      <c r="AX204" s="719"/>
      <c r="AY204" s="719"/>
      <c r="AZ204" s="719"/>
      <c r="BA204" s="719"/>
      <c r="BB204" s="719"/>
      <c r="BC204" s="719"/>
      <c r="BD204" s="719"/>
      <c r="BE204" s="719"/>
      <c r="BF204" s="719"/>
      <c r="BG204" s="719"/>
      <c r="BH204" s="719"/>
      <c r="BI204" s="719"/>
      <c r="BJ204" s="719"/>
      <c r="BK204" s="719"/>
      <c r="BL204" s="719"/>
      <c r="BM204" s="719"/>
      <c r="BN204" s="719"/>
      <c r="BO204" s="719"/>
      <c r="BP204" s="719"/>
      <c r="BQ204" s="719"/>
      <c r="BR204" s="719"/>
      <c r="BS204" s="719"/>
      <c r="BT204" s="719"/>
      <c r="BU204" s="719"/>
      <c r="BV204" s="719"/>
      <c r="BW204" s="719"/>
      <c r="BX204" s="719"/>
      <c r="BY204" s="719"/>
      <c r="BZ204" s="719"/>
      <c r="CA204" s="719"/>
      <c r="CB204" s="719"/>
      <c r="CC204" s="719"/>
      <c r="CD204" s="719"/>
      <c r="CE204" s="719"/>
      <c r="CF204" s="719"/>
      <c r="CG204" s="719"/>
      <c r="CH204" s="719"/>
      <c r="CI204" s="719"/>
      <c r="CJ204" s="719"/>
      <c r="CK204" s="719"/>
      <c r="CL204" s="719"/>
      <c r="CM204" s="719"/>
      <c r="CN204" s="719"/>
      <c r="CO204" s="719"/>
      <c r="CP204" s="719"/>
      <c r="CQ204" s="719"/>
      <c r="CR204" s="719"/>
      <c r="CS204" s="719"/>
      <c r="CT204" s="719"/>
      <c r="CU204" s="719"/>
      <c r="CV204" s="719"/>
      <c r="CW204" s="719"/>
      <c r="CX204" s="719"/>
      <c r="CY204" s="719"/>
      <c r="CZ204" s="719"/>
      <c r="DA204" s="719"/>
      <c r="DB204" s="719"/>
      <c r="DC204" s="719"/>
      <c r="DD204" s="719"/>
      <c r="DE204" s="719"/>
      <c r="DF204" s="719"/>
      <c r="DG204" s="719"/>
      <c r="DH204" s="719"/>
      <c r="DI204" s="719"/>
      <c r="DJ204" s="719"/>
      <c r="DK204" s="719"/>
      <c r="DL204" s="719"/>
      <c r="DM204" s="719"/>
      <c r="DN204" s="719"/>
      <c r="DO204" s="719"/>
      <c r="DP204" s="719"/>
      <c r="DQ204" s="719"/>
      <c r="DR204" s="719"/>
    </row>
    <row r="205" spans="1:122" s="275" customFormat="1">
      <c r="A205" s="719"/>
      <c r="B205" s="719"/>
      <c r="C205" s="719"/>
      <c r="D205" s="719"/>
      <c r="E205" s="719"/>
      <c r="F205" s="719"/>
      <c r="G205" s="719"/>
      <c r="H205" s="719"/>
      <c r="I205" s="719"/>
      <c r="J205" s="719"/>
      <c r="K205" s="719"/>
      <c r="L205" s="719"/>
      <c r="M205" s="719"/>
      <c r="N205" s="721"/>
      <c r="O205" s="721"/>
      <c r="P205" s="719"/>
      <c r="Q205" s="719"/>
      <c r="R205" s="719"/>
      <c r="S205" s="721"/>
      <c r="T205" s="721"/>
      <c r="U205" s="719"/>
      <c r="V205" s="719"/>
      <c r="W205" s="719"/>
      <c r="X205" s="721"/>
      <c r="Y205" s="721"/>
      <c r="Z205" s="719"/>
      <c r="AA205" s="719"/>
      <c r="AB205" s="719"/>
      <c r="AC205" s="721"/>
      <c r="AD205" s="721"/>
      <c r="AE205" s="719"/>
      <c r="AF205" s="719"/>
      <c r="AG205" s="719"/>
      <c r="AH205" s="721"/>
      <c r="AI205" s="721"/>
      <c r="AJ205" s="719"/>
      <c r="AK205" s="719"/>
      <c r="AL205" s="719"/>
      <c r="AM205" s="719"/>
      <c r="AN205" s="719"/>
      <c r="AO205" s="719"/>
      <c r="AP205" s="719"/>
      <c r="AQ205" s="719"/>
      <c r="AR205" s="719"/>
      <c r="AS205" s="719"/>
      <c r="AT205" s="719"/>
      <c r="AU205" s="719"/>
      <c r="AV205" s="719"/>
      <c r="AW205" s="719"/>
      <c r="AX205" s="719"/>
      <c r="AY205" s="719"/>
      <c r="AZ205" s="719"/>
      <c r="BA205" s="719"/>
      <c r="BB205" s="719"/>
      <c r="BC205" s="719"/>
      <c r="BD205" s="719"/>
      <c r="BE205" s="719"/>
      <c r="BF205" s="719"/>
      <c r="BG205" s="719"/>
      <c r="BH205" s="719"/>
      <c r="BI205" s="719"/>
      <c r="BJ205" s="719"/>
      <c r="BK205" s="719"/>
      <c r="BL205" s="719"/>
      <c r="BM205" s="719"/>
      <c r="BN205" s="719"/>
      <c r="BO205" s="719"/>
      <c r="BP205" s="719"/>
      <c r="BQ205" s="719"/>
      <c r="BR205" s="719"/>
      <c r="BS205" s="719"/>
      <c r="BT205" s="719"/>
      <c r="BU205" s="719"/>
      <c r="BV205" s="719"/>
      <c r="BW205" s="719"/>
      <c r="BX205" s="719"/>
      <c r="BY205" s="719"/>
      <c r="BZ205" s="719"/>
      <c r="CA205" s="719"/>
      <c r="CB205" s="719"/>
      <c r="CC205" s="719"/>
      <c r="CD205" s="719"/>
      <c r="CE205" s="719"/>
      <c r="CF205" s="719"/>
      <c r="CG205" s="719"/>
      <c r="CH205" s="719"/>
      <c r="CI205" s="719"/>
      <c r="CJ205" s="719"/>
      <c r="CK205" s="719"/>
      <c r="CL205" s="719"/>
      <c r="CM205" s="719"/>
      <c r="CN205" s="719"/>
      <c r="CO205" s="719"/>
      <c r="CP205" s="719"/>
      <c r="CQ205" s="719"/>
      <c r="CR205" s="719"/>
      <c r="CS205" s="719"/>
      <c r="CT205" s="719"/>
      <c r="CU205" s="719"/>
      <c r="CV205" s="719"/>
      <c r="CW205" s="719"/>
      <c r="CX205" s="719"/>
      <c r="CY205" s="719"/>
      <c r="CZ205" s="719"/>
      <c r="DA205" s="719"/>
      <c r="DB205" s="719"/>
      <c r="DC205" s="719"/>
      <c r="DD205" s="719"/>
      <c r="DE205" s="719"/>
      <c r="DF205" s="719"/>
      <c r="DG205" s="719"/>
      <c r="DH205" s="719"/>
      <c r="DI205" s="719"/>
      <c r="DJ205" s="719"/>
      <c r="DK205" s="719"/>
      <c r="DL205" s="719"/>
      <c r="DM205" s="719"/>
      <c r="DN205" s="719"/>
      <c r="DO205" s="719"/>
      <c r="DP205" s="719"/>
      <c r="DQ205" s="719"/>
      <c r="DR205" s="719"/>
    </row>
    <row r="206" spans="1:122" s="275" customFormat="1">
      <c r="A206" s="719"/>
      <c r="B206" s="719"/>
      <c r="C206" s="719"/>
      <c r="D206" s="719"/>
      <c r="E206" s="719"/>
      <c r="F206" s="719"/>
      <c r="G206" s="719"/>
      <c r="H206" s="719"/>
      <c r="I206" s="719"/>
      <c r="J206" s="719"/>
      <c r="K206" s="719"/>
      <c r="L206" s="719"/>
      <c r="M206" s="719"/>
      <c r="N206" s="721"/>
      <c r="O206" s="721"/>
      <c r="P206" s="719"/>
      <c r="Q206" s="719"/>
      <c r="R206" s="719"/>
      <c r="S206" s="721"/>
      <c r="T206" s="721"/>
      <c r="U206" s="719"/>
      <c r="V206" s="719"/>
      <c r="W206" s="719"/>
      <c r="X206" s="721"/>
      <c r="Y206" s="721"/>
      <c r="Z206" s="719"/>
      <c r="AA206" s="719"/>
      <c r="AB206" s="719"/>
      <c r="AC206" s="721"/>
      <c r="AD206" s="721"/>
      <c r="AE206" s="719"/>
      <c r="AF206" s="719"/>
      <c r="AG206" s="719"/>
      <c r="AH206" s="721"/>
      <c r="AI206" s="721"/>
      <c r="AJ206" s="719"/>
      <c r="AK206" s="719"/>
      <c r="AL206" s="719"/>
      <c r="AM206" s="719"/>
      <c r="AN206" s="719"/>
      <c r="AO206" s="719"/>
      <c r="AP206" s="719"/>
      <c r="AQ206" s="719"/>
      <c r="AR206" s="719"/>
      <c r="AS206" s="719"/>
      <c r="AT206" s="719"/>
      <c r="AU206" s="719"/>
      <c r="AV206" s="719"/>
      <c r="AW206" s="719"/>
      <c r="AX206" s="719"/>
      <c r="AY206" s="719"/>
      <c r="AZ206" s="719"/>
      <c r="BA206" s="719"/>
      <c r="BB206" s="719"/>
      <c r="BC206" s="719"/>
      <c r="BD206" s="719"/>
      <c r="BE206" s="719"/>
      <c r="BF206" s="719"/>
      <c r="BG206" s="719"/>
      <c r="BH206" s="719"/>
      <c r="BI206" s="719"/>
      <c r="BJ206" s="719"/>
      <c r="BK206" s="719"/>
      <c r="BL206" s="719"/>
      <c r="BM206" s="719"/>
      <c r="BN206" s="719"/>
      <c r="BO206" s="719"/>
      <c r="BP206" s="719"/>
      <c r="BQ206" s="719"/>
      <c r="BR206" s="719"/>
      <c r="BS206" s="719"/>
      <c r="BT206" s="719"/>
      <c r="BU206" s="719"/>
      <c r="BV206" s="719"/>
      <c r="BW206" s="719"/>
      <c r="BX206" s="719"/>
      <c r="BY206" s="719"/>
      <c r="BZ206" s="719"/>
      <c r="CA206" s="719"/>
      <c r="CB206" s="719"/>
      <c r="CC206" s="719"/>
      <c r="CD206" s="719"/>
      <c r="CE206" s="719"/>
      <c r="CF206" s="719"/>
      <c r="CG206" s="719"/>
      <c r="CH206" s="719"/>
      <c r="CI206" s="719"/>
      <c r="CJ206" s="719"/>
      <c r="CK206" s="719"/>
      <c r="CL206" s="719"/>
      <c r="CM206" s="719"/>
      <c r="CN206" s="719"/>
      <c r="CO206" s="719"/>
      <c r="CP206" s="719"/>
      <c r="CQ206" s="719"/>
      <c r="CR206" s="719"/>
      <c r="CS206" s="719"/>
      <c r="CT206" s="719"/>
      <c r="CU206" s="719"/>
      <c r="CV206" s="719"/>
      <c r="CW206" s="719"/>
      <c r="CX206" s="719"/>
      <c r="CY206" s="719"/>
      <c r="CZ206" s="719"/>
      <c r="DA206" s="719"/>
      <c r="DB206" s="719"/>
      <c r="DC206" s="719"/>
      <c r="DD206" s="719"/>
      <c r="DE206" s="719"/>
      <c r="DF206" s="719"/>
      <c r="DG206" s="719"/>
      <c r="DH206" s="719"/>
      <c r="DI206" s="719"/>
      <c r="DJ206" s="719"/>
      <c r="DK206" s="719"/>
      <c r="DL206" s="719"/>
      <c r="DM206" s="719"/>
      <c r="DN206" s="719"/>
      <c r="DO206" s="719"/>
      <c r="DP206" s="719"/>
      <c r="DQ206" s="719"/>
      <c r="DR206" s="719"/>
    </row>
    <row r="207" spans="1:122" s="275" customFormat="1">
      <c r="A207" s="719"/>
      <c r="B207" s="719"/>
      <c r="C207" s="719"/>
      <c r="D207" s="719"/>
      <c r="E207" s="719"/>
      <c r="F207" s="719"/>
      <c r="G207" s="719"/>
      <c r="H207" s="719"/>
      <c r="I207" s="719"/>
      <c r="J207" s="719"/>
      <c r="K207" s="719"/>
      <c r="L207" s="719"/>
      <c r="M207" s="719"/>
      <c r="N207" s="721"/>
      <c r="O207" s="721"/>
      <c r="P207" s="719"/>
      <c r="Q207" s="719"/>
      <c r="R207" s="719"/>
      <c r="S207" s="721"/>
      <c r="T207" s="721"/>
      <c r="U207" s="719"/>
      <c r="V207" s="719"/>
      <c r="W207" s="719"/>
      <c r="X207" s="721"/>
      <c r="Y207" s="721"/>
      <c r="Z207" s="719"/>
      <c r="AA207" s="719"/>
      <c r="AB207" s="719"/>
      <c r="AC207" s="721"/>
      <c r="AD207" s="721"/>
      <c r="AE207" s="719"/>
      <c r="AF207" s="719"/>
      <c r="AG207" s="719"/>
      <c r="AH207" s="721"/>
      <c r="AI207" s="721"/>
      <c r="AJ207" s="719"/>
      <c r="AK207" s="719"/>
      <c r="AL207" s="719"/>
      <c r="AM207" s="719"/>
      <c r="AN207" s="719"/>
      <c r="AO207" s="719"/>
      <c r="AP207" s="719"/>
      <c r="AQ207" s="719"/>
      <c r="AR207" s="719"/>
      <c r="AS207" s="719"/>
      <c r="AT207" s="719"/>
      <c r="AU207" s="719"/>
      <c r="AV207" s="719"/>
      <c r="AW207" s="719"/>
      <c r="AX207" s="719"/>
      <c r="AY207" s="719"/>
      <c r="AZ207" s="719"/>
      <c r="BA207" s="719"/>
      <c r="BB207" s="719"/>
      <c r="BC207" s="719"/>
      <c r="BD207" s="719"/>
      <c r="BE207" s="719"/>
      <c r="BF207" s="719"/>
      <c r="BG207" s="719"/>
      <c r="BH207" s="719"/>
      <c r="BI207" s="719"/>
      <c r="BJ207" s="719"/>
      <c r="BK207" s="719"/>
      <c r="BL207" s="719"/>
      <c r="BM207" s="719"/>
      <c r="BN207" s="719"/>
      <c r="BO207" s="719"/>
      <c r="BP207" s="719"/>
      <c r="BQ207" s="719"/>
      <c r="BR207" s="719"/>
      <c r="BS207" s="719"/>
      <c r="BT207" s="719"/>
      <c r="BU207" s="719"/>
      <c r="BV207" s="719"/>
      <c r="BW207" s="719"/>
      <c r="BX207" s="719"/>
      <c r="BY207" s="719"/>
      <c r="BZ207" s="719"/>
      <c r="CA207" s="719"/>
      <c r="CB207" s="719"/>
      <c r="CC207" s="719"/>
      <c r="CD207" s="719"/>
      <c r="CE207" s="719"/>
      <c r="CF207" s="719"/>
      <c r="CG207" s="719"/>
      <c r="CH207" s="719"/>
      <c r="CI207" s="719"/>
      <c r="CJ207" s="719"/>
      <c r="CK207" s="719"/>
      <c r="CL207" s="719"/>
      <c r="CM207" s="719"/>
      <c r="CN207" s="719"/>
      <c r="CO207" s="719"/>
      <c r="CP207" s="719"/>
      <c r="CQ207" s="719"/>
      <c r="CR207" s="719"/>
      <c r="CS207" s="719"/>
      <c r="CT207" s="719"/>
      <c r="CU207" s="719"/>
      <c r="CV207" s="719"/>
      <c r="CW207" s="719"/>
      <c r="CX207" s="719"/>
      <c r="CY207" s="719"/>
      <c r="CZ207" s="719"/>
      <c r="DA207" s="719"/>
      <c r="DB207" s="719"/>
      <c r="DC207" s="719"/>
      <c r="DD207" s="719"/>
      <c r="DE207" s="719"/>
      <c r="DF207" s="719"/>
      <c r="DG207" s="719"/>
      <c r="DH207" s="719"/>
      <c r="DI207" s="719"/>
      <c r="DJ207" s="719"/>
      <c r="DK207" s="719"/>
      <c r="DL207" s="719"/>
      <c r="DM207" s="719"/>
      <c r="DN207" s="719"/>
      <c r="DO207" s="719"/>
      <c r="DP207" s="719"/>
      <c r="DQ207" s="719"/>
      <c r="DR207" s="719"/>
    </row>
    <row r="208" spans="1:122" s="275" customFormat="1">
      <c r="A208" s="719"/>
      <c r="B208" s="719"/>
      <c r="C208" s="719"/>
      <c r="D208" s="719"/>
      <c r="E208" s="719"/>
      <c r="F208" s="719"/>
      <c r="G208" s="719"/>
      <c r="H208" s="719"/>
      <c r="I208" s="719"/>
      <c r="J208" s="719"/>
      <c r="K208" s="719"/>
      <c r="L208" s="719"/>
      <c r="M208" s="719"/>
      <c r="N208" s="721"/>
      <c r="O208" s="721"/>
      <c r="P208" s="719"/>
      <c r="Q208" s="719"/>
      <c r="R208" s="719"/>
      <c r="S208" s="721"/>
      <c r="T208" s="721"/>
      <c r="U208" s="719"/>
      <c r="V208" s="719"/>
      <c r="W208" s="719"/>
      <c r="X208" s="721"/>
      <c r="Y208" s="721"/>
      <c r="Z208" s="719"/>
      <c r="AA208" s="719"/>
      <c r="AB208" s="719"/>
      <c r="AC208" s="721"/>
      <c r="AD208" s="721"/>
      <c r="AE208" s="719"/>
      <c r="AF208" s="719"/>
      <c r="AG208" s="719"/>
      <c r="AH208" s="721"/>
      <c r="AI208" s="721"/>
      <c r="AJ208" s="719"/>
      <c r="AK208" s="719"/>
      <c r="AL208" s="719"/>
      <c r="AM208" s="719"/>
      <c r="AN208" s="719"/>
      <c r="AO208" s="719"/>
      <c r="AP208" s="719"/>
      <c r="AQ208" s="719"/>
      <c r="AR208" s="719"/>
      <c r="AS208" s="719"/>
      <c r="AT208" s="719"/>
      <c r="AU208" s="719"/>
      <c r="AV208" s="719"/>
      <c r="AW208" s="719"/>
      <c r="AX208" s="719"/>
      <c r="AY208" s="719"/>
      <c r="AZ208" s="719"/>
      <c r="BA208" s="719"/>
      <c r="BB208" s="719"/>
      <c r="BC208" s="719"/>
      <c r="BD208" s="719"/>
      <c r="BE208" s="719"/>
      <c r="BF208" s="719"/>
      <c r="BG208" s="719"/>
      <c r="BH208" s="719"/>
      <c r="BI208" s="719"/>
      <c r="BJ208" s="719"/>
      <c r="BK208" s="719"/>
      <c r="BL208" s="719"/>
      <c r="BM208" s="719"/>
      <c r="BN208" s="719"/>
      <c r="BO208" s="719"/>
      <c r="BP208" s="719"/>
      <c r="BQ208" s="719"/>
      <c r="BR208" s="719"/>
      <c r="BS208" s="719"/>
      <c r="BT208" s="719"/>
      <c r="BU208" s="719"/>
      <c r="BV208" s="719"/>
      <c r="BW208" s="719"/>
      <c r="BX208" s="719"/>
      <c r="BY208" s="719"/>
      <c r="BZ208" s="719"/>
      <c r="CA208" s="719"/>
      <c r="CB208" s="719"/>
      <c r="CC208" s="719"/>
      <c r="CD208" s="719"/>
      <c r="CE208" s="719"/>
      <c r="CF208" s="719"/>
      <c r="CG208" s="719"/>
      <c r="CH208" s="719"/>
      <c r="CI208" s="719"/>
      <c r="CJ208" s="719"/>
      <c r="CK208" s="719"/>
      <c r="CL208" s="719"/>
      <c r="CM208" s="719"/>
      <c r="CN208" s="719"/>
      <c r="CO208" s="719"/>
      <c r="CP208" s="719"/>
      <c r="CQ208" s="719"/>
      <c r="CR208" s="719"/>
      <c r="CS208" s="719"/>
      <c r="CT208" s="719"/>
      <c r="CU208" s="719"/>
      <c r="CV208" s="719"/>
      <c r="CW208" s="719"/>
      <c r="CX208" s="719"/>
      <c r="CY208" s="719"/>
      <c r="CZ208" s="719"/>
      <c r="DA208" s="719"/>
      <c r="DB208" s="719"/>
      <c r="DC208" s="719"/>
      <c r="DD208" s="719"/>
      <c r="DE208" s="719"/>
      <c r="DF208" s="719"/>
      <c r="DG208" s="719"/>
      <c r="DH208" s="719"/>
      <c r="DI208" s="719"/>
      <c r="DJ208" s="719"/>
      <c r="DK208" s="719"/>
      <c r="DL208" s="719"/>
      <c r="DM208" s="719"/>
      <c r="DN208" s="719"/>
      <c r="DO208" s="719"/>
      <c r="DP208" s="719"/>
      <c r="DQ208" s="719"/>
      <c r="DR208" s="719"/>
    </row>
    <row r="209" spans="1:122" s="275" customFormat="1">
      <c r="A209" s="719"/>
      <c r="B209" s="719"/>
      <c r="C209" s="719"/>
      <c r="D209" s="719"/>
      <c r="E209" s="719"/>
      <c r="F209" s="719"/>
      <c r="G209" s="719"/>
      <c r="H209" s="719"/>
      <c r="I209" s="719"/>
      <c r="J209" s="719"/>
      <c r="K209" s="719"/>
      <c r="L209" s="719"/>
      <c r="M209" s="719"/>
      <c r="N209" s="721"/>
      <c r="O209" s="721"/>
      <c r="P209" s="719"/>
      <c r="Q209" s="719"/>
      <c r="R209" s="719"/>
      <c r="S209" s="721"/>
      <c r="T209" s="721"/>
      <c r="U209" s="719"/>
      <c r="V209" s="719"/>
      <c r="W209" s="719"/>
      <c r="X209" s="721"/>
      <c r="Y209" s="721"/>
      <c r="Z209" s="719"/>
      <c r="AA209" s="719"/>
      <c r="AB209" s="719"/>
      <c r="AC209" s="721"/>
      <c r="AD209" s="721"/>
      <c r="AE209" s="719"/>
      <c r="AF209" s="719"/>
      <c r="AG209" s="719"/>
      <c r="AH209" s="721"/>
      <c r="AI209" s="721"/>
      <c r="AJ209" s="719"/>
      <c r="AK209" s="719"/>
      <c r="AL209" s="719"/>
      <c r="AM209" s="719"/>
      <c r="AN209" s="719"/>
      <c r="AO209" s="719"/>
      <c r="AP209" s="719"/>
      <c r="AQ209" s="719"/>
      <c r="AR209" s="719"/>
      <c r="AS209" s="719"/>
      <c r="AT209" s="719"/>
      <c r="AU209" s="719"/>
      <c r="AV209" s="719"/>
      <c r="AW209" s="719"/>
      <c r="AX209" s="719"/>
      <c r="AY209" s="719"/>
      <c r="AZ209" s="719"/>
      <c r="BA209" s="719"/>
      <c r="BB209" s="719"/>
      <c r="BC209" s="719"/>
      <c r="BD209" s="719"/>
      <c r="BE209" s="719"/>
      <c r="BF209" s="719"/>
      <c r="BG209" s="719"/>
      <c r="BH209" s="719"/>
      <c r="BI209" s="719"/>
      <c r="BJ209" s="719"/>
      <c r="BK209" s="719"/>
      <c r="BL209" s="719"/>
      <c r="BM209" s="719"/>
      <c r="BN209" s="719"/>
      <c r="BO209" s="719"/>
      <c r="BP209" s="719"/>
      <c r="BQ209" s="719"/>
      <c r="BR209" s="719"/>
      <c r="BS209" s="719"/>
      <c r="BT209" s="719"/>
      <c r="BU209" s="719"/>
      <c r="BV209" s="719"/>
      <c r="BW209" s="719"/>
      <c r="BX209" s="719"/>
      <c r="BY209" s="719"/>
      <c r="BZ209" s="719"/>
      <c r="CA209" s="719"/>
      <c r="CB209" s="719"/>
      <c r="CC209" s="719"/>
      <c r="CD209" s="719"/>
      <c r="CE209" s="719"/>
      <c r="CF209" s="719"/>
      <c r="CG209" s="719"/>
      <c r="CH209" s="719"/>
      <c r="CI209" s="719"/>
      <c r="CJ209" s="719"/>
      <c r="CK209" s="719"/>
      <c r="CL209" s="719"/>
      <c r="CM209" s="719"/>
      <c r="CN209" s="719"/>
      <c r="CO209" s="719"/>
      <c r="CP209" s="719"/>
      <c r="CQ209" s="719"/>
      <c r="CR209" s="719"/>
      <c r="CS209" s="719"/>
      <c r="CT209" s="719"/>
      <c r="CU209" s="719"/>
      <c r="CV209" s="719"/>
      <c r="CW209" s="719"/>
      <c r="CX209" s="719"/>
      <c r="CY209" s="719"/>
      <c r="CZ209" s="719"/>
      <c r="DA209" s="719"/>
      <c r="DB209" s="719"/>
      <c r="DC209" s="719"/>
      <c r="DD209" s="719"/>
      <c r="DE209" s="719"/>
      <c r="DF209" s="719"/>
      <c r="DG209" s="719"/>
      <c r="DH209" s="719"/>
      <c r="DI209" s="719"/>
      <c r="DJ209" s="719"/>
      <c r="DK209" s="719"/>
      <c r="DL209" s="719"/>
      <c r="DM209" s="719"/>
      <c r="DN209" s="719"/>
      <c r="DO209" s="719"/>
      <c r="DP209" s="719"/>
      <c r="DQ209" s="719"/>
      <c r="DR209" s="719"/>
    </row>
    <row r="210" spans="1:122" s="275" customFormat="1">
      <c r="A210" s="719"/>
      <c r="B210" s="719"/>
      <c r="C210" s="719"/>
      <c r="D210" s="719"/>
      <c r="E210" s="719"/>
      <c r="F210" s="719"/>
      <c r="G210" s="719"/>
      <c r="H210" s="719"/>
      <c r="I210" s="719"/>
      <c r="J210" s="719"/>
      <c r="K210" s="719"/>
      <c r="L210" s="719"/>
      <c r="M210" s="719"/>
      <c r="N210" s="721"/>
      <c r="O210" s="721"/>
      <c r="P210" s="719"/>
      <c r="Q210" s="719"/>
      <c r="R210" s="719"/>
      <c r="S210" s="721"/>
      <c r="T210" s="721"/>
      <c r="U210" s="719"/>
      <c r="V210" s="719"/>
      <c r="W210" s="719"/>
      <c r="X210" s="721"/>
      <c r="Y210" s="721"/>
      <c r="Z210" s="719"/>
      <c r="AA210" s="719"/>
      <c r="AB210" s="719"/>
      <c r="AC210" s="721"/>
      <c r="AD210" s="721"/>
      <c r="AE210" s="719"/>
      <c r="AF210" s="719"/>
      <c r="AG210" s="719"/>
      <c r="AH210" s="721"/>
      <c r="AI210" s="721"/>
      <c r="AJ210" s="719"/>
      <c r="AK210" s="719"/>
      <c r="AL210" s="719"/>
      <c r="AM210" s="719"/>
      <c r="AN210" s="719"/>
      <c r="AO210" s="719"/>
      <c r="AP210" s="719"/>
      <c r="AQ210" s="719"/>
      <c r="AR210" s="719"/>
      <c r="AS210" s="719"/>
      <c r="AT210" s="719"/>
      <c r="AU210" s="719"/>
      <c r="AV210" s="719"/>
      <c r="AW210" s="719"/>
      <c r="AX210" s="719"/>
      <c r="AY210" s="719"/>
      <c r="AZ210" s="719"/>
      <c r="BA210" s="719"/>
      <c r="BB210" s="719"/>
      <c r="BC210" s="719"/>
      <c r="BD210" s="719"/>
      <c r="BE210" s="719"/>
      <c r="BF210" s="719"/>
      <c r="BG210" s="719"/>
      <c r="BH210" s="719"/>
      <c r="BI210" s="719"/>
      <c r="BJ210" s="719"/>
      <c r="BK210" s="719"/>
      <c r="BL210" s="719"/>
      <c r="BM210" s="719"/>
      <c r="BN210" s="719"/>
      <c r="BO210" s="719"/>
      <c r="BP210" s="719"/>
      <c r="BQ210" s="719"/>
      <c r="BR210" s="719"/>
      <c r="BS210" s="719"/>
      <c r="BT210" s="719"/>
      <c r="BU210" s="719"/>
      <c r="BV210" s="719"/>
      <c r="BW210" s="719"/>
      <c r="BX210" s="719"/>
      <c r="BY210" s="719"/>
      <c r="BZ210" s="719"/>
      <c r="CA210" s="719"/>
      <c r="CB210" s="719"/>
      <c r="CC210" s="719"/>
      <c r="CD210" s="719"/>
      <c r="CE210" s="719"/>
      <c r="CF210" s="719"/>
      <c r="CG210" s="719"/>
      <c r="CH210" s="719"/>
      <c r="CI210" s="719"/>
      <c r="CJ210" s="719"/>
      <c r="CK210" s="719"/>
      <c r="CL210" s="719"/>
      <c r="CM210" s="719"/>
      <c r="CN210" s="719"/>
      <c r="CO210" s="719"/>
      <c r="CP210" s="719"/>
      <c r="CQ210" s="719"/>
      <c r="CR210" s="719"/>
      <c r="CS210" s="719"/>
      <c r="CT210" s="719"/>
      <c r="CU210" s="719"/>
      <c r="CV210" s="719"/>
      <c r="CW210" s="719"/>
      <c r="CX210" s="719"/>
      <c r="CY210" s="719"/>
      <c r="CZ210" s="719"/>
      <c r="DA210" s="719"/>
      <c r="DB210" s="719"/>
      <c r="DC210" s="719"/>
      <c r="DD210" s="719"/>
      <c r="DE210" s="719"/>
      <c r="DF210" s="719"/>
      <c r="DG210" s="719"/>
      <c r="DH210" s="719"/>
      <c r="DI210" s="719"/>
      <c r="DJ210" s="719"/>
      <c r="DK210" s="719"/>
      <c r="DL210" s="719"/>
      <c r="DM210" s="719"/>
      <c r="DN210" s="719"/>
      <c r="DO210" s="719"/>
      <c r="DP210" s="719"/>
      <c r="DQ210" s="719"/>
      <c r="DR210" s="719"/>
    </row>
    <row r="211" spans="1:122" s="275" customFormat="1">
      <c r="A211" s="719"/>
      <c r="B211" s="719"/>
      <c r="C211" s="719"/>
      <c r="D211" s="719"/>
      <c r="E211" s="719"/>
      <c r="F211" s="719"/>
      <c r="G211" s="719"/>
      <c r="H211" s="719"/>
      <c r="I211" s="719"/>
      <c r="J211" s="719"/>
      <c r="K211" s="719"/>
      <c r="L211" s="719"/>
      <c r="M211" s="719"/>
      <c r="N211" s="721"/>
      <c r="O211" s="721"/>
      <c r="P211" s="719"/>
      <c r="Q211" s="719"/>
      <c r="R211" s="719"/>
      <c r="S211" s="721"/>
      <c r="T211" s="721"/>
      <c r="U211" s="719"/>
      <c r="V211" s="719"/>
      <c r="W211" s="719"/>
      <c r="X211" s="721"/>
      <c r="Y211" s="721"/>
      <c r="Z211" s="719"/>
      <c r="AA211" s="719"/>
      <c r="AB211" s="719"/>
      <c r="AC211" s="721"/>
      <c r="AD211" s="721"/>
      <c r="AE211" s="719"/>
      <c r="AF211" s="719"/>
      <c r="AG211" s="719"/>
      <c r="AH211" s="721"/>
      <c r="AI211" s="721"/>
      <c r="AJ211" s="719"/>
      <c r="AK211" s="719"/>
      <c r="AL211" s="719"/>
      <c r="AM211" s="719"/>
      <c r="AN211" s="719"/>
      <c r="AO211" s="719"/>
      <c r="AP211" s="719"/>
      <c r="AQ211" s="719"/>
      <c r="AR211" s="719"/>
      <c r="AS211" s="719"/>
      <c r="AT211" s="719"/>
      <c r="AU211" s="719"/>
      <c r="AV211" s="719"/>
      <c r="AW211" s="719"/>
      <c r="AX211" s="719"/>
      <c r="AY211" s="719"/>
      <c r="AZ211" s="719"/>
      <c r="BA211" s="719"/>
      <c r="BB211" s="719"/>
      <c r="BC211" s="719"/>
      <c r="BD211" s="719"/>
      <c r="BE211" s="719"/>
      <c r="BF211" s="719"/>
      <c r="BG211" s="719"/>
      <c r="BH211" s="719"/>
      <c r="BI211" s="719"/>
      <c r="BJ211" s="719"/>
      <c r="BK211" s="719"/>
      <c r="BL211" s="719"/>
      <c r="BM211" s="719"/>
      <c r="BN211" s="719"/>
      <c r="BO211" s="719"/>
      <c r="BP211" s="719"/>
      <c r="BQ211" s="719"/>
      <c r="BR211" s="719"/>
      <c r="BS211" s="719"/>
      <c r="BT211" s="719"/>
      <c r="BU211" s="719"/>
      <c r="BV211" s="719"/>
      <c r="BW211" s="719"/>
      <c r="BX211" s="719"/>
      <c r="BY211" s="719"/>
      <c r="BZ211" s="719"/>
      <c r="CA211" s="719"/>
      <c r="CB211" s="719"/>
      <c r="CC211" s="719"/>
      <c r="CD211" s="719"/>
      <c r="CE211" s="719"/>
      <c r="CF211" s="719"/>
      <c r="CG211" s="719"/>
      <c r="CH211" s="719"/>
      <c r="CI211" s="719"/>
      <c r="CJ211" s="719"/>
      <c r="CK211" s="719"/>
      <c r="CL211" s="719"/>
      <c r="CM211" s="719"/>
      <c r="CN211" s="719"/>
      <c r="CO211" s="719"/>
      <c r="CP211" s="719"/>
      <c r="CQ211" s="719"/>
      <c r="CR211" s="719"/>
      <c r="CS211" s="719"/>
      <c r="CT211" s="719"/>
      <c r="CU211" s="719"/>
      <c r="CV211" s="719"/>
      <c r="CW211" s="719"/>
      <c r="CX211" s="719"/>
      <c r="CY211" s="719"/>
      <c r="CZ211" s="719"/>
      <c r="DA211" s="719"/>
      <c r="DB211" s="719"/>
      <c r="DC211" s="719"/>
      <c r="DD211" s="719"/>
      <c r="DE211" s="719"/>
      <c r="DF211" s="719"/>
      <c r="DG211" s="719"/>
      <c r="DH211" s="719"/>
      <c r="DI211" s="719"/>
      <c r="DJ211" s="719"/>
      <c r="DK211" s="719"/>
      <c r="DL211" s="719"/>
      <c r="DM211" s="719"/>
      <c r="DN211" s="719"/>
      <c r="DO211" s="719"/>
      <c r="DP211" s="719"/>
      <c r="DQ211" s="719"/>
      <c r="DR211" s="719"/>
    </row>
    <row r="212" spans="1:122" s="275" customFormat="1">
      <c r="A212" s="719"/>
      <c r="B212" s="719"/>
      <c r="C212" s="719"/>
      <c r="D212" s="719"/>
      <c r="E212" s="719"/>
      <c r="F212" s="719"/>
      <c r="G212" s="719"/>
      <c r="H212" s="719"/>
      <c r="I212" s="719"/>
      <c r="J212" s="719"/>
      <c r="K212" s="719"/>
      <c r="L212" s="719"/>
      <c r="M212" s="719"/>
      <c r="N212" s="721"/>
      <c r="O212" s="721"/>
      <c r="P212" s="719"/>
      <c r="Q212" s="719"/>
      <c r="R212" s="719"/>
      <c r="S212" s="721"/>
      <c r="T212" s="721"/>
      <c r="U212" s="719"/>
      <c r="V212" s="719"/>
      <c r="W212" s="719"/>
      <c r="X212" s="721"/>
      <c r="Y212" s="721"/>
      <c r="Z212" s="719"/>
      <c r="AA212" s="719"/>
      <c r="AB212" s="719"/>
      <c r="AC212" s="721"/>
      <c r="AD212" s="721"/>
      <c r="AE212" s="719"/>
      <c r="AF212" s="719"/>
      <c r="AG212" s="719"/>
      <c r="AH212" s="721"/>
      <c r="AI212" s="721"/>
      <c r="AJ212" s="719"/>
      <c r="AK212" s="719"/>
      <c r="AL212" s="719"/>
      <c r="AM212" s="719"/>
      <c r="AN212" s="719"/>
      <c r="AO212" s="719"/>
      <c r="AP212" s="719"/>
      <c r="AQ212" s="719"/>
      <c r="AR212" s="719"/>
      <c r="AS212" s="719"/>
      <c r="AT212" s="719"/>
      <c r="AU212" s="719"/>
      <c r="AV212" s="719"/>
      <c r="AW212" s="719"/>
      <c r="AX212" s="719"/>
      <c r="AY212" s="719"/>
      <c r="AZ212" s="719"/>
      <c r="BA212" s="719"/>
      <c r="BB212" s="719"/>
      <c r="BC212" s="719"/>
      <c r="BD212" s="719"/>
      <c r="BE212" s="719"/>
      <c r="BF212" s="719"/>
      <c r="BG212" s="719"/>
      <c r="BH212" s="719"/>
      <c r="BI212" s="719"/>
      <c r="BJ212" s="719"/>
      <c r="BK212" s="719"/>
      <c r="BL212" s="719"/>
      <c r="BM212" s="719"/>
      <c r="BN212" s="719"/>
      <c r="BO212" s="719"/>
      <c r="BP212" s="719"/>
      <c r="BQ212" s="719"/>
      <c r="BR212" s="719"/>
      <c r="BS212" s="719"/>
      <c r="BT212" s="719"/>
      <c r="BU212" s="719"/>
      <c r="BV212" s="719"/>
      <c r="BW212" s="719"/>
      <c r="BX212" s="719"/>
      <c r="BY212" s="719"/>
      <c r="BZ212" s="719"/>
      <c r="CA212" s="719"/>
      <c r="CB212" s="719"/>
      <c r="CC212" s="719"/>
      <c r="CD212" s="719"/>
      <c r="CE212" s="719"/>
      <c r="CF212" s="719"/>
      <c r="CG212" s="719"/>
      <c r="CH212" s="719"/>
      <c r="CI212" s="719"/>
      <c r="CJ212" s="719"/>
      <c r="CK212" s="719"/>
      <c r="CL212" s="719"/>
      <c r="CM212" s="719"/>
      <c r="CN212" s="719"/>
      <c r="CO212" s="719"/>
      <c r="CP212" s="719"/>
      <c r="CQ212" s="719"/>
      <c r="CR212" s="719"/>
      <c r="CS212" s="719"/>
      <c r="CT212" s="719"/>
      <c r="CU212" s="719"/>
      <c r="CV212" s="719"/>
      <c r="CW212" s="719"/>
      <c r="CX212" s="719"/>
      <c r="CY212" s="719"/>
      <c r="CZ212" s="719"/>
      <c r="DA212" s="719"/>
      <c r="DB212" s="719"/>
      <c r="DC212" s="719"/>
      <c r="DD212" s="719"/>
      <c r="DE212" s="719"/>
      <c r="DF212" s="719"/>
      <c r="DG212" s="719"/>
      <c r="DH212" s="719"/>
      <c r="DI212" s="719"/>
      <c r="DJ212" s="719"/>
      <c r="DK212" s="719"/>
      <c r="DL212" s="719"/>
      <c r="DM212" s="719"/>
      <c r="DN212" s="719"/>
      <c r="DO212" s="719"/>
      <c r="DP212" s="719"/>
      <c r="DQ212" s="719"/>
      <c r="DR212" s="719"/>
    </row>
    <row r="213" spans="1:122" s="275" customFormat="1">
      <c r="A213" s="719"/>
      <c r="B213" s="719"/>
      <c r="C213" s="719"/>
      <c r="D213" s="719"/>
      <c r="E213" s="719"/>
      <c r="F213" s="719"/>
      <c r="G213" s="719"/>
      <c r="H213" s="719"/>
      <c r="I213" s="719"/>
      <c r="J213" s="719"/>
      <c r="K213" s="719"/>
      <c r="L213" s="719"/>
      <c r="M213" s="719"/>
      <c r="N213" s="721"/>
      <c r="O213" s="721"/>
      <c r="P213" s="719"/>
      <c r="Q213" s="719"/>
      <c r="R213" s="719"/>
      <c r="S213" s="721"/>
      <c r="T213" s="721"/>
      <c r="U213" s="719"/>
      <c r="V213" s="719"/>
      <c r="W213" s="719"/>
      <c r="X213" s="721"/>
      <c r="Y213" s="721"/>
      <c r="Z213" s="719"/>
      <c r="AA213" s="719"/>
      <c r="AB213" s="719"/>
      <c r="AC213" s="721"/>
      <c r="AD213" s="721"/>
      <c r="AE213" s="719"/>
      <c r="AF213" s="719"/>
      <c r="AG213" s="719"/>
      <c r="AH213" s="721"/>
      <c r="AI213" s="721"/>
      <c r="AJ213" s="719"/>
      <c r="AK213" s="719"/>
      <c r="AL213" s="719"/>
      <c r="AM213" s="719"/>
      <c r="AN213" s="719"/>
      <c r="AO213" s="719"/>
      <c r="AP213" s="719"/>
      <c r="AQ213" s="719"/>
      <c r="AR213" s="719"/>
      <c r="AS213" s="719"/>
      <c r="AT213" s="719"/>
      <c r="AU213" s="719"/>
      <c r="AV213" s="719"/>
      <c r="AW213" s="719"/>
      <c r="AX213" s="719"/>
      <c r="AY213" s="719"/>
      <c r="AZ213" s="719"/>
      <c r="BA213" s="719"/>
      <c r="BB213" s="719"/>
      <c r="BC213" s="719"/>
      <c r="BD213" s="719"/>
      <c r="BE213" s="719"/>
      <c r="BF213" s="719"/>
      <c r="BG213" s="719"/>
      <c r="BH213" s="719"/>
      <c r="BI213" s="719"/>
      <c r="BJ213" s="719"/>
      <c r="BK213" s="719"/>
      <c r="BL213" s="719"/>
      <c r="BM213" s="719"/>
      <c r="BN213" s="719"/>
      <c r="BO213" s="719"/>
      <c r="BP213" s="719"/>
      <c r="BQ213" s="719"/>
      <c r="BR213" s="719"/>
      <c r="BS213" s="719"/>
      <c r="BT213" s="719"/>
      <c r="BU213" s="719"/>
      <c r="BV213" s="719"/>
      <c r="BW213" s="719"/>
      <c r="BX213" s="719"/>
      <c r="BY213" s="719"/>
      <c r="BZ213" s="719"/>
      <c r="CA213" s="719"/>
      <c r="CB213" s="719"/>
      <c r="CC213" s="719"/>
      <c r="CD213" s="719"/>
      <c r="CE213" s="719"/>
      <c r="CF213" s="719"/>
      <c r="CG213" s="719"/>
      <c r="CH213" s="719"/>
      <c r="CI213" s="719"/>
      <c r="CJ213" s="719"/>
      <c r="CK213" s="719"/>
      <c r="CL213" s="719"/>
      <c r="CM213" s="719"/>
      <c r="CN213" s="719"/>
      <c r="CO213" s="719"/>
      <c r="CP213" s="719"/>
      <c r="CQ213" s="719"/>
      <c r="CR213" s="719"/>
      <c r="CS213" s="719"/>
      <c r="CT213" s="719"/>
      <c r="CU213" s="719"/>
      <c r="CV213" s="719"/>
      <c r="CW213" s="719"/>
      <c r="CX213" s="719"/>
      <c r="CY213" s="719"/>
      <c r="CZ213" s="719"/>
      <c r="DA213" s="719"/>
      <c r="DB213" s="719"/>
      <c r="DC213" s="719"/>
      <c r="DD213" s="719"/>
      <c r="DE213" s="719"/>
      <c r="DF213" s="719"/>
      <c r="DG213" s="719"/>
      <c r="DH213" s="719"/>
      <c r="DI213" s="719"/>
      <c r="DJ213" s="719"/>
      <c r="DK213" s="719"/>
      <c r="DL213" s="719"/>
      <c r="DM213" s="719"/>
      <c r="DN213" s="719"/>
      <c r="DO213" s="719"/>
      <c r="DP213" s="719"/>
      <c r="DQ213" s="719"/>
      <c r="DR213" s="719"/>
    </row>
    <row r="214" spans="1:122" s="275" customFormat="1">
      <c r="A214" s="719"/>
      <c r="B214" s="719"/>
      <c r="C214" s="719"/>
      <c r="D214" s="719"/>
      <c r="E214" s="719"/>
      <c r="F214" s="719"/>
      <c r="G214" s="719"/>
      <c r="H214" s="719"/>
      <c r="I214" s="719"/>
      <c r="J214" s="719"/>
      <c r="K214" s="719"/>
      <c r="L214" s="719"/>
      <c r="M214" s="719"/>
      <c r="N214" s="721"/>
      <c r="O214" s="721"/>
      <c r="P214" s="719"/>
      <c r="Q214" s="719"/>
      <c r="R214" s="719"/>
      <c r="S214" s="721"/>
      <c r="T214" s="721"/>
      <c r="U214" s="719"/>
      <c r="V214" s="719"/>
      <c r="W214" s="719"/>
      <c r="X214" s="721"/>
      <c r="Y214" s="721"/>
      <c r="Z214" s="719"/>
      <c r="AA214" s="719"/>
      <c r="AB214" s="719"/>
      <c r="AC214" s="721"/>
      <c r="AD214" s="721"/>
      <c r="AE214" s="719"/>
      <c r="AF214" s="719"/>
      <c r="AG214" s="719"/>
      <c r="AH214" s="721"/>
      <c r="AI214" s="721"/>
      <c r="AJ214" s="719"/>
      <c r="AK214" s="719"/>
      <c r="AL214" s="719"/>
      <c r="AM214" s="719"/>
      <c r="AN214" s="719"/>
      <c r="AO214" s="719"/>
      <c r="AP214" s="719"/>
      <c r="AQ214" s="719"/>
      <c r="AR214" s="719"/>
      <c r="AS214" s="719"/>
      <c r="AT214" s="719"/>
      <c r="AU214" s="719"/>
      <c r="AV214" s="719"/>
      <c r="AW214" s="719"/>
      <c r="AX214" s="719"/>
      <c r="AY214" s="719"/>
      <c r="AZ214" s="719"/>
      <c r="BA214" s="719"/>
      <c r="BB214" s="719"/>
      <c r="BC214" s="719"/>
      <c r="BD214" s="719"/>
      <c r="BE214" s="719"/>
      <c r="BF214" s="719"/>
      <c r="BG214" s="719"/>
      <c r="BH214" s="719"/>
      <c r="BI214" s="719"/>
      <c r="BJ214" s="719"/>
      <c r="BK214" s="719"/>
      <c r="BL214" s="719"/>
      <c r="BM214" s="719"/>
      <c r="BN214" s="719"/>
      <c r="BO214" s="719"/>
      <c r="BP214" s="719"/>
      <c r="BQ214" s="719"/>
      <c r="BR214" s="719"/>
      <c r="BS214" s="719"/>
      <c r="BT214" s="719"/>
      <c r="BU214" s="719"/>
      <c r="BV214" s="719"/>
      <c r="BW214" s="719"/>
      <c r="BX214" s="719"/>
      <c r="BY214" s="719"/>
      <c r="BZ214" s="719"/>
      <c r="CA214" s="719"/>
      <c r="CB214" s="719"/>
      <c r="CC214" s="719"/>
      <c r="CD214" s="719"/>
      <c r="CE214" s="719"/>
      <c r="CF214" s="719"/>
      <c r="CG214" s="719"/>
      <c r="CH214" s="719"/>
      <c r="CI214" s="719"/>
      <c r="CJ214" s="719"/>
      <c r="CK214" s="719"/>
      <c r="CL214" s="719"/>
      <c r="CM214" s="719"/>
      <c r="CN214" s="719"/>
      <c r="CO214" s="719"/>
      <c r="CP214" s="719"/>
      <c r="CQ214" s="719"/>
      <c r="CR214" s="719"/>
      <c r="CS214" s="719"/>
      <c r="CT214" s="719"/>
      <c r="CU214" s="719"/>
      <c r="CV214" s="719"/>
      <c r="CW214" s="719"/>
      <c r="CX214" s="719"/>
      <c r="CY214" s="719"/>
      <c r="CZ214" s="719"/>
      <c r="DA214" s="719"/>
      <c r="DB214" s="719"/>
      <c r="DC214" s="719"/>
      <c r="DD214" s="719"/>
      <c r="DE214" s="719"/>
      <c r="DF214" s="719"/>
      <c r="DG214" s="719"/>
      <c r="DH214" s="719"/>
      <c r="DI214" s="719"/>
      <c r="DJ214" s="719"/>
      <c r="DK214" s="719"/>
      <c r="DL214" s="719"/>
      <c r="DM214" s="719"/>
      <c r="DN214" s="719"/>
      <c r="DO214" s="719"/>
      <c r="DP214" s="719"/>
      <c r="DQ214" s="719"/>
      <c r="DR214" s="719"/>
    </row>
    <row r="215" spans="1:122" s="275" customFormat="1">
      <c r="A215" s="719"/>
      <c r="B215" s="719"/>
      <c r="C215" s="719"/>
      <c r="D215" s="719"/>
      <c r="E215" s="719"/>
      <c r="F215" s="719"/>
      <c r="G215" s="719"/>
      <c r="H215" s="719"/>
      <c r="I215" s="719"/>
      <c r="J215" s="719"/>
      <c r="K215" s="719"/>
      <c r="L215" s="719"/>
      <c r="M215" s="719"/>
      <c r="N215" s="721"/>
      <c r="O215" s="721"/>
      <c r="P215" s="719"/>
      <c r="Q215" s="719"/>
      <c r="R215" s="719"/>
      <c r="S215" s="721"/>
      <c r="T215" s="721"/>
      <c r="U215" s="719"/>
      <c r="V215" s="719"/>
      <c r="W215" s="719"/>
      <c r="X215" s="721"/>
      <c r="Y215" s="721"/>
      <c r="Z215" s="719"/>
      <c r="AA215" s="719"/>
      <c r="AB215" s="719"/>
      <c r="AC215" s="721"/>
      <c r="AD215" s="721"/>
      <c r="AE215" s="719"/>
      <c r="AF215" s="719"/>
      <c r="AG215" s="719"/>
      <c r="AH215" s="721"/>
      <c r="AI215" s="721"/>
      <c r="AJ215" s="719"/>
      <c r="AK215" s="719"/>
      <c r="AL215" s="719"/>
      <c r="AM215" s="719"/>
      <c r="AN215" s="719"/>
      <c r="AO215" s="719"/>
      <c r="AP215" s="719"/>
      <c r="AQ215" s="719"/>
      <c r="AR215" s="719"/>
      <c r="AS215" s="719"/>
      <c r="AT215" s="719"/>
      <c r="AU215" s="719"/>
      <c r="AV215" s="719"/>
      <c r="AW215" s="719"/>
      <c r="AX215" s="719"/>
      <c r="AY215" s="719"/>
      <c r="AZ215" s="719"/>
      <c r="BA215" s="719"/>
      <c r="BB215" s="719"/>
      <c r="BC215" s="719"/>
      <c r="BD215" s="719"/>
      <c r="BE215" s="719"/>
      <c r="BF215" s="719"/>
      <c r="BG215" s="719"/>
      <c r="BH215" s="719"/>
      <c r="BI215" s="719"/>
      <c r="BJ215" s="719"/>
      <c r="BK215" s="719"/>
      <c r="BL215" s="719"/>
      <c r="BM215" s="719"/>
      <c r="BN215" s="719"/>
      <c r="BO215" s="719"/>
      <c r="BP215" s="719"/>
      <c r="BQ215" s="719"/>
      <c r="BR215" s="719"/>
      <c r="BS215" s="719"/>
      <c r="BT215" s="719"/>
      <c r="BU215" s="719"/>
      <c r="BV215" s="719"/>
      <c r="BW215" s="719"/>
      <c r="BX215" s="719"/>
      <c r="BY215" s="719"/>
      <c r="BZ215" s="719"/>
      <c r="CA215" s="719"/>
      <c r="CB215" s="719"/>
      <c r="CC215" s="719"/>
      <c r="CD215" s="719"/>
      <c r="CE215" s="719"/>
      <c r="CF215" s="719"/>
      <c r="CG215" s="719"/>
      <c r="CH215" s="719"/>
      <c r="CI215" s="719"/>
      <c r="CJ215" s="719"/>
      <c r="CK215" s="719"/>
      <c r="CL215" s="719"/>
      <c r="CM215" s="719"/>
      <c r="CN215" s="719"/>
      <c r="CO215" s="719"/>
      <c r="CP215" s="719"/>
      <c r="CQ215" s="719"/>
      <c r="CR215" s="719"/>
      <c r="CS215" s="719"/>
      <c r="CT215" s="719"/>
      <c r="CU215" s="719"/>
      <c r="CV215" s="719"/>
      <c r="CW215" s="719"/>
      <c r="CX215" s="719"/>
      <c r="CY215" s="719"/>
      <c r="CZ215" s="719"/>
      <c r="DA215" s="719"/>
      <c r="DB215" s="719"/>
      <c r="DC215" s="719"/>
      <c r="DD215" s="719"/>
      <c r="DE215" s="719"/>
      <c r="DF215" s="719"/>
      <c r="DG215" s="719"/>
      <c r="DH215" s="719"/>
      <c r="DI215" s="719"/>
      <c r="DJ215" s="719"/>
      <c r="DK215" s="719"/>
      <c r="DL215" s="719"/>
      <c r="DM215" s="719"/>
      <c r="DN215" s="719"/>
      <c r="DO215" s="719"/>
      <c r="DP215" s="719"/>
      <c r="DQ215" s="719"/>
      <c r="DR215" s="719"/>
    </row>
    <row r="216" spans="1:122" s="275" customFormat="1">
      <c r="A216" s="719"/>
      <c r="B216" s="719"/>
      <c r="C216" s="719"/>
      <c r="D216" s="719"/>
      <c r="E216" s="719"/>
      <c r="F216" s="719"/>
      <c r="G216" s="719"/>
      <c r="H216" s="719"/>
      <c r="I216" s="719"/>
      <c r="J216" s="719"/>
      <c r="K216" s="719"/>
      <c r="L216" s="719"/>
      <c r="M216" s="719"/>
      <c r="N216" s="721"/>
      <c r="O216" s="721"/>
      <c r="P216" s="719"/>
      <c r="Q216" s="719"/>
      <c r="R216" s="719"/>
      <c r="S216" s="721"/>
      <c r="T216" s="721"/>
      <c r="U216" s="719"/>
      <c r="V216" s="719"/>
      <c r="W216" s="719"/>
      <c r="X216" s="721"/>
      <c r="Y216" s="721"/>
      <c r="Z216" s="719"/>
      <c r="AA216" s="719"/>
      <c r="AB216" s="719"/>
      <c r="AC216" s="721"/>
      <c r="AD216" s="721"/>
      <c r="AE216" s="719"/>
      <c r="AF216" s="719"/>
      <c r="AG216" s="719"/>
      <c r="AH216" s="721"/>
      <c r="AI216" s="721"/>
      <c r="AJ216" s="719"/>
      <c r="AK216" s="719"/>
      <c r="AL216" s="719"/>
      <c r="AM216" s="719"/>
      <c r="AN216" s="719"/>
      <c r="AO216" s="719"/>
      <c r="AP216" s="719"/>
      <c r="AQ216" s="719"/>
      <c r="AR216" s="719"/>
      <c r="AS216" s="719"/>
      <c r="AT216" s="719"/>
      <c r="AU216" s="719"/>
      <c r="AV216" s="719"/>
      <c r="AW216" s="719"/>
      <c r="AX216" s="719"/>
      <c r="AY216" s="719"/>
      <c r="AZ216" s="719"/>
      <c r="BA216" s="719"/>
      <c r="BB216" s="719"/>
      <c r="BC216" s="719"/>
      <c r="BD216" s="719"/>
      <c r="BE216" s="719"/>
      <c r="BF216" s="719"/>
      <c r="BG216" s="719"/>
      <c r="BH216" s="719"/>
      <c r="BI216" s="719"/>
      <c r="BJ216" s="719"/>
      <c r="BK216" s="719"/>
      <c r="BL216" s="719"/>
      <c r="BM216" s="719"/>
      <c r="BN216" s="719"/>
      <c r="BO216" s="719"/>
      <c r="BP216" s="719"/>
      <c r="BQ216" s="719"/>
      <c r="BR216" s="719"/>
      <c r="BS216" s="719"/>
      <c r="BT216" s="719"/>
      <c r="BU216" s="719"/>
      <c r="BV216" s="719"/>
      <c r="BW216" s="719"/>
      <c r="BX216" s="719"/>
      <c r="BY216" s="719"/>
      <c r="BZ216" s="719"/>
      <c r="CA216" s="719"/>
      <c r="CB216" s="719"/>
      <c r="CC216" s="719"/>
      <c r="CD216" s="719"/>
      <c r="CE216" s="719"/>
      <c r="CF216" s="719"/>
      <c r="CG216" s="719"/>
      <c r="CH216" s="719"/>
      <c r="CI216" s="719"/>
      <c r="CJ216" s="719"/>
      <c r="CK216" s="719"/>
      <c r="CL216" s="719"/>
      <c r="CM216" s="719"/>
      <c r="CN216" s="719"/>
      <c r="CO216" s="719"/>
      <c r="CP216" s="719"/>
      <c r="CQ216" s="719"/>
      <c r="CR216" s="719"/>
      <c r="CS216" s="719"/>
      <c r="CT216" s="719"/>
      <c r="CU216" s="719"/>
      <c r="CV216" s="719"/>
      <c r="CW216" s="719"/>
      <c r="CX216" s="719"/>
      <c r="CY216" s="719"/>
      <c r="CZ216" s="719"/>
      <c r="DA216" s="719"/>
      <c r="DB216" s="719"/>
      <c r="DC216" s="719"/>
      <c r="DD216" s="719"/>
      <c r="DE216" s="719"/>
      <c r="DF216" s="719"/>
      <c r="DG216" s="719"/>
      <c r="DH216" s="719"/>
      <c r="DI216" s="719"/>
      <c r="DJ216" s="719"/>
      <c r="DK216" s="719"/>
      <c r="DL216" s="719"/>
      <c r="DM216" s="719"/>
      <c r="DN216" s="719"/>
      <c r="DO216" s="719"/>
      <c r="DP216" s="719"/>
      <c r="DQ216" s="719"/>
      <c r="DR216" s="719"/>
    </row>
    <row r="217" spans="1:122" s="275" customFormat="1">
      <c r="A217" s="719"/>
      <c r="B217" s="719"/>
      <c r="C217" s="719"/>
      <c r="D217" s="719"/>
      <c r="E217" s="719"/>
      <c r="F217" s="719"/>
      <c r="G217" s="719"/>
      <c r="H217" s="719"/>
      <c r="I217" s="719"/>
      <c r="J217" s="719"/>
      <c r="K217" s="719"/>
      <c r="L217" s="719"/>
      <c r="M217" s="719"/>
      <c r="N217" s="721"/>
      <c r="O217" s="721"/>
      <c r="P217" s="719"/>
      <c r="Q217" s="719"/>
      <c r="R217" s="719"/>
      <c r="S217" s="721"/>
      <c r="T217" s="721"/>
      <c r="U217" s="719"/>
      <c r="V217" s="719"/>
      <c r="W217" s="719"/>
      <c r="X217" s="721"/>
      <c r="Y217" s="721"/>
      <c r="Z217" s="719"/>
      <c r="AA217" s="719"/>
      <c r="AB217" s="719"/>
      <c r="AC217" s="721"/>
      <c r="AD217" s="721"/>
      <c r="AE217" s="719"/>
      <c r="AF217" s="719"/>
      <c r="AG217" s="719"/>
      <c r="AH217" s="721"/>
      <c r="AI217" s="721"/>
      <c r="AJ217" s="719"/>
      <c r="AK217" s="719"/>
      <c r="AL217" s="719"/>
      <c r="AM217" s="719"/>
      <c r="AN217" s="719"/>
      <c r="AO217" s="719"/>
      <c r="AP217" s="719"/>
      <c r="AQ217" s="719"/>
      <c r="AR217" s="719"/>
      <c r="AS217" s="719"/>
      <c r="AT217" s="719"/>
      <c r="AU217" s="719"/>
      <c r="AV217" s="719"/>
      <c r="AW217" s="719"/>
      <c r="AX217" s="719"/>
      <c r="AY217" s="719"/>
      <c r="AZ217" s="719"/>
      <c r="BA217" s="719"/>
      <c r="BB217" s="719"/>
      <c r="BC217" s="719"/>
      <c r="BD217" s="719"/>
      <c r="BE217" s="719"/>
      <c r="BF217" s="719"/>
      <c r="BG217" s="719"/>
      <c r="BH217" s="719"/>
      <c r="BI217" s="719"/>
      <c r="BJ217" s="719"/>
      <c r="BK217" s="719"/>
      <c r="BL217" s="719"/>
      <c r="BM217" s="719"/>
      <c r="BN217" s="719"/>
      <c r="BO217" s="719"/>
      <c r="BP217" s="719"/>
      <c r="BQ217" s="719"/>
      <c r="BR217" s="719"/>
      <c r="BS217" s="719"/>
      <c r="BT217" s="719"/>
      <c r="BU217" s="719"/>
      <c r="BV217" s="719"/>
      <c r="BW217" s="719"/>
      <c r="BX217" s="719"/>
      <c r="BY217" s="719"/>
      <c r="BZ217" s="719"/>
      <c r="CA217" s="719"/>
      <c r="CB217" s="719"/>
      <c r="CC217" s="719"/>
      <c r="CD217" s="719"/>
      <c r="CE217" s="719"/>
      <c r="CF217" s="719"/>
      <c r="CG217" s="719"/>
      <c r="CH217" s="719"/>
      <c r="CI217" s="719"/>
      <c r="CJ217" s="719"/>
      <c r="CK217" s="719"/>
      <c r="CL217" s="719"/>
      <c r="CM217" s="719"/>
      <c r="CN217" s="719"/>
      <c r="CO217" s="719"/>
      <c r="CP217" s="719"/>
      <c r="CQ217" s="719"/>
      <c r="CR217" s="719"/>
      <c r="CS217" s="719"/>
      <c r="CT217" s="719"/>
      <c r="CU217" s="719"/>
      <c r="CV217" s="719"/>
      <c r="CW217" s="719"/>
      <c r="CX217" s="719"/>
      <c r="CY217" s="719"/>
      <c r="CZ217" s="719"/>
      <c r="DA217" s="719"/>
      <c r="DB217" s="719"/>
      <c r="DC217" s="719"/>
      <c r="DD217" s="719"/>
      <c r="DE217" s="719"/>
      <c r="DF217" s="719"/>
      <c r="DG217" s="719"/>
      <c r="DH217" s="719"/>
      <c r="DI217" s="719"/>
      <c r="DJ217" s="719"/>
      <c r="DK217" s="719"/>
      <c r="DL217" s="719"/>
      <c r="DM217" s="719"/>
      <c r="DN217" s="719"/>
      <c r="DO217" s="719"/>
      <c r="DP217" s="719"/>
      <c r="DQ217" s="719"/>
      <c r="DR217" s="719"/>
    </row>
    <row r="218" spans="1:122" s="275" customFormat="1">
      <c r="A218" s="719"/>
      <c r="B218" s="719"/>
      <c r="C218" s="719"/>
      <c r="D218" s="719"/>
      <c r="E218" s="719"/>
      <c r="F218" s="719"/>
      <c r="G218" s="719"/>
      <c r="H218" s="719"/>
      <c r="I218" s="719"/>
      <c r="J218" s="719"/>
      <c r="K218" s="719"/>
      <c r="L218" s="719"/>
      <c r="M218" s="719"/>
      <c r="N218" s="721"/>
      <c r="O218" s="721"/>
      <c r="P218" s="719"/>
      <c r="Q218" s="719"/>
      <c r="R218" s="719"/>
      <c r="S218" s="721"/>
      <c r="T218" s="721"/>
      <c r="U218" s="719"/>
      <c r="V218" s="719"/>
      <c r="W218" s="719"/>
      <c r="X218" s="721"/>
      <c r="Y218" s="721"/>
      <c r="Z218" s="719"/>
      <c r="AA218" s="719"/>
      <c r="AB218" s="719"/>
      <c r="AC218" s="721"/>
      <c r="AD218" s="721"/>
      <c r="AE218" s="719"/>
      <c r="AF218" s="719"/>
      <c r="AG218" s="719"/>
      <c r="AH218" s="721"/>
      <c r="AI218" s="721"/>
      <c r="AJ218" s="719"/>
      <c r="AK218" s="719"/>
      <c r="AL218" s="719"/>
      <c r="AM218" s="719"/>
      <c r="AN218" s="719"/>
      <c r="AO218" s="719"/>
      <c r="AP218" s="719"/>
      <c r="AQ218" s="719"/>
      <c r="AR218" s="719"/>
      <c r="AS218" s="719"/>
      <c r="AT218" s="719"/>
      <c r="AU218" s="719"/>
      <c r="AV218" s="719"/>
      <c r="AW218" s="719"/>
      <c r="AX218" s="719"/>
      <c r="AY218" s="719"/>
      <c r="AZ218" s="719"/>
      <c r="BA218" s="719"/>
      <c r="BB218" s="719"/>
      <c r="BC218" s="719"/>
      <c r="BD218" s="719"/>
      <c r="BE218" s="719"/>
      <c r="BF218" s="719"/>
      <c r="BG218" s="719"/>
      <c r="BH218" s="719"/>
      <c r="BI218" s="719"/>
      <c r="BJ218" s="719"/>
      <c r="BK218" s="719"/>
      <c r="BL218" s="719"/>
      <c r="BM218" s="719"/>
      <c r="BN218" s="719"/>
      <c r="BO218" s="719"/>
      <c r="BP218" s="719"/>
      <c r="BQ218" s="719"/>
      <c r="BR218" s="719"/>
      <c r="BS218" s="719"/>
      <c r="BT218" s="719"/>
      <c r="BU218" s="719"/>
      <c r="BV218" s="719"/>
      <c r="BW218" s="719"/>
      <c r="BX218" s="719"/>
      <c r="BY218" s="719"/>
      <c r="BZ218" s="719"/>
      <c r="CA218" s="719"/>
      <c r="CB218" s="719"/>
      <c r="CC218" s="719"/>
      <c r="CD218" s="719"/>
      <c r="CE218" s="719"/>
      <c r="CF218" s="719"/>
      <c r="CG218" s="719"/>
      <c r="CH218" s="719"/>
      <c r="CI218" s="719"/>
      <c r="CJ218" s="719"/>
      <c r="CK218" s="719"/>
      <c r="CL218" s="719"/>
      <c r="CM218" s="719"/>
      <c r="CN218" s="719"/>
      <c r="CO218" s="719"/>
      <c r="CP218" s="719"/>
      <c r="CQ218" s="719"/>
      <c r="CR218" s="719"/>
      <c r="CS218" s="719"/>
      <c r="CT218" s="719"/>
      <c r="CU218" s="719"/>
      <c r="CV218" s="719"/>
      <c r="CW218" s="719"/>
      <c r="CX218" s="719"/>
      <c r="CY218" s="719"/>
      <c r="CZ218" s="719"/>
      <c r="DA218" s="719"/>
      <c r="DB218" s="719"/>
      <c r="DC218" s="719"/>
      <c r="DD218" s="719"/>
      <c r="DE218" s="719"/>
      <c r="DF218" s="719"/>
      <c r="DG218" s="719"/>
      <c r="DH218" s="719"/>
      <c r="DI218" s="719"/>
      <c r="DJ218" s="719"/>
      <c r="DK218" s="719"/>
      <c r="DL218" s="719"/>
      <c r="DM218" s="719"/>
      <c r="DN218" s="719"/>
      <c r="DO218" s="719"/>
      <c r="DP218" s="719"/>
      <c r="DQ218" s="719"/>
      <c r="DR218" s="719"/>
    </row>
    <row r="219" spans="1:122" s="275" customFormat="1">
      <c r="A219" s="719"/>
      <c r="B219" s="719"/>
      <c r="C219" s="719"/>
      <c r="D219" s="719"/>
      <c r="E219" s="719"/>
      <c r="F219" s="719"/>
      <c r="G219" s="719"/>
      <c r="H219" s="719"/>
      <c r="I219" s="719"/>
      <c r="J219" s="719"/>
      <c r="K219" s="719"/>
      <c r="L219" s="719"/>
      <c r="M219" s="719"/>
      <c r="N219" s="721"/>
      <c r="O219" s="721"/>
      <c r="P219" s="719"/>
      <c r="Q219" s="719"/>
      <c r="R219" s="719"/>
      <c r="S219" s="721"/>
      <c r="T219" s="721"/>
      <c r="U219" s="719"/>
      <c r="V219" s="719"/>
      <c r="W219" s="719"/>
      <c r="X219" s="721"/>
      <c r="Y219" s="721"/>
      <c r="Z219" s="719"/>
      <c r="AA219" s="719"/>
      <c r="AB219" s="719"/>
      <c r="AC219" s="721"/>
      <c r="AD219" s="721"/>
      <c r="AE219" s="719"/>
      <c r="AF219" s="719"/>
      <c r="AG219" s="719"/>
      <c r="AH219" s="721"/>
      <c r="AI219" s="721"/>
      <c r="AJ219" s="719"/>
      <c r="AK219" s="719"/>
      <c r="AL219" s="719"/>
      <c r="AM219" s="719"/>
      <c r="AN219" s="719"/>
      <c r="AO219" s="719"/>
      <c r="AP219" s="719"/>
      <c r="AQ219" s="719"/>
      <c r="AR219" s="719"/>
      <c r="AS219" s="719"/>
      <c r="AT219" s="719"/>
      <c r="AU219" s="719"/>
      <c r="AV219" s="719"/>
      <c r="AW219" s="719"/>
      <c r="AX219" s="719"/>
      <c r="AY219" s="719"/>
      <c r="AZ219" s="719"/>
      <c r="BA219" s="719"/>
      <c r="BB219" s="719"/>
      <c r="BC219" s="719"/>
      <c r="BD219" s="719"/>
      <c r="BE219" s="719"/>
      <c r="BF219" s="719"/>
      <c r="BG219" s="719"/>
      <c r="BH219" s="719"/>
      <c r="BI219" s="719"/>
      <c r="BJ219" s="719"/>
      <c r="BK219" s="719"/>
      <c r="BL219" s="719"/>
      <c r="BM219" s="719"/>
      <c r="BN219" s="719"/>
      <c r="BO219" s="719"/>
      <c r="BP219" s="719"/>
      <c r="BQ219" s="719"/>
      <c r="BR219" s="719"/>
      <c r="BS219" s="719"/>
      <c r="BT219" s="719"/>
      <c r="BU219" s="719"/>
      <c r="BV219" s="719"/>
      <c r="BW219" s="719"/>
      <c r="BX219" s="719"/>
      <c r="BY219" s="719"/>
      <c r="BZ219" s="719"/>
      <c r="CA219" s="719"/>
      <c r="CB219" s="719"/>
      <c r="CC219" s="719"/>
      <c r="CD219" s="719"/>
      <c r="CE219" s="719"/>
      <c r="CF219" s="719"/>
      <c r="CG219" s="719"/>
      <c r="CH219" s="719"/>
      <c r="CI219" s="719"/>
      <c r="CJ219" s="719"/>
      <c r="CK219" s="719"/>
      <c r="CL219" s="719"/>
      <c r="CM219" s="719"/>
      <c r="CN219" s="719"/>
      <c r="CO219" s="719"/>
      <c r="CP219" s="719"/>
      <c r="CQ219" s="719"/>
      <c r="CR219" s="719"/>
      <c r="CS219" s="719"/>
      <c r="CT219" s="719"/>
      <c r="CU219" s="719"/>
      <c r="CV219" s="719"/>
      <c r="CW219" s="719"/>
      <c r="CX219" s="719"/>
      <c r="CY219" s="719"/>
      <c r="CZ219" s="719"/>
      <c r="DA219" s="719"/>
      <c r="DB219" s="719"/>
      <c r="DC219" s="719"/>
      <c r="DD219" s="719"/>
      <c r="DE219" s="719"/>
      <c r="DF219" s="719"/>
      <c r="DG219" s="719"/>
      <c r="DH219" s="719"/>
      <c r="DI219" s="719"/>
      <c r="DJ219" s="719"/>
      <c r="DK219" s="719"/>
      <c r="DL219" s="719"/>
      <c r="DM219" s="719"/>
      <c r="DN219" s="719"/>
      <c r="DO219" s="719"/>
      <c r="DP219" s="719"/>
      <c r="DQ219" s="719"/>
      <c r="DR219" s="719"/>
    </row>
    <row r="220" spans="1:122" s="275" customFormat="1">
      <c r="A220" s="719"/>
      <c r="B220" s="719"/>
      <c r="C220" s="719"/>
      <c r="D220" s="719"/>
      <c r="E220" s="719"/>
      <c r="F220" s="719"/>
      <c r="G220" s="719"/>
      <c r="H220" s="719"/>
      <c r="I220" s="719"/>
      <c r="J220" s="719"/>
      <c r="K220" s="719"/>
      <c r="L220" s="719"/>
      <c r="M220" s="719"/>
      <c r="N220" s="721"/>
      <c r="O220" s="721"/>
      <c r="P220" s="719"/>
      <c r="Q220" s="719"/>
      <c r="R220" s="719"/>
      <c r="S220" s="721"/>
      <c r="T220" s="721"/>
      <c r="U220" s="719"/>
      <c r="V220" s="719"/>
      <c r="W220" s="719"/>
      <c r="X220" s="721"/>
      <c r="Y220" s="721"/>
      <c r="Z220" s="719"/>
      <c r="AA220" s="719"/>
      <c r="AB220" s="719"/>
      <c r="AC220" s="721"/>
      <c r="AD220" s="721"/>
      <c r="AE220" s="719"/>
      <c r="AF220" s="719"/>
      <c r="AG220" s="719"/>
      <c r="AH220" s="721"/>
      <c r="AI220" s="721"/>
      <c r="AJ220" s="719"/>
      <c r="AK220" s="719"/>
      <c r="AL220" s="719"/>
      <c r="AM220" s="719"/>
      <c r="AN220" s="719"/>
      <c r="AO220" s="719"/>
      <c r="AP220" s="719"/>
      <c r="AQ220" s="719"/>
      <c r="AR220" s="719"/>
      <c r="AS220" s="719"/>
      <c r="AT220" s="719"/>
      <c r="AU220" s="719"/>
      <c r="AV220" s="719"/>
      <c r="AW220" s="719"/>
      <c r="AX220" s="719"/>
      <c r="AY220" s="719"/>
      <c r="AZ220" s="719"/>
      <c r="BA220" s="719"/>
      <c r="BB220" s="719"/>
      <c r="BC220" s="719"/>
      <c r="BD220" s="719"/>
      <c r="BE220" s="719"/>
      <c r="BF220" s="719"/>
      <c r="BG220" s="719"/>
      <c r="BH220" s="719"/>
      <c r="BI220" s="719"/>
      <c r="BJ220" s="719"/>
      <c r="BK220" s="719"/>
      <c r="BL220" s="719"/>
      <c r="BM220" s="719"/>
      <c r="BN220" s="719"/>
      <c r="BO220" s="719"/>
      <c r="BP220" s="719"/>
      <c r="BQ220" s="719"/>
      <c r="BR220" s="719"/>
      <c r="BS220" s="719"/>
      <c r="BT220" s="719"/>
      <c r="BU220" s="719"/>
      <c r="BV220" s="719"/>
      <c r="BW220" s="719"/>
      <c r="BX220" s="719"/>
      <c r="BY220" s="719"/>
      <c r="BZ220" s="719"/>
      <c r="CA220" s="719"/>
      <c r="CB220" s="719"/>
      <c r="CC220" s="719"/>
      <c r="CD220" s="719"/>
      <c r="CE220" s="719"/>
      <c r="CF220" s="719"/>
      <c r="CG220" s="719"/>
      <c r="CH220" s="719"/>
      <c r="CI220" s="719"/>
      <c r="CJ220" s="719"/>
      <c r="CK220" s="719"/>
      <c r="CL220" s="719"/>
      <c r="CM220" s="719"/>
      <c r="CN220" s="719"/>
      <c r="CO220" s="719"/>
      <c r="CP220" s="719"/>
      <c r="CQ220" s="719"/>
      <c r="CR220" s="719"/>
      <c r="CS220" s="719"/>
      <c r="CT220" s="719"/>
      <c r="CU220" s="719"/>
      <c r="CV220" s="719"/>
      <c r="CW220" s="719"/>
      <c r="CX220" s="719"/>
      <c r="CY220" s="719"/>
      <c r="CZ220" s="719"/>
      <c r="DA220" s="719"/>
      <c r="DB220" s="719"/>
      <c r="DC220" s="719"/>
      <c r="DD220" s="719"/>
      <c r="DE220" s="719"/>
      <c r="DF220" s="719"/>
      <c r="DG220" s="719"/>
      <c r="DH220" s="719"/>
      <c r="DI220" s="719"/>
      <c r="DJ220" s="719"/>
      <c r="DK220" s="719"/>
      <c r="DL220" s="719"/>
      <c r="DM220" s="719"/>
      <c r="DN220" s="719"/>
      <c r="DO220" s="719"/>
      <c r="DP220" s="719"/>
      <c r="DQ220" s="719"/>
      <c r="DR220" s="719"/>
    </row>
    <row r="221" spans="1:122" s="275" customFormat="1">
      <c r="A221" s="719"/>
      <c r="B221" s="719"/>
      <c r="C221" s="719"/>
      <c r="D221" s="719"/>
      <c r="E221" s="719"/>
      <c r="F221" s="719"/>
      <c r="G221" s="719"/>
      <c r="H221" s="719"/>
      <c r="I221" s="719"/>
      <c r="J221" s="719"/>
      <c r="K221" s="719"/>
      <c r="L221" s="719"/>
      <c r="M221" s="719"/>
      <c r="N221" s="721"/>
      <c r="O221" s="721"/>
      <c r="P221" s="719"/>
      <c r="Q221" s="719"/>
      <c r="R221" s="719"/>
      <c r="S221" s="721"/>
      <c r="T221" s="721"/>
      <c r="U221" s="719"/>
      <c r="V221" s="719"/>
      <c r="W221" s="719"/>
      <c r="X221" s="721"/>
      <c r="Y221" s="721"/>
      <c r="Z221" s="719"/>
      <c r="AA221" s="719"/>
      <c r="AB221" s="719"/>
      <c r="AC221" s="721"/>
      <c r="AD221" s="721"/>
      <c r="AE221" s="719"/>
      <c r="AF221" s="719"/>
      <c r="AG221" s="719"/>
      <c r="AH221" s="721"/>
      <c r="AI221" s="721"/>
      <c r="AJ221" s="719"/>
      <c r="AK221" s="719"/>
      <c r="AL221" s="719"/>
      <c r="AM221" s="719"/>
      <c r="AN221" s="719"/>
      <c r="AO221" s="719"/>
      <c r="AP221" s="719"/>
      <c r="AQ221" s="719"/>
      <c r="AR221" s="719"/>
      <c r="AS221" s="719"/>
      <c r="AT221" s="719"/>
      <c r="AU221" s="719"/>
      <c r="AV221" s="719"/>
      <c r="AW221" s="719"/>
      <c r="AX221" s="719"/>
      <c r="AY221" s="719"/>
      <c r="AZ221" s="719"/>
      <c r="BA221" s="719"/>
      <c r="BB221" s="719"/>
      <c r="BC221" s="719"/>
      <c r="BD221" s="719"/>
      <c r="BE221" s="719"/>
      <c r="BF221" s="719"/>
      <c r="BG221" s="719"/>
      <c r="BH221" s="719"/>
      <c r="BI221" s="719"/>
      <c r="BJ221" s="719"/>
      <c r="BK221" s="719"/>
      <c r="BL221" s="719"/>
      <c r="BM221" s="719"/>
      <c r="BN221" s="719"/>
      <c r="BO221" s="719"/>
      <c r="BP221" s="719"/>
      <c r="BQ221" s="719"/>
      <c r="BR221" s="719"/>
      <c r="BS221" s="719"/>
      <c r="BT221" s="719"/>
      <c r="BU221" s="719"/>
      <c r="BV221" s="719"/>
      <c r="BW221" s="719"/>
      <c r="BX221" s="719"/>
      <c r="BY221" s="719"/>
      <c r="BZ221" s="719"/>
      <c r="CA221" s="719"/>
      <c r="CB221" s="719"/>
      <c r="CC221" s="719"/>
      <c r="CD221" s="719"/>
      <c r="CE221" s="719"/>
      <c r="CF221" s="719"/>
      <c r="CG221" s="719"/>
      <c r="CH221" s="719"/>
      <c r="CI221" s="719"/>
      <c r="CJ221" s="719"/>
      <c r="CK221" s="719"/>
      <c r="CL221" s="719"/>
      <c r="CM221" s="719"/>
      <c r="CN221" s="719"/>
      <c r="CO221" s="719"/>
      <c r="CP221" s="719"/>
      <c r="CQ221" s="719"/>
      <c r="CR221" s="719"/>
      <c r="CS221" s="719"/>
      <c r="CT221" s="719"/>
      <c r="CU221" s="719"/>
      <c r="CV221" s="719"/>
      <c r="CW221" s="719"/>
      <c r="CX221" s="719"/>
      <c r="CY221" s="719"/>
      <c r="CZ221" s="719"/>
      <c r="DA221" s="719"/>
      <c r="DB221" s="719"/>
      <c r="DC221" s="719"/>
      <c r="DD221" s="719"/>
      <c r="DE221" s="719"/>
      <c r="DF221" s="719"/>
      <c r="DG221" s="719"/>
      <c r="DH221" s="719"/>
      <c r="DI221" s="719"/>
      <c r="DJ221" s="719"/>
      <c r="DK221" s="719"/>
      <c r="DL221" s="719"/>
      <c r="DM221" s="719"/>
      <c r="DN221" s="719"/>
      <c r="DO221" s="719"/>
      <c r="DP221" s="719"/>
      <c r="DQ221" s="719"/>
      <c r="DR221" s="719"/>
    </row>
    <row r="222" spans="1:122" s="275" customFormat="1">
      <c r="A222" s="719"/>
      <c r="B222" s="719"/>
      <c r="C222" s="719"/>
      <c r="D222" s="719"/>
      <c r="E222" s="719"/>
      <c r="F222" s="719"/>
      <c r="G222" s="719"/>
      <c r="H222" s="719"/>
      <c r="I222" s="719"/>
      <c r="J222" s="719"/>
      <c r="K222" s="719"/>
      <c r="L222" s="719"/>
      <c r="M222" s="719"/>
      <c r="N222" s="721"/>
      <c r="O222" s="721"/>
      <c r="P222" s="719"/>
      <c r="Q222" s="719"/>
      <c r="R222" s="719"/>
      <c r="S222" s="721"/>
      <c r="T222" s="721"/>
      <c r="U222" s="719"/>
      <c r="V222" s="719"/>
      <c r="W222" s="719"/>
      <c r="X222" s="721"/>
      <c r="Y222" s="721"/>
      <c r="Z222" s="719"/>
      <c r="AA222" s="719"/>
      <c r="AB222" s="719"/>
      <c r="AC222" s="721"/>
      <c r="AD222" s="721"/>
      <c r="AE222" s="719"/>
      <c r="AF222" s="719"/>
      <c r="AG222" s="719"/>
      <c r="AH222" s="721"/>
      <c r="AI222" s="721"/>
      <c r="AJ222" s="719"/>
      <c r="AK222" s="719"/>
      <c r="AL222" s="719"/>
      <c r="AM222" s="719"/>
      <c r="AN222" s="719"/>
      <c r="AO222" s="719"/>
      <c r="AP222" s="719"/>
      <c r="AQ222" s="719"/>
      <c r="AR222" s="719"/>
      <c r="AS222" s="719"/>
      <c r="AT222" s="719"/>
      <c r="AU222" s="719"/>
      <c r="AV222" s="719"/>
      <c r="AW222" s="719"/>
      <c r="AX222" s="719"/>
      <c r="AY222" s="719"/>
      <c r="AZ222" s="719"/>
      <c r="BA222" s="719"/>
      <c r="BB222" s="719"/>
      <c r="BC222" s="719"/>
      <c r="BD222" s="719"/>
      <c r="BE222" s="719"/>
      <c r="BF222" s="719"/>
      <c r="BG222" s="719"/>
      <c r="BH222" s="719"/>
      <c r="BI222" s="719"/>
      <c r="BJ222" s="719"/>
      <c r="BK222" s="719"/>
      <c r="BL222" s="719"/>
      <c r="BM222" s="719"/>
      <c r="BN222" s="719"/>
      <c r="BO222" s="719"/>
      <c r="BP222" s="719"/>
      <c r="BQ222" s="719"/>
      <c r="BR222" s="719"/>
      <c r="BS222" s="719"/>
      <c r="BT222" s="719"/>
      <c r="BU222" s="719"/>
      <c r="BV222" s="719"/>
      <c r="BW222" s="719"/>
      <c r="BX222" s="719"/>
      <c r="BY222" s="719"/>
      <c r="BZ222" s="719"/>
      <c r="CA222" s="719"/>
      <c r="CB222" s="719"/>
      <c r="CC222" s="719"/>
      <c r="CD222" s="719"/>
      <c r="CE222" s="719"/>
      <c r="CF222" s="719"/>
      <c r="CG222" s="719"/>
      <c r="CH222" s="719"/>
      <c r="CI222" s="719"/>
      <c r="CJ222" s="719"/>
      <c r="CK222" s="719"/>
      <c r="CL222" s="719"/>
      <c r="CM222" s="719"/>
      <c r="CN222" s="719"/>
      <c r="CO222" s="719"/>
      <c r="CP222" s="719"/>
      <c r="CQ222" s="719"/>
      <c r="CR222" s="719"/>
      <c r="CS222" s="719"/>
      <c r="CT222" s="719"/>
      <c r="CU222" s="719"/>
      <c r="CV222" s="719"/>
      <c r="CW222" s="719"/>
      <c r="CX222" s="719"/>
      <c r="CY222" s="719"/>
      <c r="CZ222" s="719"/>
      <c r="DA222" s="719"/>
      <c r="DB222" s="719"/>
      <c r="DC222" s="719"/>
      <c r="DD222" s="719"/>
      <c r="DE222" s="719"/>
      <c r="DF222" s="719"/>
      <c r="DG222" s="719"/>
      <c r="DH222" s="719"/>
      <c r="DI222" s="719"/>
      <c r="DJ222" s="719"/>
      <c r="DK222" s="719"/>
      <c r="DL222" s="719"/>
      <c r="DM222" s="719"/>
      <c r="DN222" s="719"/>
      <c r="DO222" s="719"/>
      <c r="DP222" s="719"/>
      <c r="DQ222" s="719"/>
      <c r="DR222" s="719"/>
    </row>
    <row r="223" spans="1:122" s="275" customFormat="1">
      <c r="A223" s="719"/>
      <c r="B223" s="719"/>
      <c r="C223" s="719"/>
      <c r="D223" s="719"/>
      <c r="E223" s="719"/>
      <c r="F223" s="719"/>
      <c r="G223" s="719"/>
      <c r="H223" s="719"/>
      <c r="I223" s="719"/>
      <c r="J223" s="719"/>
      <c r="K223" s="719"/>
      <c r="L223" s="719"/>
      <c r="M223" s="719"/>
      <c r="N223" s="721"/>
      <c r="O223" s="721"/>
      <c r="P223" s="719"/>
      <c r="Q223" s="719"/>
      <c r="R223" s="719"/>
      <c r="S223" s="721"/>
      <c r="T223" s="721"/>
      <c r="U223" s="719"/>
      <c r="V223" s="719"/>
      <c r="W223" s="719"/>
      <c r="X223" s="721"/>
      <c r="Y223" s="721"/>
      <c r="Z223" s="719"/>
      <c r="AA223" s="719"/>
      <c r="AB223" s="719"/>
      <c r="AC223" s="721"/>
      <c r="AD223" s="721"/>
      <c r="AE223" s="719"/>
      <c r="AF223" s="719"/>
      <c r="AG223" s="719"/>
      <c r="AH223" s="721"/>
      <c r="AI223" s="721"/>
      <c r="AJ223" s="719"/>
      <c r="AK223" s="719"/>
      <c r="AL223" s="719"/>
      <c r="AM223" s="719"/>
      <c r="AN223" s="719"/>
      <c r="AO223" s="719"/>
      <c r="AP223" s="719"/>
      <c r="AQ223" s="719"/>
      <c r="AR223" s="719"/>
      <c r="AS223" s="719"/>
      <c r="AT223" s="719"/>
      <c r="AU223" s="719"/>
      <c r="AV223" s="719"/>
      <c r="AW223" s="719"/>
      <c r="AX223" s="719"/>
      <c r="AY223" s="719"/>
      <c r="AZ223" s="719"/>
      <c r="BA223" s="719"/>
      <c r="BB223" s="719"/>
      <c r="BC223" s="719"/>
      <c r="BD223" s="719"/>
      <c r="BE223" s="719"/>
      <c r="BF223" s="719"/>
      <c r="BG223" s="719"/>
      <c r="BH223" s="719"/>
      <c r="BI223" s="719"/>
      <c r="BJ223" s="719"/>
      <c r="BK223" s="719"/>
      <c r="BL223" s="719"/>
      <c r="BM223" s="719"/>
      <c r="BN223" s="719"/>
      <c r="BO223" s="719"/>
      <c r="BP223" s="719"/>
      <c r="BQ223" s="719"/>
      <c r="BR223" s="719"/>
      <c r="BS223" s="719"/>
      <c r="BT223" s="719"/>
      <c r="BU223" s="719"/>
      <c r="BV223" s="719"/>
      <c r="BW223" s="719"/>
      <c r="BX223" s="719"/>
      <c r="BY223" s="719"/>
      <c r="BZ223" s="719"/>
      <c r="CA223" s="719"/>
      <c r="CB223" s="719"/>
      <c r="CC223" s="719"/>
      <c r="CD223" s="719"/>
      <c r="CE223" s="719"/>
      <c r="CF223" s="719"/>
      <c r="CG223" s="719"/>
      <c r="CH223" s="719"/>
      <c r="CI223" s="719"/>
      <c r="CJ223" s="719"/>
      <c r="CK223" s="719"/>
      <c r="CL223" s="719"/>
      <c r="CM223" s="719"/>
      <c r="CN223" s="719"/>
      <c r="CO223" s="719"/>
      <c r="CP223" s="719"/>
      <c r="CQ223" s="719"/>
      <c r="CR223" s="719"/>
      <c r="CS223" s="719"/>
      <c r="CT223" s="719"/>
      <c r="CU223" s="719"/>
      <c r="CV223" s="719"/>
      <c r="CW223" s="719"/>
      <c r="CX223" s="719"/>
      <c r="CY223" s="719"/>
      <c r="CZ223" s="719"/>
      <c r="DA223" s="719"/>
      <c r="DB223" s="719"/>
      <c r="DC223" s="719"/>
      <c r="DD223" s="719"/>
      <c r="DE223" s="719"/>
      <c r="DF223" s="719"/>
      <c r="DG223" s="719"/>
      <c r="DH223" s="719"/>
      <c r="DI223" s="719"/>
      <c r="DJ223" s="719"/>
      <c r="DK223" s="719"/>
      <c r="DL223" s="719"/>
      <c r="DM223" s="719"/>
      <c r="DN223" s="719"/>
      <c r="DO223" s="719"/>
      <c r="DP223" s="719"/>
      <c r="DQ223" s="719"/>
      <c r="DR223" s="719"/>
    </row>
    <row r="224" spans="1:122" s="275" customFormat="1">
      <c r="A224" s="719"/>
      <c r="B224" s="719"/>
      <c r="C224" s="719"/>
      <c r="D224" s="719"/>
      <c r="E224" s="719"/>
      <c r="F224" s="719"/>
      <c r="G224" s="719"/>
      <c r="H224" s="719"/>
      <c r="I224" s="719"/>
      <c r="J224" s="719"/>
      <c r="K224" s="719"/>
      <c r="L224" s="719"/>
      <c r="M224" s="719"/>
      <c r="N224" s="721"/>
      <c r="O224" s="721"/>
      <c r="P224" s="719"/>
      <c r="Q224" s="719"/>
      <c r="R224" s="719"/>
      <c r="S224" s="721"/>
      <c r="T224" s="721"/>
      <c r="U224" s="719"/>
      <c r="V224" s="719"/>
      <c r="W224" s="719"/>
      <c r="X224" s="721"/>
      <c r="Y224" s="721"/>
      <c r="Z224" s="719"/>
      <c r="AA224" s="719"/>
      <c r="AB224" s="719"/>
      <c r="AC224" s="721"/>
      <c r="AD224" s="721"/>
      <c r="AE224" s="719"/>
      <c r="AF224" s="719"/>
      <c r="AG224" s="719"/>
      <c r="AH224" s="721"/>
      <c r="AI224" s="721"/>
      <c r="AJ224" s="719"/>
      <c r="AK224" s="719"/>
      <c r="AL224" s="719"/>
      <c r="AM224" s="719"/>
      <c r="AN224" s="719"/>
      <c r="AO224" s="719"/>
      <c r="AP224" s="719"/>
      <c r="AQ224" s="719"/>
      <c r="AR224" s="719"/>
      <c r="AS224" s="719"/>
      <c r="AT224" s="719"/>
      <c r="AU224" s="719"/>
      <c r="AV224" s="719"/>
      <c r="AW224" s="719"/>
      <c r="AX224" s="719"/>
      <c r="AY224" s="719"/>
      <c r="AZ224" s="719"/>
      <c r="BA224" s="719"/>
      <c r="BB224" s="719"/>
      <c r="BC224" s="719"/>
      <c r="BD224" s="719"/>
      <c r="BE224" s="719"/>
      <c r="BF224" s="719"/>
      <c r="BG224" s="719"/>
      <c r="BH224" s="719"/>
      <c r="BI224" s="719"/>
      <c r="BJ224" s="719"/>
      <c r="BK224" s="719"/>
      <c r="BL224" s="719"/>
      <c r="BM224" s="719"/>
      <c r="BN224" s="719"/>
      <c r="BO224" s="719"/>
      <c r="BP224" s="719"/>
      <c r="BQ224" s="719"/>
      <c r="BR224" s="719"/>
      <c r="BS224" s="719"/>
      <c r="BT224" s="719"/>
      <c r="BU224" s="719"/>
      <c r="BV224" s="719"/>
      <c r="BW224" s="719"/>
      <c r="BX224" s="719"/>
      <c r="BY224" s="719"/>
      <c r="BZ224" s="719"/>
      <c r="CA224" s="719"/>
      <c r="CB224" s="719"/>
      <c r="CC224" s="719"/>
      <c r="CD224" s="719"/>
      <c r="CE224" s="719"/>
      <c r="CF224" s="719"/>
      <c r="CG224" s="719"/>
      <c r="CH224" s="719"/>
      <c r="CI224" s="719"/>
      <c r="CJ224" s="719"/>
      <c r="CK224" s="719"/>
      <c r="CL224" s="719"/>
      <c r="CM224" s="719"/>
      <c r="CN224" s="719"/>
      <c r="CO224" s="719"/>
      <c r="CP224" s="719"/>
      <c r="CQ224" s="719"/>
      <c r="CR224" s="719"/>
      <c r="CS224" s="719"/>
      <c r="CT224" s="719"/>
      <c r="CU224" s="719"/>
      <c r="CV224" s="719"/>
      <c r="CW224" s="719"/>
      <c r="CX224" s="719"/>
      <c r="CY224" s="719"/>
      <c r="CZ224" s="719"/>
      <c r="DA224" s="719"/>
      <c r="DB224" s="719"/>
      <c r="DC224" s="719"/>
      <c r="DD224" s="719"/>
      <c r="DE224" s="719"/>
      <c r="DF224" s="719"/>
      <c r="DG224" s="719"/>
      <c r="DH224" s="719"/>
      <c r="DI224" s="719"/>
      <c r="DJ224" s="719"/>
      <c r="DK224" s="719"/>
      <c r="DL224" s="719"/>
      <c r="DM224" s="719"/>
      <c r="DN224" s="719"/>
      <c r="DO224" s="719"/>
      <c r="DP224" s="719"/>
      <c r="DQ224" s="719"/>
      <c r="DR224" s="719"/>
    </row>
    <row r="225" spans="1:122" s="275" customFormat="1">
      <c r="A225" s="719"/>
      <c r="B225" s="719"/>
      <c r="C225" s="719"/>
      <c r="D225" s="719"/>
      <c r="E225" s="719"/>
      <c r="F225" s="719"/>
      <c r="G225" s="719"/>
      <c r="H225" s="719"/>
      <c r="I225" s="719"/>
      <c r="J225" s="719"/>
      <c r="K225" s="719"/>
      <c r="L225" s="719"/>
      <c r="M225" s="719"/>
      <c r="N225" s="721"/>
      <c r="O225" s="721"/>
      <c r="P225" s="719"/>
      <c r="Q225" s="719"/>
      <c r="R225" s="719"/>
      <c r="S225" s="721"/>
      <c r="T225" s="721"/>
      <c r="U225" s="719"/>
      <c r="V225" s="719"/>
      <c r="W225" s="719"/>
      <c r="X225" s="721"/>
      <c r="Y225" s="721"/>
      <c r="Z225" s="719"/>
      <c r="AA225" s="719"/>
      <c r="AB225" s="719"/>
      <c r="AC225" s="721"/>
      <c r="AD225" s="721"/>
      <c r="AE225" s="719"/>
      <c r="AF225" s="719"/>
      <c r="AG225" s="719"/>
      <c r="AH225" s="721"/>
      <c r="AI225" s="721"/>
      <c r="AJ225" s="719"/>
      <c r="AK225" s="719"/>
      <c r="AL225" s="719"/>
      <c r="AM225" s="719"/>
      <c r="AN225" s="719"/>
      <c r="AO225" s="719"/>
      <c r="AP225" s="719"/>
      <c r="AQ225" s="719"/>
      <c r="AR225" s="719"/>
      <c r="AS225" s="719"/>
      <c r="AT225" s="719"/>
      <c r="AU225" s="719"/>
      <c r="AV225" s="719"/>
      <c r="AW225" s="719"/>
      <c r="AX225" s="719"/>
      <c r="AY225" s="719"/>
      <c r="AZ225" s="719"/>
      <c r="BA225" s="719"/>
      <c r="BB225" s="719"/>
      <c r="BC225" s="719"/>
      <c r="BD225" s="719"/>
      <c r="BE225" s="719"/>
      <c r="BF225" s="719"/>
      <c r="BG225" s="719"/>
      <c r="BH225" s="719"/>
      <c r="BI225" s="719"/>
      <c r="BJ225" s="719"/>
      <c r="BK225" s="719"/>
      <c r="BL225" s="719"/>
      <c r="BM225" s="719"/>
      <c r="BN225" s="719"/>
      <c r="BO225" s="719"/>
      <c r="BP225" s="719"/>
      <c r="BQ225" s="719"/>
      <c r="BR225" s="719"/>
      <c r="BS225" s="719"/>
      <c r="BT225" s="719"/>
      <c r="BU225" s="719"/>
      <c r="BV225" s="719"/>
      <c r="BW225" s="719"/>
      <c r="BX225" s="719"/>
      <c r="BY225" s="719"/>
      <c r="BZ225" s="719"/>
      <c r="CA225" s="719"/>
      <c r="CB225" s="719"/>
      <c r="CC225" s="719"/>
      <c r="CD225" s="719"/>
      <c r="CE225" s="719"/>
      <c r="CF225" s="719"/>
      <c r="CG225" s="719"/>
      <c r="CH225" s="719"/>
      <c r="CI225" s="719"/>
      <c r="CJ225" s="719"/>
      <c r="CK225" s="719"/>
      <c r="CL225" s="719"/>
      <c r="CM225" s="719"/>
      <c r="CN225" s="719"/>
      <c r="CO225" s="719"/>
      <c r="CP225" s="719"/>
      <c r="CQ225" s="719"/>
      <c r="CR225" s="719"/>
      <c r="CS225" s="719"/>
      <c r="CT225" s="719"/>
      <c r="CU225" s="719"/>
      <c r="CV225" s="719"/>
      <c r="CW225" s="719"/>
      <c r="CX225" s="719"/>
      <c r="CY225" s="719"/>
      <c r="CZ225" s="719"/>
      <c r="DA225" s="719"/>
      <c r="DB225" s="719"/>
      <c r="DC225" s="719"/>
      <c r="DD225" s="719"/>
      <c r="DE225" s="719"/>
      <c r="DF225" s="719"/>
      <c r="DG225" s="719"/>
      <c r="DH225" s="719"/>
      <c r="DI225" s="719"/>
      <c r="DJ225" s="719"/>
      <c r="DK225" s="719"/>
      <c r="DL225" s="719"/>
      <c r="DM225" s="719"/>
      <c r="DN225" s="719"/>
      <c r="DO225" s="719"/>
      <c r="DP225" s="719"/>
      <c r="DQ225" s="719"/>
      <c r="DR225" s="719"/>
    </row>
    <row r="226" spans="1:122" s="275" customFormat="1">
      <c r="A226" s="719"/>
      <c r="B226" s="719"/>
      <c r="C226" s="719"/>
      <c r="D226" s="719"/>
      <c r="E226" s="719"/>
      <c r="F226" s="719"/>
      <c r="G226" s="719"/>
      <c r="H226" s="719"/>
      <c r="I226" s="719"/>
      <c r="J226" s="719"/>
      <c r="K226" s="719"/>
      <c r="L226" s="719"/>
      <c r="M226" s="719"/>
      <c r="N226" s="721"/>
      <c r="O226" s="721"/>
      <c r="P226" s="719"/>
      <c r="Q226" s="719"/>
      <c r="R226" s="719"/>
      <c r="S226" s="721"/>
      <c r="T226" s="721"/>
      <c r="U226" s="719"/>
      <c r="V226" s="719"/>
      <c r="W226" s="719"/>
      <c r="X226" s="721"/>
      <c r="Y226" s="721"/>
      <c r="Z226" s="719"/>
      <c r="AA226" s="719"/>
      <c r="AB226" s="719"/>
      <c r="AC226" s="721"/>
      <c r="AD226" s="721"/>
      <c r="AE226" s="719"/>
      <c r="AF226" s="719"/>
      <c r="AG226" s="719"/>
      <c r="AH226" s="721"/>
      <c r="AI226" s="721"/>
      <c r="AJ226" s="719"/>
      <c r="AK226" s="719"/>
      <c r="AL226" s="719"/>
      <c r="AM226" s="719"/>
      <c r="AN226" s="719"/>
      <c r="AO226" s="719"/>
      <c r="AP226" s="719"/>
      <c r="AQ226" s="719"/>
      <c r="AR226" s="719"/>
      <c r="AS226" s="719"/>
      <c r="AT226" s="719"/>
      <c r="AU226" s="719"/>
      <c r="AV226" s="719"/>
      <c r="AW226" s="719"/>
      <c r="AX226" s="719"/>
      <c r="AY226" s="719"/>
      <c r="AZ226" s="719"/>
      <c r="BA226" s="719"/>
      <c r="BB226" s="719"/>
      <c r="BC226" s="719"/>
      <c r="BD226" s="719"/>
      <c r="BE226" s="719"/>
      <c r="BF226" s="719"/>
      <c r="BG226" s="719"/>
      <c r="BH226" s="719"/>
      <c r="BI226" s="719"/>
      <c r="BJ226" s="719"/>
      <c r="BK226" s="719"/>
      <c r="BL226" s="719"/>
      <c r="BM226" s="719"/>
      <c r="BN226" s="719"/>
      <c r="BO226" s="719"/>
      <c r="BP226" s="719"/>
      <c r="BQ226" s="719"/>
      <c r="BR226" s="719"/>
      <c r="BS226" s="719"/>
      <c r="BT226" s="719"/>
      <c r="BU226" s="719"/>
      <c r="BV226" s="719"/>
      <c r="BW226" s="719"/>
      <c r="BX226" s="719"/>
      <c r="BY226" s="719"/>
      <c r="BZ226" s="719"/>
      <c r="CA226" s="719"/>
      <c r="CB226" s="719"/>
      <c r="CC226" s="719"/>
      <c r="CD226" s="719"/>
      <c r="CE226" s="719"/>
      <c r="CF226" s="719"/>
      <c r="CG226" s="719"/>
      <c r="CH226" s="719"/>
      <c r="CI226" s="719"/>
      <c r="CJ226" s="719"/>
      <c r="CK226" s="719"/>
      <c r="CL226" s="719"/>
      <c r="CM226" s="719"/>
      <c r="CN226" s="719"/>
      <c r="CO226" s="719"/>
      <c r="CP226" s="719"/>
      <c r="CQ226" s="719"/>
      <c r="CR226" s="719"/>
      <c r="CS226" s="719"/>
      <c r="CT226" s="719"/>
      <c r="CU226" s="719"/>
      <c r="CV226" s="719"/>
      <c r="CW226" s="719"/>
      <c r="CX226" s="719"/>
      <c r="CY226" s="719"/>
      <c r="CZ226" s="719"/>
      <c r="DA226" s="719"/>
      <c r="DB226" s="719"/>
      <c r="DC226" s="719"/>
      <c r="DD226" s="719"/>
      <c r="DE226" s="719"/>
      <c r="DF226" s="719"/>
      <c r="DG226" s="719"/>
      <c r="DH226" s="719"/>
      <c r="DI226" s="719"/>
      <c r="DJ226" s="719"/>
      <c r="DK226" s="719"/>
      <c r="DL226" s="719"/>
      <c r="DM226" s="719"/>
      <c r="DN226" s="719"/>
      <c r="DO226" s="719"/>
      <c r="DP226" s="719"/>
      <c r="DQ226" s="719"/>
      <c r="DR226" s="719"/>
    </row>
    <row r="227" spans="1:122" s="275" customFormat="1">
      <c r="A227" s="719"/>
      <c r="B227" s="719"/>
      <c r="C227" s="719"/>
      <c r="D227" s="719"/>
      <c r="E227" s="719"/>
      <c r="F227" s="719"/>
      <c r="G227" s="719"/>
      <c r="H227" s="719"/>
      <c r="I227" s="719"/>
      <c r="J227" s="719"/>
      <c r="K227" s="719"/>
      <c r="L227" s="719"/>
      <c r="M227" s="719"/>
      <c r="N227" s="721"/>
      <c r="O227" s="721"/>
      <c r="P227" s="719"/>
      <c r="Q227" s="719"/>
      <c r="R227" s="719"/>
      <c r="S227" s="721"/>
      <c r="T227" s="721"/>
      <c r="U227" s="719"/>
      <c r="V227" s="719"/>
      <c r="W227" s="719"/>
      <c r="X227" s="721"/>
      <c r="Y227" s="721"/>
      <c r="Z227" s="719"/>
      <c r="AA227" s="719"/>
      <c r="AB227" s="719"/>
      <c r="AC227" s="721"/>
      <c r="AD227" s="721"/>
      <c r="AE227" s="719"/>
      <c r="AF227" s="719"/>
      <c r="AG227" s="719"/>
      <c r="AH227" s="721"/>
      <c r="AI227" s="721"/>
      <c r="AJ227" s="719"/>
      <c r="AK227" s="719"/>
      <c r="AL227" s="719"/>
      <c r="AM227" s="719"/>
      <c r="AN227" s="719"/>
      <c r="AO227" s="719"/>
      <c r="AP227" s="719"/>
      <c r="AQ227" s="719"/>
      <c r="AR227" s="719"/>
      <c r="AS227" s="719"/>
      <c r="AT227" s="719"/>
      <c r="AU227" s="719"/>
      <c r="AV227" s="719"/>
      <c r="AW227" s="719"/>
      <c r="AX227" s="719"/>
      <c r="AY227" s="719"/>
      <c r="AZ227" s="719"/>
      <c r="BA227" s="719"/>
      <c r="BB227" s="719"/>
      <c r="BC227" s="719"/>
      <c r="BD227" s="719"/>
      <c r="BE227" s="719"/>
      <c r="BF227" s="719"/>
      <c r="BG227" s="719"/>
      <c r="BH227" s="719"/>
      <c r="BI227" s="719"/>
      <c r="BJ227" s="719"/>
      <c r="BK227" s="719"/>
      <c r="BL227" s="719"/>
      <c r="BM227" s="719"/>
      <c r="BN227" s="719"/>
      <c r="BO227" s="719"/>
      <c r="BP227" s="719"/>
      <c r="BQ227" s="719"/>
      <c r="BR227" s="719"/>
      <c r="BS227" s="719"/>
      <c r="BT227" s="719"/>
      <c r="BU227" s="719"/>
      <c r="BV227" s="719"/>
      <c r="BW227" s="719"/>
      <c r="BX227" s="719"/>
      <c r="BY227" s="719"/>
      <c r="BZ227" s="719"/>
      <c r="CA227" s="719"/>
      <c r="CB227" s="719"/>
      <c r="CC227" s="719"/>
      <c r="CD227" s="719"/>
      <c r="CE227" s="719"/>
      <c r="CF227" s="719"/>
      <c r="CG227" s="719"/>
      <c r="CH227" s="719"/>
      <c r="CI227" s="719"/>
      <c r="CJ227" s="719"/>
      <c r="CK227" s="719"/>
      <c r="CL227" s="719"/>
      <c r="CM227" s="719"/>
      <c r="CN227" s="719"/>
      <c r="CO227" s="719"/>
      <c r="CP227" s="719"/>
      <c r="CQ227" s="719"/>
      <c r="CR227" s="719"/>
      <c r="CS227" s="719"/>
      <c r="CT227" s="719"/>
      <c r="CU227" s="719"/>
      <c r="CV227" s="719"/>
      <c r="CW227" s="719"/>
      <c r="CX227" s="719"/>
      <c r="CY227" s="719"/>
      <c r="CZ227" s="719"/>
      <c r="DA227" s="719"/>
      <c r="DB227" s="719"/>
      <c r="DC227" s="719"/>
      <c r="DD227" s="719"/>
      <c r="DE227" s="719"/>
      <c r="DF227" s="719"/>
      <c r="DG227" s="719"/>
      <c r="DH227" s="719"/>
      <c r="DI227" s="719"/>
      <c r="DJ227" s="719"/>
      <c r="DK227" s="719"/>
      <c r="DL227" s="719"/>
      <c r="DM227" s="719"/>
      <c r="DN227" s="719"/>
      <c r="DO227" s="719"/>
      <c r="DP227" s="719"/>
      <c r="DQ227" s="719"/>
      <c r="DR227" s="719"/>
    </row>
    <row r="228" spans="1:122" s="275" customFormat="1">
      <c r="A228" s="719"/>
      <c r="B228" s="719"/>
      <c r="C228" s="719"/>
      <c r="D228" s="719"/>
      <c r="E228" s="719"/>
      <c r="F228" s="719"/>
      <c r="G228" s="719"/>
      <c r="H228" s="719"/>
      <c r="I228" s="719"/>
      <c r="J228" s="719"/>
      <c r="K228" s="719"/>
      <c r="L228" s="719"/>
      <c r="M228" s="719"/>
      <c r="N228" s="721"/>
      <c r="O228" s="721"/>
      <c r="P228" s="719"/>
      <c r="Q228" s="719"/>
      <c r="R228" s="719"/>
      <c r="S228" s="721"/>
      <c r="T228" s="721"/>
      <c r="U228" s="719"/>
      <c r="V228" s="719"/>
      <c r="W228" s="719"/>
      <c r="X228" s="721"/>
      <c r="Y228" s="721"/>
      <c r="Z228" s="719"/>
      <c r="AA228" s="719"/>
      <c r="AB228" s="719"/>
      <c r="AC228" s="721"/>
      <c r="AD228" s="721"/>
      <c r="AE228" s="719"/>
      <c r="AF228" s="719"/>
      <c r="AG228" s="719"/>
      <c r="AH228" s="721"/>
      <c r="AI228" s="721"/>
      <c r="AJ228" s="719"/>
      <c r="AK228" s="719"/>
      <c r="AL228" s="719"/>
      <c r="AM228" s="719"/>
      <c r="AN228" s="719"/>
      <c r="AO228" s="719"/>
      <c r="AP228" s="719"/>
      <c r="AQ228" s="719"/>
      <c r="AR228" s="719"/>
      <c r="AS228" s="719"/>
      <c r="AT228" s="719"/>
      <c r="AU228" s="719"/>
      <c r="AV228" s="719"/>
      <c r="AW228" s="719"/>
      <c r="AX228" s="719"/>
      <c r="AY228" s="719"/>
      <c r="AZ228" s="719"/>
      <c r="BA228" s="719"/>
      <c r="BB228" s="719"/>
      <c r="BC228" s="719"/>
      <c r="BD228" s="719"/>
      <c r="BE228" s="719"/>
      <c r="BF228" s="719"/>
      <c r="BG228" s="719"/>
      <c r="BH228" s="719"/>
      <c r="BI228" s="719"/>
      <c r="BJ228" s="719"/>
      <c r="BK228" s="719"/>
      <c r="BL228" s="719"/>
      <c r="BM228" s="719"/>
      <c r="BN228" s="719"/>
      <c r="BO228" s="719"/>
      <c r="BP228" s="719"/>
      <c r="BQ228" s="719"/>
      <c r="BR228" s="719"/>
      <c r="BS228" s="719"/>
      <c r="BT228" s="719"/>
      <c r="BU228" s="719"/>
      <c r="BV228" s="719"/>
      <c r="BW228" s="719"/>
      <c r="BX228" s="719"/>
      <c r="BY228" s="719"/>
      <c r="BZ228" s="719"/>
      <c r="CA228" s="719"/>
      <c r="CB228" s="719"/>
      <c r="CC228" s="719"/>
      <c r="CD228" s="719"/>
      <c r="CE228" s="719"/>
      <c r="CF228" s="719"/>
      <c r="CG228" s="719"/>
      <c r="CH228" s="719"/>
      <c r="CI228" s="719"/>
      <c r="CJ228" s="719"/>
      <c r="CK228" s="719"/>
      <c r="CL228" s="719"/>
      <c r="CM228" s="719"/>
      <c r="CN228" s="719"/>
      <c r="CO228" s="719"/>
      <c r="CP228" s="719"/>
      <c r="CQ228" s="719"/>
      <c r="CR228" s="719"/>
      <c r="CS228" s="719"/>
      <c r="CT228" s="719"/>
      <c r="CU228" s="719"/>
      <c r="CV228" s="719"/>
      <c r="CW228" s="719"/>
      <c r="CX228" s="719"/>
      <c r="CY228" s="719"/>
      <c r="CZ228" s="719"/>
      <c r="DA228" s="719"/>
      <c r="DB228" s="719"/>
      <c r="DC228" s="719"/>
      <c r="DD228" s="719"/>
      <c r="DE228" s="719"/>
      <c r="DF228" s="719"/>
      <c r="DG228" s="719"/>
      <c r="DH228" s="719"/>
      <c r="DI228" s="719"/>
      <c r="DJ228" s="719"/>
      <c r="DK228" s="719"/>
      <c r="DL228" s="719"/>
      <c r="DM228" s="719"/>
      <c r="DN228" s="719"/>
      <c r="DO228" s="719"/>
      <c r="DP228" s="719"/>
      <c r="DQ228" s="719"/>
      <c r="DR228" s="719"/>
    </row>
    <row r="229" spans="1:122" s="275" customFormat="1">
      <c r="A229" s="719"/>
      <c r="B229" s="719"/>
      <c r="C229" s="719"/>
      <c r="D229" s="719"/>
      <c r="E229" s="719"/>
      <c r="F229" s="719"/>
      <c r="G229" s="719"/>
      <c r="H229" s="719"/>
      <c r="I229" s="719"/>
      <c r="J229" s="719"/>
      <c r="K229" s="719"/>
      <c r="L229" s="719"/>
      <c r="M229" s="719"/>
      <c r="N229" s="721"/>
      <c r="O229" s="721"/>
      <c r="P229" s="719"/>
      <c r="Q229" s="719"/>
      <c r="R229" s="719"/>
      <c r="S229" s="721"/>
      <c r="T229" s="721"/>
      <c r="U229" s="719"/>
      <c r="V229" s="719"/>
      <c r="W229" s="719"/>
      <c r="X229" s="721"/>
      <c r="Y229" s="721"/>
      <c r="Z229" s="719"/>
      <c r="AA229" s="719"/>
      <c r="AB229" s="719"/>
      <c r="AC229" s="721"/>
      <c r="AD229" s="721"/>
      <c r="AE229" s="719"/>
      <c r="AF229" s="719"/>
      <c r="AG229" s="719"/>
      <c r="AH229" s="721"/>
      <c r="AI229" s="721"/>
      <c r="AJ229" s="719"/>
      <c r="AK229" s="719"/>
      <c r="AL229" s="719"/>
      <c r="AM229" s="719"/>
      <c r="AN229" s="719"/>
      <c r="AO229" s="719"/>
      <c r="AP229" s="719"/>
      <c r="AQ229" s="719"/>
      <c r="AR229" s="719"/>
      <c r="AS229" s="719"/>
      <c r="AT229" s="719"/>
      <c r="AU229" s="719"/>
      <c r="AV229" s="719"/>
      <c r="AW229" s="719"/>
      <c r="AX229" s="719"/>
      <c r="AY229" s="719"/>
      <c r="AZ229" s="719"/>
      <c r="BA229" s="719"/>
      <c r="BB229" s="719"/>
      <c r="BC229" s="719"/>
      <c r="BD229" s="719"/>
      <c r="BE229" s="719"/>
      <c r="BF229" s="719"/>
      <c r="BG229" s="719"/>
      <c r="BH229" s="719"/>
      <c r="BI229" s="719"/>
      <c r="BJ229" s="719"/>
      <c r="BK229" s="719"/>
      <c r="BL229" s="719"/>
      <c r="BM229" s="719"/>
      <c r="BN229" s="719"/>
      <c r="BO229" s="719"/>
      <c r="BP229" s="719"/>
      <c r="BQ229" s="719"/>
      <c r="BR229" s="719"/>
      <c r="BS229" s="719"/>
      <c r="BT229" s="719"/>
      <c r="BU229" s="719"/>
      <c r="BV229" s="719"/>
      <c r="BW229" s="719"/>
      <c r="BX229" s="719"/>
      <c r="BY229" s="719"/>
      <c r="BZ229" s="719"/>
      <c r="CA229" s="719"/>
      <c r="CB229" s="719"/>
      <c r="CC229" s="719"/>
      <c r="CD229" s="719"/>
      <c r="CE229" s="719"/>
      <c r="CF229" s="719"/>
      <c r="CG229" s="719"/>
      <c r="CH229" s="719"/>
      <c r="CI229" s="719"/>
      <c r="CJ229" s="719"/>
      <c r="CK229" s="719"/>
      <c r="CL229" s="719"/>
      <c r="CM229" s="719"/>
      <c r="CN229" s="719"/>
      <c r="CO229" s="719"/>
      <c r="CP229" s="719"/>
      <c r="CQ229" s="719"/>
      <c r="CR229" s="719"/>
      <c r="CS229" s="719"/>
      <c r="CT229" s="719"/>
      <c r="CU229" s="719"/>
      <c r="CV229" s="719"/>
      <c r="CW229" s="719"/>
      <c r="CX229" s="719"/>
      <c r="CY229" s="719"/>
      <c r="CZ229" s="719"/>
      <c r="DA229" s="719"/>
      <c r="DB229" s="719"/>
      <c r="DC229" s="719"/>
      <c r="DD229" s="719"/>
      <c r="DE229" s="719"/>
      <c r="DF229" s="719"/>
      <c r="DG229" s="719"/>
      <c r="DH229" s="719"/>
      <c r="DI229" s="719"/>
      <c r="DJ229" s="719"/>
      <c r="DK229" s="719"/>
      <c r="DL229" s="719"/>
      <c r="DM229" s="719"/>
      <c r="DN229" s="719"/>
      <c r="DO229" s="719"/>
      <c r="DP229" s="719"/>
      <c r="DQ229" s="719"/>
      <c r="DR229" s="719"/>
    </row>
    <row r="230" spans="1:122" s="275" customFormat="1">
      <c r="A230" s="719"/>
      <c r="B230" s="719"/>
      <c r="C230" s="719"/>
      <c r="D230" s="719"/>
      <c r="E230" s="719"/>
      <c r="F230" s="719"/>
      <c r="G230" s="719"/>
      <c r="H230" s="719"/>
      <c r="I230" s="719"/>
      <c r="J230" s="719"/>
      <c r="K230" s="719"/>
      <c r="L230" s="719"/>
      <c r="M230" s="719"/>
      <c r="N230" s="721"/>
      <c r="O230" s="721"/>
      <c r="P230" s="719"/>
      <c r="Q230" s="719"/>
      <c r="R230" s="719"/>
      <c r="S230" s="721"/>
      <c r="T230" s="721"/>
      <c r="U230" s="719"/>
      <c r="V230" s="719"/>
      <c r="W230" s="719"/>
      <c r="X230" s="721"/>
      <c r="Y230" s="721"/>
      <c r="Z230" s="719"/>
      <c r="AA230" s="719"/>
      <c r="AB230" s="719"/>
      <c r="AC230" s="721"/>
      <c r="AD230" s="721"/>
      <c r="AE230" s="719"/>
      <c r="AF230" s="719"/>
      <c r="AG230" s="719"/>
      <c r="AH230" s="721"/>
      <c r="AI230" s="721"/>
      <c r="AJ230" s="719"/>
      <c r="AK230" s="719"/>
      <c r="AL230" s="719"/>
      <c r="AM230" s="719"/>
      <c r="AN230" s="719"/>
      <c r="AO230" s="719"/>
      <c r="AP230" s="719"/>
      <c r="AQ230" s="719"/>
      <c r="AR230" s="719"/>
      <c r="AS230" s="719"/>
      <c r="AT230" s="719"/>
      <c r="AU230" s="719"/>
      <c r="AV230" s="719"/>
      <c r="AW230" s="719"/>
      <c r="AX230" s="719"/>
      <c r="AY230" s="719"/>
      <c r="AZ230" s="719"/>
      <c r="BA230" s="719"/>
      <c r="BB230" s="719"/>
      <c r="BC230" s="719"/>
      <c r="BD230" s="719"/>
      <c r="BE230" s="719"/>
      <c r="BF230" s="719"/>
      <c r="BG230" s="719"/>
      <c r="BH230" s="719"/>
      <c r="BI230" s="719"/>
      <c r="BJ230" s="719"/>
      <c r="BK230" s="719"/>
      <c r="BL230" s="719"/>
      <c r="BM230" s="719"/>
      <c r="BN230" s="719"/>
      <c r="BO230" s="719"/>
      <c r="BP230" s="719"/>
      <c r="BQ230" s="719"/>
      <c r="BR230" s="719"/>
      <c r="BS230" s="719"/>
      <c r="BT230" s="719"/>
      <c r="BU230" s="719"/>
      <c r="BV230" s="719"/>
      <c r="BW230" s="719"/>
      <c r="BX230" s="719"/>
      <c r="BY230" s="719"/>
      <c r="BZ230" s="719"/>
      <c r="CA230" s="719"/>
      <c r="CB230" s="719"/>
      <c r="CC230" s="719"/>
      <c r="CD230" s="719"/>
      <c r="CE230" s="719"/>
      <c r="CF230" s="719"/>
      <c r="CG230" s="719"/>
      <c r="CH230" s="719"/>
      <c r="CI230" s="719"/>
      <c r="CJ230" s="719"/>
      <c r="CK230" s="719"/>
      <c r="CL230" s="719"/>
      <c r="CM230" s="719"/>
      <c r="CN230" s="719"/>
      <c r="CO230" s="719"/>
      <c r="CP230" s="719"/>
      <c r="CQ230" s="719"/>
      <c r="CR230" s="719"/>
      <c r="CS230" s="719"/>
      <c r="CT230" s="719"/>
      <c r="CU230" s="719"/>
      <c r="CV230" s="719"/>
      <c r="CW230" s="719"/>
      <c r="CX230" s="719"/>
      <c r="CY230" s="719"/>
      <c r="CZ230" s="719"/>
      <c r="DA230" s="719"/>
      <c r="DB230" s="719"/>
      <c r="DC230" s="719"/>
      <c r="DD230" s="719"/>
      <c r="DE230" s="719"/>
      <c r="DF230" s="719"/>
      <c r="DG230" s="719"/>
      <c r="DH230" s="719"/>
      <c r="DI230" s="719"/>
      <c r="DJ230" s="719"/>
      <c r="DK230" s="719"/>
      <c r="DL230" s="719"/>
      <c r="DM230" s="719"/>
      <c r="DN230" s="719"/>
      <c r="DO230" s="719"/>
      <c r="DP230" s="719"/>
      <c r="DQ230" s="719"/>
      <c r="DR230" s="719"/>
    </row>
    <row r="231" spans="1:122" s="275" customFormat="1">
      <c r="A231" s="719"/>
      <c r="B231" s="719"/>
      <c r="C231" s="719"/>
      <c r="D231" s="719"/>
      <c r="E231" s="719"/>
      <c r="F231" s="719"/>
      <c r="G231" s="719"/>
      <c r="H231" s="719"/>
      <c r="I231" s="719"/>
      <c r="J231" s="719"/>
      <c r="K231" s="719"/>
      <c r="L231" s="719"/>
      <c r="M231" s="719"/>
      <c r="N231" s="721"/>
      <c r="O231" s="721"/>
      <c r="P231" s="719"/>
      <c r="Q231" s="719"/>
      <c r="R231" s="719"/>
      <c r="S231" s="721"/>
      <c r="T231" s="721"/>
      <c r="U231" s="719"/>
      <c r="V231" s="719"/>
      <c r="W231" s="719"/>
      <c r="X231" s="721"/>
      <c r="Y231" s="721"/>
      <c r="Z231" s="719"/>
      <c r="AA231" s="719"/>
      <c r="AB231" s="719"/>
      <c r="AC231" s="721"/>
      <c r="AD231" s="721"/>
      <c r="AE231" s="719"/>
      <c r="AF231" s="719"/>
      <c r="AG231" s="719"/>
      <c r="AH231" s="721"/>
      <c r="AI231" s="721"/>
      <c r="AJ231" s="719"/>
      <c r="AK231" s="719"/>
      <c r="AL231" s="719"/>
      <c r="AM231" s="719"/>
      <c r="AN231" s="719"/>
      <c r="AO231" s="719"/>
      <c r="AP231" s="719"/>
      <c r="AQ231" s="719"/>
      <c r="AR231" s="719"/>
      <c r="AS231" s="719"/>
      <c r="AT231" s="719"/>
      <c r="AU231" s="719"/>
      <c r="AV231" s="719"/>
      <c r="AW231" s="719"/>
      <c r="AX231" s="719"/>
      <c r="AY231" s="719"/>
      <c r="AZ231" s="719"/>
      <c r="BA231" s="719"/>
      <c r="BB231" s="719"/>
      <c r="BC231" s="719"/>
      <c r="BD231" s="719"/>
      <c r="BE231" s="719"/>
      <c r="BF231" s="719"/>
      <c r="BG231" s="719"/>
      <c r="BH231" s="719"/>
      <c r="BI231" s="719"/>
      <c r="BJ231" s="719"/>
      <c r="BK231" s="719"/>
      <c r="BL231" s="719"/>
      <c r="BM231" s="719"/>
      <c r="BN231" s="719"/>
      <c r="BO231" s="719"/>
      <c r="BP231" s="719"/>
      <c r="BQ231" s="719"/>
      <c r="BR231" s="719"/>
      <c r="BS231" s="719"/>
      <c r="BT231" s="719"/>
      <c r="BU231" s="719"/>
      <c r="BV231" s="719"/>
      <c r="BW231" s="719"/>
      <c r="BX231" s="719"/>
      <c r="BY231" s="719"/>
      <c r="BZ231" s="719"/>
      <c r="CA231" s="719"/>
      <c r="CB231" s="719"/>
      <c r="CC231" s="719"/>
      <c r="CD231" s="719"/>
      <c r="CE231" s="719"/>
      <c r="CF231" s="719"/>
      <c r="CG231" s="719"/>
      <c r="CH231" s="719"/>
      <c r="CI231" s="719"/>
      <c r="CJ231" s="719"/>
      <c r="CK231" s="719"/>
      <c r="CL231" s="719"/>
      <c r="CM231" s="719"/>
      <c r="CN231" s="719"/>
      <c r="CO231" s="719"/>
      <c r="CP231" s="719"/>
      <c r="CQ231" s="719"/>
      <c r="CR231" s="719"/>
      <c r="CS231" s="719"/>
      <c r="CT231" s="719"/>
      <c r="CU231" s="719"/>
      <c r="CV231" s="719"/>
      <c r="CW231" s="719"/>
      <c r="CX231" s="719"/>
      <c r="CY231" s="719"/>
      <c r="CZ231" s="719"/>
      <c r="DA231" s="719"/>
      <c r="DB231" s="719"/>
      <c r="DC231" s="719"/>
      <c r="DD231" s="719"/>
      <c r="DE231" s="719"/>
      <c r="DF231" s="719"/>
      <c r="DG231" s="719"/>
      <c r="DH231" s="719"/>
      <c r="DI231" s="719"/>
      <c r="DJ231" s="719"/>
      <c r="DK231" s="719"/>
      <c r="DL231" s="719"/>
      <c r="DM231" s="719"/>
      <c r="DN231" s="719"/>
      <c r="DO231" s="719"/>
      <c r="DP231" s="719"/>
      <c r="DQ231" s="719"/>
      <c r="DR231" s="719"/>
    </row>
    <row r="232" spans="1:122" s="275" customFormat="1">
      <c r="A232" s="719"/>
      <c r="B232" s="719"/>
      <c r="C232" s="719"/>
      <c r="D232" s="719"/>
      <c r="E232" s="719"/>
      <c r="F232" s="719"/>
      <c r="G232" s="719"/>
      <c r="H232" s="719"/>
      <c r="I232" s="719"/>
      <c r="J232" s="719"/>
      <c r="K232" s="719"/>
      <c r="L232" s="719"/>
      <c r="M232" s="719"/>
      <c r="N232" s="721"/>
      <c r="O232" s="721"/>
      <c r="P232" s="719"/>
      <c r="Q232" s="719"/>
      <c r="R232" s="719"/>
      <c r="S232" s="721"/>
      <c r="T232" s="721"/>
      <c r="U232" s="719"/>
      <c r="V232" s="719"/>
      <c r="W232" s="719"/>
      <c r="X232" s="721"/>
      <c r="Y232" s="721"/>
      <c r="Z232" s="719"/>
      <c r="AA232" s="719"/>
      <c r="AB232" s="719"/>
      <c r="AC232" s="721"/>
      <c r="AD232" s="721"/>
      <c r="AE232" s="719"/>
      <c r="AF232" s="719"/>
      <c r="AG232" s="719"/>
      <c r="AH232" s="721"/>
      <c r="AI232" s="721"/>
      <c r="AJ232" s="719"/>
      <c r="AK232" s="719"/>
      <c r="AL232" s="719"/>
      <c r="AM232" s="719"/>
      <c r="AN232" s="719"/>
      <c r="AO232" s="719"/>
      <c r="AP232" s="719"/>
      <c r="AQ232" s="719"/>
      <c r="AR232" s="719"/>
      <c r="AS232" s="719"/>
      <c r="AT232" s="719"/>
      <c r="AU232" s="719"/>
      <c r="AV232" s="719"/>
      <c r="AW232" s="719"/>
      <c r="AX232" s="719"/>
      <c r="AY232" s="719"/>
      <c r="AZ232" s="719"/>
      <c r="BA232" s="719"/>
      <c r="BB232" s="719"/>
      <c r="BC232" s="719"/>
      <c r="BD232" s="719"/>
      <c r="BE232" s="719"/>
      <c r="BF232" s="719"/>
      <c r="BG232" s="719"/>
      <c r="BH232" s="719"/>
      <c r="BI232" s="719"/>
      <c r="BJ232" s="719"/>
      <c r="BK232" s="719"/>
      <c r="BL232" s="719"/>
      <c r="BM232" s="719"/>
      <c r="BN232" s="719"/>
      <c r="BO232" s="719"/>
      <c r="BP232" s="719"/>
      <c r="BQ232" s="719"/>
      <c r="BR232" s="719"/>
      <c r="BS232" s="719"/>
      <c r="BT232" s="719"/>
      <c r="BU232" s="719"/>
      <c r="BV232" s="719"/>
      <c r="BW232" s="719"/>
      <c r="BX232" s="719"/>
      <c r="BY232" s="719"/>
      <c r="BZ232" s="719"/>
      <c r="CA232" s="719"/>
      <c r="CB232" s="719"/>
      <c r="CC232" s="719"/>
      <c r="CD232" s="719"/>
      <c r="CE232" s="719"/>
      <c r="CF232" s="719"/>
      <c r="CG232" s="719"/>
      <c r="CH232" s="719"/>
      <c r="CI232" s="719"/>
      <c r="CJ232" s="719"/>
      <c r="CK232" s="719"/>
      <c r="CL232" s="719"/>
      <c r="CM232" s="719"/>
      <c r="CN232" s="719"/>
      <c r="CO232" s="719"/>
      <c r="CP232" s="719"/>
      <c r="CQ232" s="719"/>
      <c r="CR232" s="719"/>
      <c r="CS232" s="719"/>
      <c r="CT232" s="719"/>
      <c r="CU232" s="719"/>
      <c r="CV232" s="719"/>
      <c r="CW232" s="719"/>
      <c r="CX232" s="719"/>
      <c r="CY232" s="719"/>
      <c r="CZ232" s="719"/>
      <c r="DA232" s="719"/>
      <c r="DB232" s="719"/>
      <c r="DC232" s="719"/>
      <c r="DD232" s="719"/>
      <c r="DE232" s="719"/>
      <c r="DF232" s="719"/>
      <c r="DG232" s="719"/>
      <c r="DH232" s="719"/>
      <c r="DI232" s="719"/>
      <c r="DJ232" s="719"/>
      <c r="DK232" s="719"/>
      <c r="DL232" s="719"/>
      <c r="DM232" s="719"/>
      <c r="DN232" s="719"/>
      <c r="DO232" s="719"/>
      <c r="DP232" s="719"/>
      <c r="DQ232" s="719"/>
      <c r="DR232" s="719"/>
    </row>
    <row r="233" spans="1:122" s="275" customFormat="1">
      <c r="A233" s="719"/>
      <c r="B233" s="719"/>
      <c r="C233" s="719"/>
      <c r="D233" s="719"/>
      <c r="E233" s="719"/>
      <c r="F233" s="719"/>
      <c r="G233" s="719"/>
      <c r="H233" s="719"/>
      <c r="I233" s="719"/>
      <c r="J233" s="719"/>
      <c r="K233" s="719"/>
      <c r="L233" s="719"/>
      <c r="M233" s="719"/>
      <c r="N233" s="721"/>
      <c r="O233" s="721"/>
      <c r="P233" s="719"/>
      <c r="Q233" s="719"/>
      <c r="R233" s="719"/>
      <c r="S233" s="721"/>
      <c r="T233" s="721"/>
      <c r="U233" s="719"/>
      <c r="V233" s="719"/>
      <c r="W233" s="719"/>
      <c r="X233" s="721"/>
      <c r="Y233" s="721"/>
      <c r="Z233" s="719"/>
      <c r="AA233" s="719"/>
      <c r="AB233" s="719"/>
      <c r="AC233" s="721"/>
      <c r="AD233" s="721"/>
      <c r="AE233" s="719"/>
      <c r="AF233" s="719"/>
      <c r="AG233" s="719"/>
      <c r="AH233" s="721"/>
      <c r="AI233" s="721"/>
      <c r="AJ233" s="719"/>
      <c r="AK233" s="719"/>
      <c r="AL233" s="719"/>
      <c r="AM233" s="719"/>
      <c r="AN233" s="719"/>
      <c r="AO233" s="719"/>
      <c r="AP233" s="719"/>
      <c r="AQ233" s="719"/>
      <c r="AR233" s="719"/>
      <c r="AS233" s="719"/>
      <c r="AT233" s="719"/>
      <c r="AU233" s="719"/>
      <c r="AV233" s="719"/>
      <c r="AW233" s="719"/>
      <c r="AX233" s="719"/>
      <c r="AY233" s="719"/>
      <c r="AZ233" s="719"/>
      <c r="BA233" s="719"/>
      <c r="BB233" s="719"/>
      <c r="BC233" s="719"/>
      <c r="BD233" s="719"/>
      <c r="BE233" s="719"/>
      <c r="BF233" s="719"/>
      <c r="BG233" s="719"/>
      <c r="BH233" s="719"/>
      <c r="BI233" s="719"/>
      <c r="BJ233" s="719"/>
      <c r="BK233" s="719"/>
      <c r="BL233" s="719"/>
      <c r="BM233" s="719"/>
      <c r="BN233" s="719"/>
      <c r="BO233" s="719"/>
      <c r="BP233" s="719"/>
      <c r="BQ233" s="719"/>
      <c r="BR233" s="719"/>
      <c r="BS233" s="719"/>
      <c r="BT233" s="719"/>
      <c r="BU233" s="719"/>
      <c r="BV233" s="719"/>
      <c r="BW233" s="719"/>
      <c r="BX233" s="719"/>
      <c r="BY233" s="719"/>
      <c r="BZ233" s="719"/>
      <c r="CA233" s="719"/>
      <c r="CB233" s="719"/>
      <c r="CC233" s="719"/>
      <c r="CD233" s="719"/>
      <c r="CE233" s="719"/>
      <c r="CF233" s="719"/>
      <c r="CG233" s="719"/>
      <c r="CH233" s="719"/>
      <c r="CI233" s="719"/>
      <c r="CJ233" s="719"/>
      <c r="CK233" s="719"/>
      <c r="CL233" s="719"/>
      <c r="CM233" s="719"/>
      <c r="CN233" s="719"/>
      <c r="CO233" s="719"/>
      <c r="CP233" s="719"/>
      <c r="CQ233" s="719"/>
      <c r="CR233" s="719"/>
      <c r="CS233" s="719"/>
      <c r="CT233" s="719"/>
      <c r="CU233" s="719"/>
      <c r="CV233" s="719"/>
      <c r="CW233" s="719"/>
      <c r="CX233" s="719"/>
      <c r="CY233" s="719"/>
      <c r="CZ233" s="719"/>
      <c r="DA233" s="719"/>
      <c r="DB233" s="719"/>
      <c r="DC233" s="719"/>
      <c r="DD233" s="719"/>
      <c r="DE233" s="719"/>
      <c r="DF233" s="719"/>
      <c r="DG233" s="719"/>
      <c r="DH233" s="719"/>
      <c r="DI233" s="719"/>
      <c r="DJ233" s="719"/>
      <c r="DK233" s="719"/>
      <c r="DL233" s="719"/>
      <c r="DM233" s="719"/>
      <c r="DN233" s="719"/>
      <c r="DO233" s="719"/>
      <c r="DP233" s="719"/>
      <c r="DQ233" s="719"/>
      <c r="DR233" s="719"/>
    </row>
    <row r="234" spans="1:122" s="275" customFormat="1">
      <c r="A234" s="719"/>
      <c r="B234" s="719"/>
      <c r="C234" s="719"/>
      <c r="D234" s="719"/>
      <c r="E234" s="719"/>
      <c r="F234" s="719"/>
      <c r="G234" s="719"/>
      <c r="H234" s="719"/>
      <c r="I234" s="719"/>
      <c r="J234" s="719"/>
      <c r="K234" s="719"/>
      <c r="L234" s="719"/>
      <c r="M234" s="719"/>
      <c r="N234" s="721"/>
      <c r="O234" s="721"/>
      <c r="P234" s="719"/>
      <c r="Q234" s="719"/>
      <c r="R234" s="719"/>
      <c r="S234" s="721"/>
      <c r="T234" s="721"/>
      <c r="U234" s="719"/>
      <c r="V234" s="719"/>
      <c r="W234" s="719"/>
      <c r="X234" s="721"/>
      <c r="Y234" s="721"/>
      <c r="Z234" s="719"/>
      <c r="AA234" s="719"/>
      <c r="AB234" s="719"/>
      <c r="AC234" s="721"/>
      <c r="AD234" s="721"/>
      <c r="AE234" s="719"/>
      <c r="AF234" s="719"/>
      <c r="AG234" s="719"/>
      <c r="AH234" s="721"/>
      <c r="AI234" s="721"/>
      <c r="AJ234" s="719"/>
      <c r="AK234" s="719"/>
      <c r="AL234" s="719"/>
      <c r="AM234" s="719"/>
      <c r="AN234" s="719"/>
      <c r="AO234" s="719"/>
      <c r="AP234" s="719"/>
      <c r="AQ234" s="719"/>
      <c r="AR234" s="719"/>
      <c r="AS234" s="719"/>
      <c r="AT234" s="719"/>
      <c r="AU234" s="719"/>
      <c r="AV234" s="719"/>
      <c r="AW234" s="719"/>
      <c r="AX234" s="719"/>
      <c r="AY234" s="719"/>
      <c r="AZ234" s="719"/>
      <c r="BA234" s="719"/>
      <c r="BB234" s="719"/>
      <c r="BC234" s="719"/>
      <c r="BD234" s="719"/>
      <c r="BE234" s="719"/>
      <c r="BF234" s="719"/>
      <c r="BG234" s="719"/>
      <c r="BH234" s="719"/>
      <c r="BI234" s="719"/>
      <c r="BJ234" s="719"/>
      <c r="BK234" s="719"/>
      <c r="BL234" s="719"/>
      <c r="BM234" s="719"/>
      <c r="BN234" s="719"/>
      <c r="BO234" s="719"/>
      <c r="BP234" s="719"/>
      <c r="BQ234" s="719"/>
      <c r="BR234" s="719"/>
      <c r="BS234" s="719"/>
      <c r="BT234" s="719"/>
      <c r="BU234" s="719"/>
      <c r="BV234" s="719"/>
      <c r="BW234" s="719"/>
      <c r="BX234" s="719"/>
      <c r="BY234" s="719"/>
      <c r="BZ234" s="719"/>
      <c r="CA234" s="719"/>
      <c r="CB234" s="719"/>
      <c r="CC234" s="719"/>
      <c r="CD234" s="719"/>
      <c r="CE234" s="719"/>
      <c r="CF234" s="719"/>
      <c r="CG234" s="719"/>
      <c r="CH234" s="719"/>
      <c r="CI234" s="719"/>
      <c r="CJ234" s="719"/>
      <c r="CK234" s="719"/>
      <c r="CL234" s="719"/>
      <c r="CM234" s="719"/>
      <c r="CN234" s="719"/>
      <c r="CO234" s="719"/>
      <c r="CP234" s="719"/>
      <c r="CQ234" s="719"/>
      <c r="CR234" s="719"/>
      <c r="CS234" s="719"/>
      <c r="CT234" s="719"/>
      <c r="CU234" s="719"/>
      <c r="CV234" s="719"/>
      <c r="CW234" s="719"/>
      <c r="CX234" s="719"/>
      <c r="CY234" s="719"/>
      <c r="CZ234" s="719"/>
      <c r="DA234" s="719"/>
      <c r="DB234" s="719"/>
      <c r="DC234" s="719"/>
      <c r="DD234" s="719"/>
      <c r="DE234" s="719"/>
      <c r="DF234" s="719"/>
      <c r="DG234" s="719"/>
      <c r="DH234" s="719"/>
      <c r="DI234" s="719"/>
      <c r="DJ234" s="719"/>
      <c r="DK234" s="719"/>
      <c r="DL234" s="719"/>
      <c r="DM234" s="719"/>
      <c r="DN234" s="719"/>
      <c r="DO234" s="719"/>
      <c r="DP234" s="719"/>
      <c r="DQ234" s="719"/>
      <c r="DR234" s="719"/>
    </row>
    <row r="235" spans="1:122" s="275" customFormat="1">
      <c r="A235" s="719"/>
      <c r="B235" s="719"/>
      <c r="C235" s="719"/>
      <c r="D235" s="719"/>
      <c r="E235" s="719"/>
      <c r="F235" s="719"/>
      <c r="G235" s="719"/>
      <c r="H235" s="719"/>
      <c r="I235" s="719"/>
      <c r="J235" s="719"/>
      <c r="K235" s="719"/>
      <c r="L235" s="719"/>
      <c r="M235" s="719"/>
      <c r="N235" s="721"/>
      <c r="O235" s="721"/>
      <c r="P235" s="719"/>
      <c r="Q235" s="719"/>
      <c r="R235" s="719"/>
      <c r="S235" s="721"/>
      <c r="T235" s="721"/>
      <c r="U235" s="719"/>
      <c r="V235" s="719"/>
      <c r="W235" s="719"/>
      <c r="X235" s="721"/>
      <c r="Y235" s="721"/>
      <c r="Z235" s="719"/>
      <c r="AA235" s="719"/>
      <c r="AB235" s="719"/>
      <c r="AC235" s="721"/>
      <c r="AD235" s="721"/>
      <c r="AE235" s="719"/>
      <c r="AF235" s="719"/>
      <c r="AG235" s="719"/>
      <c r="AH235" s="721"/>
      <c r="AI235" s="721"/>
      <c r="AJ235" s="719"/>
      <c r="AK235" s="719"/>
      <c r="AL235" s="719"/>
      <c r="AM235" s="719"/>
      <c r="AN235" s="719"/>
      <c r="AO235" s="719"/>
      <c r="AP235" s="719"/>
      <c r="AQ235" s="719"/>
      <c r="AR235" s="719"/>
      <c r="AS235" s="719"/>
      <c r="AT235" s="719"/>
      <c r="AU235" s="719"/>
      <c r="AV235" s="719"/>
      <c r="AW235" s="719"/>
      <c r="AX235" s="719"/>
      <c r="AY235" s="719"/>
      <c r="AZ235" s="719"/>
      <c r="BA235" s="719"/>
      <c r="BB235" s="719"/>
      <c r="BC235" s="719"/>
      <c r="BD235" s="719"/>
      <c r="BE235" s="719"/>
      <c r="BF235" s="719"/>
      <c r="BG235" s="719"/>
      <c r="BH235" s="719"/>
      <c r="BI235" s="719"/>
      <c r="BJ235" s="719"/>
      <c r="BK235" s="719"/>
      <c r="BL235" s="719"/>
      <c r="BM235" s="719"/>
      <c r="BN235" s="719"/>
      <c r="BO235" s="719"/>
      <c r="BP235" s="719"/>
      <c r="BQ235" s="719"/>
      <c r="BR235" s="719"/>
      <c r="BS235" s="719"/>
      <c r="BT235" s="719"/>
      <c r="BU235" s="719"/>
      <c r="BV235" s="719"/>
      <c r="BW235" s="719"/>
      <c r="BX235" s="719"/>
      <c r="BY235" s="719"/>
      <c r="BZ235" s="719"/>
      <c r="CA235" s="719"/>
      <c r="CB235" s="719"/>
      <c r="CC235" s="719"/>
      <c r="CD235" s="719"/>
      <c r="CE235" s="719"/>
      <c r="CF235" s="719"/>
      <c r="CG235" s="719"/>
      <c r="CH235" s="719"/>
      <c r="CI235" s="719"/>
      <c r="CJ235" s="719"/>
      <c r="CK235" s="719"/>
      <c r="CL235" s="719"/>
      <c r="CM235" s="719"/>
      <c r="CN235" s="719"/>
      <c r="CO235" s="719"/>
      <c r="CP235" s="719"/>
      <c r="CQ235" s="719"/>
      <c r="CR235" s="719"/>
      <c r="CS235" s="719"/>
      <c r="CT235" s="719"/>
      <c r="CU235" s="719"/>
      <c r="CV235" s="719"/>
      <c r="CW235" s="719"/>
      <c r="CX235" s="719"/>
      <c r="CY235" s="719"/>
      <c r="CZ235" s="719"/>
      <c r="DA235" s="719"/>
      <c r="DB235" s="719"/>
      <c r="DC235" s="719"/>
      <c r="DD235" s="719"/>
      <c r="DE235" s="719"/>
      <c r="DF235" s="719"/>
      <c r="DG235" s="719"/>
      <c r="DH235" s="719"/>
      <c r="DI235" s="719"/>
      <c r="DJ235" s="719"/>
      <c r="DK235" s="719"/>
      <c r="DL235" s="719"/>
      <c r="DM235" s="719"/>
      <c r="DN235" s="719"/>
      <c r="DO235" s="719"/>
      <c r="DP235" s="719"/>
      <c r="DQ235" s="719"/>
      <c r="DR235" s="719"/>
    </row>
    <row r="236" spans="1:122" s="275" customFormat="1">
      <c r="A236" s="719"/>
      <c r="B236" s="719"/>
      <c r="C236" s="719"/>
      <c r="D236" s="719"/>
      <c r="E236" s="719"/>
      <c r="F236" s="719"/>
      <c r="G236" s="719"/>
      <c r="H236" s="719"/>
      <c r="I236" s="719"/>
      <c r="J236" s="719"/>
      <c r="K236" s="719"/>
      <c r="L236" s="719"/>
      <c r="M236" s="719"/>
      <c r="N236" s="721"/>
      <c r="O236" s="721"/>
      <c r="P236" s="719"/>
      <c r="Q236" s="719"/>
      <c r="R236" s="719"/>
      <c r="S236" s="721"/>
      <c r="T236" s="721"/>
      <c r="U236" s="719"/>
      <c r="V236" s="719"/>
      <c r="W236" s="719"/>
      <c r="X236" s="721"/>
      <c r="Y236" s="721"/>
      <c r="Z236" s="719"/>
      <c r="AA236" s="719"/>
      <c r="AB236" s="719"/>
      <c r="AC236" s="721"/>
      <c r="AD236" s="721"/>
      <c r="AE236" s="719"/>
      <c r="AF236" s="719"/>
      <c r="AG236" s="719"/>
      <c r="AH236" s="721"/>
      <c r="AI236" s="721"/>
      <c r="AJ236" s="719"/>
      <c r="AK236" s="719"/>
      <c r="AL236" s="719"/>
      <c r="AM236" s="719"/>
      <c r="AN236" s="719"/>
      <c r="AO236" s="719"/>
      <c r="AP236" s="719"/>
      <c r="AQ236" s="719"/>
      <c r="AR236" s="719"/>
      <c r="AS236" s="719"/>
      <c r="AT236" s="719"/>
      <c r="AU236" s="719"/>
      <c r="AV236" s="719"/>
      <c r="AW236" s="719"/>
      <c r="AX236" s="719"/>
      <c r="AY236" s="719"/>
      <c r="AZ236" s="719"/>
      <c r="BA236" s="719"/>
      <c r="BB236" s="719"/>
      <c r="BC236" s="719"/>
      <c r="BD236" s="719"/>
      <c r="BE236" s="719"/>
      <c r="BF236" s="719"/>
      <c r="BG236" s="719"/>
      <c r="BH236" s="719"/>
      <c r="BI236" s="719"/>
      <c r="BJ236" s="719"/>
      <c r="BK236" s="719"/>
      <c r="BL236" s="719"/>
      <c r="BM236" s="719"/>
      <c r="BN236" s="719"/>
      <c r="BO236" s="719"/>
      <c r="BP236" s="719"/>
      <c r="BQ236" s="719"/>
      <c r="BR236" s="719"/>
      <c r="BS236" s="719"/>
      <c r="BT236" s="719"/>
      <c r="BU236" s="719"/>
      <c r="BV236" s="719"/>
      <c r="BW236" s="719"/>
      <c r="BX236" s="719"/>
      <c r="BY236" s="719"/>
      <c r="BZ236" s="719"/>
      <c r="CA236" s="719"/>
      <c r="CB236" s="719"/>
      <c r="CC236" s="719"/>
      <c r="CD236" s="719"/>
      <c r="CE236" s="719"/>
      <c r="CF236" s="719"/>
      <c r="CG236" s="719"/>
      <c r="CH236" s="719"/>
      <c r="CI236" s="719"/>
      <c r="CJ236" s="719"/>
      <c r="CK236" s="719"/>
      <c r="CL236" s="719"/>
      <c r="CM236" s="719"/>
      <c r="CN236" s="719"/>
      <c r="CO236" s="719"/>
      <c r="CP236" s="719"/>
      <c r="CQ236" s="719"/>
      <c r="CR236" s="719"/>
      <c r="CS236" s="719"/>
      <c r="CT236" s="719"/>
      <c r="CU236" s="719"/>
      <c r="CV236" s="719"/>
      <c r="CW236" s="719"/>
      <c r="CX236" s="719"/>
      <c r="CY236" s="719"/>
      <c r="CZ236" s="719"/>
      <c r="DA236" s="719"/>
      <c r="DB236" s="719"/>
      <c r="DC236" s="719"/>
      <c r="DD236" s="719"/>
      <c r="DE236" s="719"/>
      <c r="DF236" s="719"/>
      <c r="DG236" s="719"/>
      <c r="DH236" s="719"/>
      <c r="DI236" s="719"/>
      <c r="DJ236" s="719"/>
      <c r="DK236" s="719"/>
      <c r="DL236" s="719"/>
      <c r="DM236" s="719"/>
      <c r="DN236" s="719"/>
      <c r="DO236" s="719"/>
      <c r="DP236" s="719"/>
      <c r="DQ236" s="719"/>
      <c r="DR236" s="719"/>
    </row>
    <row r="237" spans="1:122" s="275" customFormat="1">
      <c r="A237" s="719"/>
      <c r="B237" s="719"/>
      <c r="C237" s="719"/>
      <c r="D237" s="719"/>
      <c r="E237" s="719"/>
      <c r="F237" s="719"/>
      <c r="G237" s="719"/>
      <c r="H237" s="719"/>
      <c r="I237" s="719"/>
      <c r="J237" s="719"/>
      <c r="K237" s="719"/>
      <c r="L237" s="719"/>
      <c r="M237" s="719"/>
      <c r="N237" s="721"/>
      <c r="O237" s="721"/>
      <c r="P237" s="719"/>
      <c r="Q237" s="719"/>
      <c r="R237" s="719"/>
      <c r="S237" s="721"/>
      <c r="T237" s="721"/>
      <c r="U237" s="719"/>
      <c r="V237" s="719"/>
      <c r="W237" s="719"/>
      <c r="X237" s="721"/>
      <c r="Y237" s="721"/>
      <c r="Z237" s="719"/>
      <c r="AA237" s="719"/>
      <c r="AB237" s="719"/>
      <c r="AC237" s="721"/>
      <c r="AD237" s="721"/>
      <c r="AE237" s="719"/>
      <c r="AF237" s="719"/>
      <c r="AG237" s="719"/>
      <c r="AH237" s="721"/>
      <c r="AI237" s="721"/>
      <c r="AJ237" s="719"/>
      <c r="AK237" s="719"/>
      <c r="AL237" s="719"/>
      <c r="AM237" s="719"/>
      <c r="AN237" s="719"/>
      <c r="AO237" s="719"/>
      <c r="AP237" s="719"/>
      <c r="AQ237" s="719"/>
      <c r="AR237" s="719"/>
      <c r="AS237" s="719"/>
      <c r="AT237" s="719"/>
      <c r="AU237" s="719"/>
      <c r="AV237" s="719"/>
      <c r="AW237" s="719"/>
      <c r="AX237" s="719"/>
      <c r="AY237" s="719"/>
      <c r="AZ237" s="719"/>
      <c r="BA237" s="719"/>
      <c r="BB237" s="719"/>
      <c r="BC237" s="719"/>
      <c r="BD237" s="719"/>
      <c r="BE237" s="719"/>
      <c r="BF237" s="719"/>
      <c r="BG237" s="719"/>
      <c r="BH237" s="719"/>
      <c r="BI237" s="719"/>
      <c r="BJ237" s="719"/>
      <c r="BK237" s="719"/>
      <c r="BL237" s="719"/>
      <c r="BM237" s="719"/>
      <c r="BN237" s="719"/>
      <c r="BO237" s="719"/>
      <c r="BP237" s="719"/>
      <c r="BQ237" s="719"/>
      <c r="BR237" s="719"/>
      <c r="BS237" s="719"/>
      <c r="BT237" s="719"/>
      <c r="BU237" s="719"/>
      <c r="BV237" s="719"/>
      <c r="BW237" s="719"/>
      <c r="BX237" s="719"/>
      <c r="BY237" s="719"/>
      <c r="BZ237" s="719"/>
      <c r="CA237" s="719"/>
      <c r="CB237" s="719"/>
      <c r="CC237" s="719"/>
      <c r="CD237" s="719"/>
      <c r="CE237" s="719"/>
      <c r="CF237" s="719"/>
      <c r="CG237" s="719"/>
      <c r="CH237" s="719"/>
      <c r="CI237" s="719"/>
      <c r="CJ237" s="719"/>
      <c r="CK237" s="719"/>
      <c r="CL237" s="719"/>
      <c r="CM237" s="719"/>
      <c r="CN237" s="719"/>
      <c r="CO237" s="719"/>
      <c r="CP237" s="719"/>
      <c r="CQ237" s="719"/>
      <c r="CR237" s="719"/>
      <c r="CS237" s="719"/>
      <c r="CT237" s="719"/>
      <c r="CU237" s="719"/>
      <c r="CV237" s="719"/>
      <c r="CW237" s="719"/>
      <c r="CX237" s="719"/>
      <c r="CY237" s="719"/>
      <c r="CZ237" s="719"/>
      <c r="DA237" s="719"/>
      <c r="DB237" s="719"/>
      <c r="DC237" s="719"/>
      <c r="DD237" s="719"/>
      <c r="DE237" s="719"/>
      <c r="DF237" s="719"/>
      <c r="DG237" s="719"/>
      <c r="DH237" s="719"/>
      <c r="DI237" s="719"/>
      <c r="DJ237" s="719"/>
      <c r="DK237" s="719"/>
      <c r="DL237" s="719"/>
      <c r="DM237" s="719"/>
      <c r="DN237" s="719"/>
      <c r="DO237" s="719"/>
      <c r="DP237" s="719"/>
      <c r="DQ237" s="719"/>
      <c r="DR237" s="719"/>
    </row>
    <row r="238" spans="1:122" s="275" customFormat="1">
      <c r="A238" s="719"/>
      <c r="B238" s="719"/>
      <c r="C238" s="719"/>
      <c r="D238" s="719"/>
      <c r="E238" s="719"/>
      <c r="F238" s="719"/>
      <c r="G238" s="719"/>
      <c r="H238" s="719"/>
      <c r="I238" s="719"/>
      <c r="J238" s="719"/>
      <c r="K238" s="719"/>
      <c r="L238" s="719"/>
      <c r="M238" s="719"/>
      <c r="N238" s="721"/>
      <c r="O238" s="721"/>
      <c r="P238" s="719"/>
      <c r="Q238" s="719"/>
      <c r="R238" s="719"/>
      <c r="S238" s="721"/>
      <c r="T238" s="721"/>
      <c r="U238" s="719"/>
      <c r="V238" s="719"/>
      <c r="W238" s="719"/>
      <c r="X238" s="721"/>
      <c r="Y238" s="721"/>
      <c r="Z238" s="719"/>
      <c r="AA238" s="719"/>
      <c r="AB238" s="719"/>
      <c r="AC238" s="721"/>
      <c r="AD238" s="721"/>
      <c r="AE238" s="719"/>
      <c r="AF238" s="719"/>
      <c r="AG238" s="719"/>
      <c r="AH238" s="721"/>
      <c r="AI238" s="721"/>
      <c r="AJ238" s="719"/>
      <c r="AK238" s="719"/>
      <c r="AL238" s="719"/>
      <c r="AM238" s="719"/>
      <c r="AN238" s="719"/>
      <c r="AO238" s="719"/>
      <c r="AP238" s="719"/>
      <c r="AQ238" s="719"/>
      <c r="AR238" s="719"/>
      <c r="AS238" s="719"/>
      <c r="AT238" s="719"/>
      <c r="AU238" s="719"/>
      <c r="AV238" s="719"/>
      <c r="AW238" s="719"/>
      <c r="AX238" s="719"/>
      <c r="AY238" s="719"/>
      <c r="AZ238" s="719"/>
      <c r="BA238" s="719"/>
      <c r="BB238" s="719"/>
      <c r="BC238" s="719"/>
      <c r="BD238" s="719"/>
      <c r="BE238" s="719"/>
      <c r="BF238" s="719"/>
      <c r="BG238" s="719"/>
      <c r="BH238" s="719"/>
      <c r="BI238" s="719"/>
      <c r="BJ238" s="719"/>
      <c r="BK238" s="719"/>
      <c r="BL238" s="719"/>
      <c r="BM238" s="719"/>
      <c r="BN238" s="719"/>
      <c r="BO238" s="719"/>
      <c r="BP238" s="719"/>
      <c r="BQ238" s="719"/>
      <c r="BR238" s="719"/>
      <c r="BS238" s="719"/>
      <c r="BT238" s="719"/>
      <c r="BU238" s="719"/>
      <c r="BV238" s="719"/>
      <c r="BW238" s="719"/>
      <c r="BX238" s="719"/>
      <c r="BY238" s="719"/>
      <c r="BZ238" s="719"/>
      <c r="CA238" s="719"/>
      <c r="CB238" s="719"/>
      <c r="CC238" s="719"/>
      <c r="CD238" s="719"/>
      <c r="CE238" s="719"/>
      <c r="CF238" s="719"/>
      <c r="CG238" s="719"/>
      <c r="CH238" s="719"/>
      <c r="CI238" s="719"/>
      <c r="CJ238" s="719"/>
      <c r="CK238" s="719"/>
      <c r="CL238" s="719"/>
      <c r="CM238" s="719"/>
      <c r="CN238" s="719"/>
      <c r="CO238" s="719"/>
      <c r="CP238" s="719"/>
      <c r="CQ238" s="719"/>
      <c r="CR238" s="719"/>
      <c r="CS238" s="719"/>
      <c r="CT238" s="719"/>
      <c r="CU238" s="719"/>
      <c r="CV238" s="719"/>
      <c r="CW238" s="719"/>
      <c r="CX238" s="719"/>
      <c r="CY238" s="719"/>
      <c r="CZ238" s="719"/>
      <c r="DA238" s="719"/>
      <c r="DB238" s="719"/>
      <c r="DC238" s="719"/>
      <c r="DD238" s="719"/>
      <c r="DE238" s="719"/>
      <c r="DF238" s="719"/>
      <c r="DG238" s="719"/>
      <c r="DH238" s="719"/>
      <c r="DI238" s="719"/>
      <c r="DJ238" s="719"/>
      <c r="DK238" s="719"/>
      <c r="DL238" s="719"/>
      <c r="DM238" s="719"/>
      <c r="DN238" s="719"/>
      <c r="DO238" s="719"/>
      <c r="DP238" s="719"/>
      <c r="DQ238" s="719"/>
      <c r="DR238" s="719"/>
    </row>
    <row r="239" spans="1:122" s="275" customFormat="1">
      <c r="A239" s="719"/>
      <c r="B239" s="719"/>
      <c r="C239" s="719"/>
      <c r="D239" s="719"/>
      <c r="E239" s="719"/>
      <c r="F239" s="719"/>
      <c r="G239" s="719"/>
      <c r="H239" s="719"/>
      <c r="I239" s="719"/>
      <c r="J239" s="719"/>
      <c r="K239" s="719"/>
      <c r="L239" s="719"/>
      <c r="M239" s="719"/>
      <c r="N239" s="721"/>
      <c r="O239" s="721"/>
      <c r="P239" s="719"/>
      <c r="Q239" s="719"/>
      <c r="R239" s="719"/>
      <c r="S239" s="721"/>
      <c r="T239" s="721"/>
      <c r="U239" s="719"/>
      <c r="V239" s="719"/>
      <c r="W239" s="719"/>
      <c r="X239" s="721"/>
      <c r="Y239" s="721"/>
      <c r="Z239" s="719"/>
      <c r="AA239" s="719"/>
      <c r="AB239" s="719"/>
      <c r="AC239" s="721"/>
      <c r="AD239" s="721"/>
      <c r="AE239" s="719"/>
      <c r="AF239" s="719"/>
      <c r="AG239" s="719"/>
      <c r="AH239" s="721"/>
      <c r="AI239" s="721"/>
      <c r="AJ239" s="719"/>
      <c r="AK239" s="719"/>
      <c r="AL239" s="719"/>
      <c r="AM239" s="719"/>
      <c r="AN239" s="719"/>
      <c r="AO239" s="719"/>
      <c r="AP239" s="719"/>
      <c r="AQ239" s="719"/>
      <c r="AR239" s="719"/>
      <c r="AS239" s="719"/>
      <c r="AT239" s="719"/>
      <c r="AU239" s="719"/>
      <c r="AV239" s="719"/>
      <c r="AW239" s="719"/>
      <c r="AX239" s="719"/>
      <c r="AY239" s="719"/>
      <c r="AZ239" s="719"/>
      <c r="BA239" s="719"/>
      <c r="BB239" s="719"/>
      <c r="BC239" s="719"/>
      <c r="BD239" s="719"/>
      <c r="BE239" s="719"/>
      <c r="BF239" s="719"/>
      <c r="BG239" s="719"/>
      <c r="BH239" s="719"/>
      <c r="BI239" s="719"/>
      <c r="BJ239" s="719"/>
      <c r="BK239" s="719"/>
      <c r="BL239" s="719"/>
      <c r="BM239" s="719"/>
      <c r="BN239" s="719"/>
      <c r="BO239" s="719"/>
      <c r="BP239" s="719"/>
      <c r="BQ239" s="719"/>
      <c r="BR239" s="719"/>
      <c r="BS239" s="719"/>
      <c r="BT239" s="719"/>
      <c r="BU239" s="719"/>
      <c r="BV239" s="719"/>
      <c r="BW239" s="719"/>
      <c r="BX239" s="719"/>
      <c r="BY239" s="719"/>
      <c r="BZ239" s="719"/>
      <c r="CA239" s="719"/>
      <c r="CB239" s="719"/>
      <c r="CC239" s="719"/>
      <c r="CD239" s="719"/>
      <c r="CE239" s="719"/>
      <c r="CF239" s="719"/>
      <c r="CG239" s="719"/>
      <c r="CH239" s="719"/>
      <c r="CI239" s="719"/>
      <c r="CJ239" s="719"/>
      <c r="CK239" s="719"/>
      <c r="CL239" s="719"/>
      <c r="CM239" s="719"/>
      <c r="CN239" s="719"/>
      <c r="CO239" s="719"/>
      <c r="CP239" s="719"/>
      <c r="CQ239" s="719"/>
      <c r="CR239" s="719"/>
      <c r="CS239" s="719"/>
      <c r="CT239" s="719"/>
      <c r="CU239" s="719"/>
      <c r="CV239" s="719"/>
      <c r="CW239" s="719"/>
      <c r="CX239" s="719"/>
      <c r="CY239" s="719"/>
      <c r="CZ239" s="719"/>
      <c r="DA239" s="719"/>
      <c r="DB239" s="719"/>
      <c r="DC239" s="719"/>
      <c r="DD239" s="719"/>
      <c r="DE239" s="719"/>
      <c r="DF239" s="719"/>
      <c r="DG239" s="719"/>
      <c r="DH239" s="719"/>
      <c r="DI239" s="719"/>
      <c r="DJ239" s="719"/>
      <c r="DK239" s="719"/>
      <c r="DL239" s="719"/>
      <c r="DM239" s="719"/>
      <c r="DN239" s="719"/>
      <c r="DO239" s="719"/>
      <c r="DP239" s="719"/>
      <c r="DQ239" s="719"/>
      <c r="DR239" s="719"/>
    </row>
    <row r="240" spans="1:122" s="275" customFormat="1">
      <c r="A240" s="719"/>
      <c r="B240" s="719"/>
      <c r="C240" s="719"/>
      <c r="D240" s="719"/>
      <c r="E240" s="719"/>
      <c r="F240" s="719"/>
      <c r="G240" s="719"/>
      <c r="H240" s="719"/>
      <c r="I240" s="719"/>
      <c r="J240" s="719"/>
      <c r="K240" s="719"/>
      <c r="L240" s="719"/>
      <c r="M240" s="719"/>
      <c r="N240" s="721"/>
      <c r="O240" s="721"/>
      <c r="P240" s="719"/>
      <c r="Q240" s="719"/>
      <c r="R240" s="719"/>
      <c r="S240" s="721"/>
      <c r="T240" s="721"/>
      <c r="U240" s="719"/>
      <c r="V240" s="719"/>
      <c r="W240" s="719"/>
      <c r="X240" s="721"/>
      <c r="Y240" s="721"/>
      <c r="Z240" s="719"/>
      <c r="AA240" s="719"/>
      <c r="AB240" s="719"/>
      <c r="AC240" s="721"/>
      <c r="AD240" s="721"/>
      <c r="AE240" s="719"/>
      <c r="AF240" s="719"/>
      <c r="AG240" s="719"/>
      <c r="AH240" s="721"/>
      <c r="AI240" s="721"/>
      <c r="AJ240" s="719"/>
      <c r="AK240" s="719"/>
      <c r="AL240" s="719"/>
      <c r="AM240" s="719"/>
      <c r="AN240" s="719"/>
      <c r="AO240" s="719"/>
      <c r="AP240" s="719"/>
      <c r="AQ240" s="719"/>
      <c r="AR240" s="719"/>
      <c r="AS240" s="719"/>
      <c r="AT240" s="719"/>
      <c r="AU240" s="719"/>
      <c r="AV240" s="719"/>
      <c r="AW240" s="719"/>
      <c r="AX240" s="719"/>
      <c r="AY240" s="719"/>
      <c r="AZ240" s="719"/>
      <c r="BA240" s="719"/>
      <c r="BB240" s="719"/>
      <c r="BC240" s="719"/>
      <c r="BD240" s="719"/>
      <c r="BE240" s="719"/>
      <c r="BF240" s="719"/>
      <c r="BG240" s="719"/>
      <c r="BH240" s="719"/>
      <c r="BI240" s="719"/>
      <c r="BJ240" s="719"/>
      <c r="BK240" s="719"/>
      <c r="BL240" s="719"/>
      <c r="BM240" s="719"/>
      <c r="BN240" s="719"/>
      <c r="BO240" s="719"/>
      <c r="BP240" s="719"/>
      <c r="BQ240" s="719"/>
      <c r="BR240" s="719"/>
      <c r="BS240" s="719"/>
      <c r="BT240" s="719"/>
      <c r="BU240" s="719"/>
      <c r="BV240" s="719"/>
      <c r="BW240" s="719"/>
      <c r="BX240" s="719"/>
      <c r="BY240" s="719"/>
      <c r="BZ240" s="719"/>
      <c r="CA240" s="719"/>
      <c r="CB240" s="719"/>
      <c r="CC240" s="719"/>
      <c r="CD240" s="719"/>
      <c r="CE240" s="719"/>
      <c r="CF240" s="719"/>
      <c r="CG240" s="719"/>
      <c r="CH240" s="719"/>
      <c r="CI240" s="719"/>
      <c r="CJ240" s="719"/>
      <c r="CK240" s="719"/>
      <c r="CL240" s="719"/>
      <c r="CM240" s="719"/>
      <c r="CN240" s="719"/>
      <c r="CO240" s="719"/>
      <c r="CP240" s="719"/>
      <c r="CQ240" s="719"/>
      <c r="CR240" s="719"/>
      <c r="CS240" s="719"/>
      <c r="CT240" s="719"/>
      <c r="CU240" s="719"/>
      <c r="CV240" s="719"/>
      <c r="CW240" s="719"/>
      <c r="CX240" s="719"/>
      <c r="CY240" s="719"/>
      <c r="CZ240" s="719"/>
      <c r="DA240" s="719"/>
      <c r="DB240" s="719"/>
      <c r="DC240" s="719"/>
      <c r="DD240" s="719"/>
      <c r="DE240" s="719"/>
      <c r="DF240" s="719"/>
      <c r="DG240" s="719"/>
      <c r="DH240" s="719"/>
      <c r="DI240" s="719"/>
      <c r="DJ240" s="719"/>
      <c r="DK240" s="719"/>
      <c r="DL240" s="719"/>
      <c r="DM240" s="719"/>
      <c r="DN240" s="719"/>
      <c r="DO240" s="719"/>
      <c r="DP240" s="719"/>
      <c r="DQ240" s="719"/>
      <c r="DR240" s="719"/>
    </row>
    <row r="241" spans="1:122" s="275" customFormat="1">
      <c r="A241" s="719"/>
      <c r="B241" s="719"/>
      <c r="C241" s="719"/>
      <c r="D241" s="719"/>
      <c r="E241" s="719"/>
      <c r="F241" s="719"/>
      <c r="G241" s="719"/>
      <c r="H241" s="719"/>
      <c r="I241" s="719"/>
      <c r="J241" s="719"/>
      <c r="K241" s="719"/>
      <c r="L241" s="719"/>
      <c r="M241" s="719"/>
      <c r="N241" s="721"/>
      <c r="O241" s="721"/>
      <c r="P241" s="719"/>
      <c r="Q241" s="719"/>
      <c r="R241" s="719"/>
      <c r="S241" s="721"/>
      <c r="T241" s="721"/>
      <c r="U241" s="719"/>
      <c r="V241" s="719"/>
      <c r="W241" s="719"/>
      <c r="X241" s="721"/>
      <c r="Y241" s="721"/>
      <c r="Z241" s="719"/>
      <c r="AA241" s="719"/>
      <c r="AB241" s="719"/>
      <c r="AC241" s="721"/>
      <c r="AD241" s="721"/>
      <c r="AE241" s="719"/>
      <c r="AF241" s="719"/>
      <c r="AG241" s="719"/>
      <c r="AH241" s="721"/>
      <c r="AI241" s="721"/>
      <c r="AJ241" s="719"/>
      <c r="AK241" s="719"/>
      <c r="AL241" s="719"/>
      <c r="AM241" s="719"/>
      <c r="AN241" s="719"/>
      <c r="AO241" s="719"/>
      <c r="AP241" s="719"/>
      <c r="AQ241" s="719"/>
      <c r="AR241" s="719"/>
      <c r="AS241" s="719"/>
      <c r="AT241" s="719"/>
      <c r="AU241" s="719"/>
      <c r="AV241" s="719"/>
      <c r="AW241" s="719"/>
      <c r="AX241" s="719"/>
      <c r="AY241" s="719"/>
      <c r="AZ241" s="719"/>
      <c r="BA241" s="719"/>
      <c r="BB241" s="719"/>
      <c r="BC241" s="719"/>
      <c r="BD241" s="719"/>
      <c r="BE241" s="719"/>
      <c r="BF241" s="719"/>
      <c r="BG241" s="719"/>
      <c r="BH241" s="719"/>
      <c r="BI241" s="719"/>
      <c r="BJ241" s="719"/>
      <c r="BK241" s="719"/>
      <c r="BL241" s="719"/>
      <c r="BM241" s="719"/>
      <c r="BN241" s="719"/>
      <c r="BO241" s="719"/>
      <c r="BP241" s="719"/>
      <c r="BQ241" s="719"/>
      <c r="BR241" s="719"/>
      <c r="BS241" s="719"/>
      <c r="BT241" s="719"/>
      <c r="BU241" s="719"/>
      <c r="BV241" s="719"/>
      <c r="BW241" s="719"/>
      <c r="BX241" s="719"/>
      <c r="BY241" s="719"/>
      <c r="BZ241" s="719"/>
      <c r="CA241" s="719"/>
      <c r="CB241" s="719"/>
      <c r="CC241" s="719"/>
      <c r="CD241" s="719"/>
      <c r="CE241" s="719"/>
      <c r="CF241" s="719"/>
      <c r="CG241" s="719"/>
      <c r="CH241" s="719"/>
      <c r="CI241" s="719"/>
      <c r="CJ241" s="719"/>
      <c r="CK241" s="719"/>
      <c r="CL241" s="719"/>
      <c r="CM241" s="719"/>
      <c r="CN241" s="719"/>
      <c r="CO241" s="719"/>
      <c r="CP241" s="719"/>
      <c r="CQ241" s="719"/>
      <c r="CR241" s="719"/>
      <c r="CS241" s="719"/>
      <c r="CT241" s="719"/>
      <c r="CU241" s="719"/>
      <c r="CV241" s="719"/>
      <c r="CW241" s="719"/>
      <c r="CX241" s="719"/>
      <c r="CY241" s="719"/>
      <c r="CZ241" s="719"/>
      <c r="DA241" s="719"/>
      <c r="DB241" s="719"/>
      <c r="DC241" s="719"/>
      <c r="DD241" s="719"/>
      <c r="DE241" s="719"/>
      <c r="DF241" s="719"/>
      <c r="DG241" s="719"/>
      <c r="DH241" s="719"/>
      <c r="DI241" s="719"/>
      <c r="DJ241" s="719"/>
      <c r="DK241" s="719"/>
      <c r="DL241" s="719"/>
      <c r="DM241" s="719"/>
      <c r="DN241" s="719"/>
      <c r="DO241" s="719"/>
      <c r="DP241" s="719"/>
      <c r="DQ241" s="719"/>
      <c r="DR241" s="719"/>
    </row>
    <row r="242" spans="1:122" s="275" customFormat="1">
      <c r="A242" s="719"/>
      <c r="B242" s="719"/>
      <c r="C242" s="719"/>
      <c r="D242" s="719"/>
      <c r="E242" s="719"/>
      <c r="F242" s="719"/>
      <c r="G242" s="719"/>
      <c r="H242" s="719"/>
      <c r="I242" s="719"/>
      <c r="J242" s="719"/>
      <c r="K242" s="719"/>
      <c r="L242" s="719"/>
      <c r="M242" s="719"/>
      <c r="N242" s="721"/>
      <c r="O242" s="721"/>
      <c r="P242" s="719"/>
      <c r="Q242" s="719"/>
      <c r="R242" s="719"/>
      <c r="S242" s="721"/>
      <c r="T242" s="721"/>
      <c r="U242" s="719"/>
      <c r="V242" s="719"/>
      <c r="W242" s="719"/>
      <c r="X242" s="721"/>
      <c r="Y242" s="721"/>
      <c r="Z242" s="719"/>
      <c r="AA242" s="719"/>
      <c r="AB242" s="719"/>
      <c r="AC242" s="721"/>
      <c r="AD242" s="721"/>
      <c r="AE242" s="719"/>
      <c r="AF242" s="719"/>
      <c r="AG242" s="719"/>
      <c r="AH242" s="721"/>
      <c r="AI242" s="721"/>
      <c r="AJ242" s="719"/>
      <c r="AK242" s="719"/>
      <c r="AL242" s="719"/>
      <c r="AM242" s="719"/>
      <c r="AN242" s="719"/>
      <c r="AO242" s="719"/>
      <c r="AP242" s="719"/>
      <c r="AQ242" s="719"/>
      <c r="AR242" s="719"/>
      <c r="AS242" s="719"/>
      <c r="AT242" s="719"/>
      <c r="AU242" s="719"/>
      <c r="AV242" s="719"/>
      <c r="AW242" s="719"/>
      <c r="AX242" s="719"/>
      <c r="AY242" s="719"/>
      <c r="AZ242" s="719"/>
      <c r="BA242" s="719"/>
      <c r="BB242" s="719"/>
      <c r="BC242" s="719"/>
      <c r="BD242" s="719"/>
      <c r="BE242" s="719"/>
      <c r="BF242" s="719"/>
      <c r="BG242" s="719"/>
      <c r="BH242" s="719"/>
      <c r="BI242" s="719"/>
      <c r="BJ242" s="719"/>
      <c r="BK242" s="719"/>
      <c r="BL242" s="719"/>
      <c r="BM242" s="719"/>
      <c r="BN242" s="719"/>
      <c r="BO242" s="719"/>
      <c r="BP242" s="719"/>
      <c r="BQ242" s="719"/>
      <c r="BR242" s="719"/>
      <c r="BS242" s="719"/>
      <c r="BT242" s="719"/>
      <c r="BU242" s="719"/>
      <c r="BV242" s="719"/>
      <c r="BW242" s="719"/>
      <c r="BX242" s="719"/>
      <c r="BY242" s="719"/>
      <c r="BZ242" s="719"/>
      <c r="CA242" s="719"/>
      <c r="CB242" s="719"/>
      <c r="CC242" s="719"/>
      <c r="CD242" s="719"/>
      <c r="CE242" s="719"/>
      <c r="CF242" s="719"/>
      <c r="CG242" s="719"/>
      <c r="CH242" s="719"/>
      <c r="CI242" s="719"/>
      <c r="CJ242" s="719"/>
      <c r="CK242" s="719"/>
      <c r="CL242" s="719"/>
      <c r="CM242" s="719"/>
      <c r="CN242" s="719"/>
      <c r="CO242" s="719"/>
      <c r="CP242" s="719"/>
      <c r="CQ242" s="719"/>
      <c r="CR242" s="719"/>
      <c r="CS242" s="719"/>
      <c r="CT242" s="719"/>
      <c r="CU242" s="719"/>
      <c r="CV242" s="719"/>
      <c r="CW242" s="719"/>
      <c r="CX242" s="719"/>
      <c r="CY242" s="719"/>
      <c r="CZ242" s="719"/>
      <c r="DA242" s="719"/>
      <c r="DB242" s="719"/>
      <c r="DC242" s="719"/>
      <c r="DD242" s="719"/>
      <c r="DE242" s="719"/>
      <c r="DF242" s="719"/>
      <c r="DG242" s="719"/>
      <c r="DH242" s="719"/>
      <c r="DI242" s="719"/>
      <c r="DJ242" s="719"/>
      <c r="DK242" s="719"/>
      <c r="DL242" s="719"/>
      <c r="DM242" s="719"/>
      <c r="DN242" s="719"/>
      <c r="DO242" s="719"/>
      <c r="DP242" s="719"/>
      <c r="DQ242" s="719"/>
      <c r="DR242" s="719"/>
    </row>
    <row r="243" spans="1:122" s="275" customFormat="1">
      <c r="A243" s="719"/>
      <c r="B243" s="719"/>
      <c r="C243" s="719"/>
      <c r="D243" s="719"/>
      <c r="E243" s="719"/>
      <c r="F243" s="719"/>
      <c r="G243" s="719"/>
      <c r="H243" s="719"/>
      <c r="I243" s="719"/>
      <c r="J243" s="719"/>
      <c r="K243" s="719"/>
      <c r="L243" s="719"/>
      <c r="M243" s="719"/>
      <c r="N243" s="721"/>
      <c r="O243" s="721"/>
      <c r="P243" s="719"/>
      <c r="Q243" s="719"/>
      <c r="R243" s="719"/>
      <c r="S243" s="721"/>
      <c r="T243" s="721"/>
      <c r="U243" s="719"/>
      <c r="V243" s="719"/>
      <c r="W243" s="719"/>
      <c r="X243" s="721"/>
      <c r="Y243" s="721"/>
      <c r="Z243" s="719"/>
      <c r="AA243" s="719"/>
      <c r="AB243" s="719"/>
      <c r="AC243" s="721"/>
      <c r="AD243" s="721"/>
      <c r="AE243" s="719"/>
      <c r="AF243" s="719"/>
      <c r="AG243" s="719"/>
      <c r="AH243" s="721"/>
      <c r="AI243" s="721"/>
      <c r="AJ243" s="719"/>
      <c r="AK243" s="719"/>
      <c r="AL243" s="719"/>
      <c r="AM243" s="719"/>
      <c r="AN243" s="719"/>
      <c r="AO243" s="719"/>
      <c r="AP243" s="719"/>
      <c r="AQ243" s="719"/>
      <c r="AR243" s="719"/>
      <c r="AS243" s="719"/>
      <c r="AT243" s="719"/>
      <c r="AU243" s="719"/>
      <c r="AV243" s="719"/>
      <c r="AW243" s="719"/>
      <c r="AX243" s="719"/>
      <c r="AY243" s="719"/>
      <c r="AZ243" s="719"/>
      <c r="BA243" s="719"/>
      <c r="BB243" s="719"/>
      <c r="BC243" s="719"/>
      <c r="BD243" s="719"/>
      <c r="BE243" s="719"/>
      <c r="BF243" s="719"/>
      <c r="BG243" s="719"/>
      <c r="BH243" s="719"/>
      <c r="BI243" s="719"/>
      <c r="BJ243" s="719"/>
      <c r="BK243" s="719"/>
      <c r="BL243" s="719"/>
      <c r="BM243" s="719"/>
      <c r="BN243" s="719"/>
      <c r="BO243" s="719"/>
      <c r="BP243" s="719"/>
      <c r="BQ243" s="719"/>
      <c r="BR243" s="719"/>
      <c r="BS243" s="719"/>
      <c r="BT243" s="719"/>
      <c r="BU243" s="719"/>
      <c r="BV243" s="719"/>
      <c r="BW243" s="719"/>
      <c r="BX243" s="719"/>
      <c r="BY243" s="719"/>
      <c r="BZ243" s="719"/>
      <c r="CA243" s="719"/>
      <c r="CB243" s="719"/>
      <c r="CC243" s="719"/>
      <c r="CD243" s="719"/>
      <c r="CE243" s="719"/>
      <c r="CF243" s="719"/>
      <c r="CG243" s="719"/>
      <c r="CH243" s="719"/>
      <c r="CI243" s="719"/>
      <c r="CJ243" s="719"/>
      <c r="CK243" s="719"/>
      <c r="CL243" s="719"/>
      <c r="CM243" s="719"/>
      <c r="CN243" s="719"/>
      <c r="CO243" s="719"/>
      <c r="CP243" s="719"/>
      <c r="CQ243" s="719"/>
      <c r="CR243" s="719"/>
      <c r="CS243" s="719"/>
      <c r="CT243" s="719"/>
      <c r="CU243" s="719"/>
      <c r="CV243" s="719"/>
      <c r="CW243" s="719"/>
      <c r="CX243" s="719"/>
      <c r="CY243" s="719"/>
      <c r="CZ243" s="719"/>
      <c r="DA243" s="719"/>
      <c r="DB243" s="719"/>
      <c r="DC243" s="719"/>
      <c r="DD243" s="719"/>
      <c r="DE243" s="719"/>
      <c r="DF243" s="719"/>
      <c r="DG243" s="719"/>
      <c r="DH243" s="719"/>
      <c r="DI243" s="719"/>
      <c r="DJ243" s="719"/>
      <c r="DK243" s="719"/>
      <c r="DL243" s="719"/>
      <c r="DM243" s="719"/>
      <c r="DN243" s="719"/>
      <c r="DO243" s="719"/>
      <c r="DP243" s="719"/>
      <c r="DQ243" s="719"/>
      <c r="DR243" s="719"/>
    </row>
    <row r="244" spans="1:122" s="275" customFormat="1">
      <c r="A244" s="719"/>
      <c r="B244" s="719"/>
      <c r="C244" s="719"/>
      <c r="D244" s="719"/>
      <c r="E244" s="719"/>
      <c r="F244" s="719"/>
      <c r="G244" s="719"/>
      <c r="H244" s="719"/>
      <c r="I244" s="719"/>
      <c r="J244" s="719"/>
      <c r="K244" s="719"/>
      <c r="L244" s="719"/>
      <c r="M244" s="719"/>
      <c r="N244" s="721"/>
      <c r="O244" s="721"/>
      <c r="P244" s="719"/>
      <c r="Q244" s="719"/>
      <c r="R244" s="719"/>
      <c r="S244" s="721"/>
      <c r="T244" s="721"/>
      <c r="U244" s="719"/>
      <c r="V244" s="719"/>
      <c r="W244" s="719"/>
      <c r="X244" s="721"/>
      <c r="Y244" s="721"/>
      <c r="Z244" s="719"/>
      <c r="AA244" s="719"/>
      <c r="AB244" s="719"/>
      <c r="AC244" s="721"/>
      <c r="AD244" s="721"/>
      <c r="AE244" s="719"/>
      <c r="AF244" s="719"/>
      <c r="AG244" s="719"/>
      <c r="AH244" s="721"/>
      <c r="AI244" s="721"/>
      <c r="AJ244" s="719"/>
      <c r="AK244" s="719"/>
      <c r="AL244" s="719"/>
      <c r="AM244" s="719"/>
      <c r="AN244" s="719"/>
      <c r="AO244" s="719"/>
      <c r="AP244" s="719"/>
      <c r="AQ244" s="719"/>
      <c r="AR244" s="719"/>
      <c r="AS244" s="719"/>
      <c r="AT244" s="719"/>
      <c r="AU244" s="719"/>
      <c r="AV244" s="719"/>
      <c r="AW244" s="719"/>
      <c r="AX244" s="719"/>
      <c r="AY244" s="719"/>
      <c r="AZ244" s="719"/>
      <c r="BA244" s="719"/>
      <c r="BB244" s="719"/>
      <c r="BC244" s="719"/>
      <c r="BD244" s="719"/>
      <c r="BE244" s="719"/>
      <c r="BF244" s="719"/>
      <c r="BG244" s="719"/>
      <c r="BH244" s="719"/>
      <c r="BI244" s="719"/>
      <c r="BJ244" s="719"/>
      <c r="BK244" s="719"/>
      <c r="BL244" s="719"/>
      <c r="BM244" s="719"/>
      <c r="BN244" s="719"/>
      <c r="BO244" s="719"/>
      <c r="BP244" s="719"/>
      <c r="BQ244" s="719"/>
      <c r="BR244" s="719"/>
      <c r="BS244" s="719"/>
      <c r="BT244" s="719"/>
      <c r="BU244" s="719"/>
      <c r="BV244" s="719"/>
      <c r="BW244" s="719"/>
      <c r="BX244" s="719"/>
      <c r="BY244" s="719"/>
      <c r="BZ244" s="719"/>
      <c r="CA244" s="719"/>
      <c r="CB244" s="719"/>
      <c r="CC244" s="719"/>
      <c r="CD244" s="719"/>
      <c r="CE244" s="719"/>
      <c r="CF244" s="719"/>
      <c r="CG244" s="719"/>
      <c r="CH244" s="719"/>
      <c r="CI244" s="719"/>
      <c r="CJ244" s="719"/>
      <c r="CK244" s="719"/>
      <c r="CL244" s="719"/>
      <c r="CM244" s="719"/>
      <c r="CN244" s="719"/>
      <c r="CO244" s="719"/>
      <c r="CP244" s="719"/>
      <c r="CQ244" s="719"/>
      <c r="CR244" s="719"/>
      <c r="CS244" s="719"/>
      <c r="CT244" s="719"/>
      <c r="CU244" s="719"/>
      <c r="CV244" s="719"/>
      <c r="CW244" s="719"/>
      <c r="CX244" s="719"/>
      <c r="CY244" s="719"/>
      <c r="CZ244" s="719"/>
      <c r="DA244" s="719"/>
      <c r="DB244" s="719"/>
      <c r="DC244" s="719"/>
      <c r="DD244" s="719"/>
      <c r="DE244" s="719"/>
      <c r="DF244" s="719"/>
      <c r="DG244" s="719"/>
      <c r="DH244" s="719"/>
      <c r="DI244" s="719"/>
      <c r="DJ244" s="719"/>
      <c r="DK244" s="719"/>
      <c r="DL244" s="719"/>
      <c r="DM244" s="719"/>
      <c r="DN244" s="719"/>
      <c r="DO244" s="719"/>
      <c r="DP244" s="719"/>
      <c r="DQ244" s="719"/>
      <c r="DR244" s="719"/>
    </row>
    <row r="245" spans="1:122" s="275" customFormat="1">
      <c r="A245" s="719"/>
      <c r="B245" s="719"/>
      <c r="C245" s="719"/>
      <c r="D245" s="719"/>
      <c r="E245" s="719"/>
      <c r="F245" s="719"/>
      <c r="G245" s="719"/>
      <c r="H245" s="719"/>
      <c r="I245" s="719"/>
      <c r="J245" s="719"/>
      <c r="K245" s="719"/>
      <c r="L245" s="719"/>
      <c r="M245" s="719"/>
      <c r="N245" s="721"/>
      <c r="O245" s="721"/>
      <c r="P245" s="719"/>
      <c r="Q245" s="719"/>
      <c r="R245" s="719"/>
      <c r="S245" s="721"/>
      <c r="T245" s="721"/>
      <c r="U245" s="719"/>
      <c r="V245" s="719"/>
      <c r="W245" s="719"/>
      <c r="X245" s="721"/>
      <c r="Y245" s="721"/>
      <c r="Z245" s="719"/>
      <c r="AA245" s="719"/>
      <c r="AB245" s="719"/>
      <c r="AC245" s="721"/>
      <c r="AD245" s="721"/>
      <c r="AE245" s="719"/>
      <c r="AF245" s="719"/>
      <c r="AG245" s="719"/>
      <c r="AH245" s="721"/>
      <c r="AI245" s="721"/>
      <c r="AJ245" s="719"/>
      <c r="AK245" s="719"/>
      <c r="AL245" s="719"/>
      <c r="AM245" s="719"/>
      <c r="AN245" s="719"/>
      <c r="AO245" s="719"/>
      <c r="AP245" s="719"/>
      <c r="AQ245" s="719"/>
      <c r="AR245" s="719"/>
      <c r="AS245" s="719"/>
      <c r="AT245" s="719"/>
      <c r="AU245" s="719"/>
      <c r="AV245" s="719"/>
      <c r="AW245" s="719"/>
      <c r="AX245" s="719"/>
      <c r="AY245" s="719"/>
      <c r="AZ245" s="719"/>
      <c r="BA245" s="719"/>
      <c r="BB245" s="719"/>
      <c r="BC245" s="719"/>
      <c r="BD245" s="719"/>
      <c r="BE245" s="719"/>
      <c r="BF245" s="719"/>
      <c r="BG245" s="719"/>
      <c r="BH245" s="719"/>
      <c r="BI245" s="719"/>
      <c r="BJ245" s="719"/>
      <c r="BK245" s="719"/>
      <c r="BL245" s="719"/>
      <c r="BM245" s="719"/>
      <c r="BN245" s="719"/>
      <c r="BO245" s="719"/>
      <c r="BP245" s="719"/>
      <c r="BQ245" s="719"/>
      <c r="BR245" s="719"/>
      <c r="BS245" s="719"/>
      <c r="BT245" s="719"/>
      <c r="BU245" s="719"/>
      <c r="BV245" s="719"/>
      <c r="BW245" s="719"/>
      <c r="BX245" s="719"/>
      <c r="BY245" s="719"/>
      <c r="BZ245" s="719"/>
      <c r="CA245" s="719"/>
      <c r="CB245" s="719"/>
      <c r="CC245" s="719"/>
      <c r="CD245" s="719"/>
      <c r="CE245" s="719"/>
      <c r="CF245" s="719"/>
      <c r="CG245" s="719"/>
      <c r="CH245" s="719"/>
      <c r="CI245" s="719"/>
      <c r="CJ245" s="719"/>
      <c r="CK245" s="719"/>
      <c r="CL245" s="719"/>
      <c r="CM245" s="719"/>
      <c r="CN245" s="719"/>
      <c r="CO245" s="719"/>
      <c r="CP245" s="719"/>
      <c r="CQ245" s="719"/>
      <c r="CR245" s="719"/>
      <c r="CS245" s="719"/>
      <c r="CT245" s="719"/>
      <c r="CU245" s="719"/>
      <c r="CV245" s="719"/>
      <c r="CW245" s="719"/>
      <c r="CX245" s="719"/>
      <c r="CY245" s="719"/>
      <c r="CZ245" s="719"/>
      <c r="DA245" s="719"/>
      <c r="DB245" s="719"/>
      <c r="DC245" s="719"/>
      <c r="DD245" s="719"/>
      <c r="DE245" s="719"/>
      <c r="DF245" s="719"/>
      <c r="DG245" s="719"/>
      <c r="DH245" s="719"/>
      <c r="DI245" s="719"/>
      <c r="DJ245" s="719"/>
      <c r="DK245" s="719"/>
      <c r="DL245" s="719"/>
      <c r="DM245" s="719"/>
      <c r="DN245" s="719"/>
      <c r="DO245" s="719"/>
      <c r="DP245" s="719"/>
      <c r="DQ245" s="719"/>
      <c r="DR245" s="719"/>
    </row>
    <row r="246" spans="1:122" s="275" customFormat="1">
      <c r="A246" s="719"/>
      <c r="B246" s="719"/>
      <c r="C246" s="719"/>
      <c r="D246" s="719"/>
      <c r="E246" s="719"/>
      <c r="F246" s="719"/>
      <c r="G246" s="719"/>
      <c r="H246" s="719"/>
      <c r="I246" s="719"/>
      <c r="J246" s="719"/>
      <c r="K246" s="719"/>
      <c r="L246" s="719"/>
      <c r="M246" s="719"/>
      <c r="N246" s="721"/>
      <c r="O246" s="721"/>
      <c r="P246" s="719"/>
      <c r="Q246" s="719"/>
      <c r="R246" s="719"/>
      <c r="S246" s="721"/>
      <c r="T246" s="721"/>
      <c r="U246" s="719"/>
      <c r="V246" s="719"/>
      <c r="W246" s="719"/>
      <c r="X246" s="721"/>
      <c r="Y246" s="721"/>
      <c r="Z246" s="719"/>
      <c r="AA246" s="719"/>
      <c r="AB246" s="719"/>
      <c r="AC246" s="721"/>
      <c r="AD246" s="721"/>
      <c r="AE246" s="719"/>
      <c r="AF246" s="719"/>
      <c r="AG246" s="719"/>
      <c r="AH246" s="721"/>
      <c r="AI246" s="721"/>
      <c r="AJ246" s="719"/>
      <c r="AK246" s="719"/>
      <c r="AL246" s="719"/>
      <c r="AM246" s="719"/>
      <c r="AN246" s="719"/>
      <c r="AO246" s="719"/>
      <c r="AP246" s="719"/>
      <c r="AQ246" s="719"/>
      <c r="AR246" s="719"/>
      <c r="AS246" s="719"/>
      <c r="AT246" s="719"/>
      <c r="AU246" s="719"/>
      <c r="AV246" s="719"/>
      <c r="AW246" s="719"/>
      <c r="AX246" s="719"/>
      <c r="AY246" s="719"/>
      <c r="AZ246" s="719"/>
      <c r="BA246" s="719"/>
      <c r="BB246" s="719"/>
      <c r="BC246" s="719"/>
      <c r="BD246" s="719"/>
      <c r="BE246" s="719"/>
      <c r="BF246" s="719"/>
      <c r="BG246" s="719"/>
      <c r="BH246" s="719"/>
      <c r="BI246" s="719"/>
      <c r="BJ246" s="719"/>
      <c r="BK246" s="719"/>
      <c r="BL246" s="719"/>
      <c r="BM246" s="719"/>
      <c r="BN246" s="719"/>
      <c r="BO246" s="719"/>
      <c r="BP246" s="719"/>
      <c r="BQ246" s="719"/>
      <c r="BR246" s="719"/>
      <c r="BS246" s="719"/>
      <c r="BT246" s="719"/>
      <c r="BU246" s="719"/>
      <c r="BV246" s="719"/>
      <c r="BW246" s="719"/>
      <c r="BX246" s="719"/>
      <c r="BY246" s="719"/>
      <c r="BZ246" s="719"/>
      <c r="CA246" s="719"/>
      <c r="CB246" s="719"/>
      <c r="CC246" s="719"/>
      <c r="CD246" s="719"/>
      <c r="CE246" s="719"/>
      <c r="CF246" s="719"/>
      <c r="CG246" s="719"/>
      <c r="CH246" s="719"/>
      <c r="CI246" s="719"/>
      <c r="CJ246" s="719"/>
      <c r="CK246" s="719"/>
      <c r="CL246" s="719"/>
      <c r="CM246" s="719"/>
      <c r="CN246" s="719"/>
      <c r="CO246" s="719"/>
      <c r="CP246" s="719"/>
      <c r="CQ246" s="719"/>
      <c r="CR246" s="719"/>
      <c r="CS246" s="719"/>
      <c r="CT246" s="719"/>
      <c r="CU246" s="719"/>
      <c r="CV246" s="719"/>
      <c r="CW246" s="719"/>
      <c r="CX246" s="719"/>
      <c r="CY246" s="719"/>
      <c r="CZ246" s="719"/>
      <c r="DA246" s="719"/>
      <c r="DB246" s="719"/>
      <c r="DC246" s="719"/>
      <c r="DD246" s="719"/>
      <c r="DE246" s="719"/>
      <c r="DF246" s="719"/>
      <c r="DG246" s="719"/>
      <c r="DH246" s="719"/>
      <c r="DI246" s="719"/>
      <c r="DJ246" s="719"/>
      <c r="DK246" s="719"/>
      <c r="DL246" s="719"/>
      <c r="DM246" s="719"/>
      <c r="DN246" s="719"/>
      <c r="DO246" s="719"/>
      <c r="DP246" s="719"/>
      <c r="DQ246" s="719"/>
      <c r="DR246" s="719"/>
    </row>
    <row r="247" spans="1:122" s="275" customFormat="1">
      <c r="A247" s="719"/>
      <c r="B247" s="719"/>
      <c r="C247" s="719"/>
      <c r="D247" s="719"/>
      <c r="E247" s="719"/>
      <c r="F247" s="719"/>
      <c r="G247" s="719"/>
      <c r="H247" s="719"/>
      <c r="I247" s="719"/>
      <c r="J247" s="719"/>
      <c r="K247" s="719"/>
      <c r="L247" s="719"/>
      <c r="M247" s="719"/>
      <c r="N247" s="721"/>
      <c r="O247" s="721"/>
      <c r="P247" s="719"/>
      <c r="Q247" s="719"/>
      <c r="R247" s="719"/>
      <c r="S247" s="721"/>
      <c r="T247" s="721"/>
      <c r="U247" s="719"/>
      <c r="V247" s="719"/>
      <c r="W247" s="719"/>
      <c r="X247" s="721"/>
      <c r="Y247" s="721"/>
      <c r="Z247" s="719"/>
      <c r="AA247" s="719"/>
      <c r="AB247" s="719"/>
      <c r="AC247" s="721"/>
      <c r="AD247" s="721"/>
      <c r="AE247" s="719"/>
      <c r="AF247" s="719"/>
      <c r="AG247" s="719"/>
      <c r="AH247" s="721"/>
      <c r="AI247" s="721"/>
      <c r="AJ247" s="719"/>
      <c r="AK247" s="719"/>
      <c r="AL247" s="719"/>
      <c r="AM247" s="719"/>
      <c r="AN247" s="719"/>
      <c r="AO247" s="719"/>
      <c r="AP247" s="719"/>
      <c r="AQ247" s="719"/>
      <c r="AR247" s="719"/>
      <c r="AS247" s="719"/>
      <c r="AT247" s="719"/>
      <c r="AU247" s="719"/>
      <c r="AV247" s="719"/>
      <c r="AW247" s="719"/>
      <c r="AX247" s="719"/>
      <c r="AY247" s="719"/>
      <c r="AZ247" s="719"/>
      <c r="BA247" s="719"/>
      <c r="BB247" s="719"/>
      <c r="BC247" s="719"/>
      <c r="BD247" s="719"/>
      <c r="BE247" s="719"/>
      <c r="BF247" s="719"/>
      <c r="BG247" s="719"/>
      <c r="BH247" s="719"/>
      <c r="BI247" s="719"/>
      <c r="BJ247" s="719"/>
      <c r="BK247" s="719"/>
      <c r="BL247" s="719"/>
      <c r="BM247" s="719"/>
      <c r="BN247" s="719"/>
      <c r="BO247" s="719"/>
      <c r="BP247" s="719"/>
      <c r="BQ247" s="719"/>
      <c r="BR247" s="719"/>
      <c r="BS247" s="719"/>
      <c r="BT247" s="719"/>
      <c r="BU247" s="719"/>
      <c r="BV247" s="719"/>
      <c r="BW247" s="719"/>
      <c r="BX247" s="719"/>
      <c r="BY247" s="719"/>
      <c r="BZ247" s="719"/>
      <c r="CA247" s="719"/>
      <c r="CB247" s="719"/>
      <c r="CC247" s="719"/>
      <c r="CD247" s="719"/>
      <c r="CE247" s="719"/>
      <c r="CF247" s="719"/>
      <c r="CG247" s="719"/>
      <c r="CH247" s="719"/>
      <c r="CI247" s="719"/>
      <c r="CJ247" s="719"/>
      <c r="CK247" s="719"/>
      <c r="CL247" s="719"/>
      <c r="CM247" s="719"/>
      <c r="CN247" s="719"/>
      <c r="CO247" s="719"/>
      <c r="CP247" s="719"/>
      <c r="CQ247" s="719"/>
      <c r="CR247" s="719"/>
      <c r="CS247" s="719"/>
      <c r="CT247" s="719"/>
      <c r="CU247" s="719"/>
      <c r="CV247" s="719"/>
      <c r="CW247" s="719"/>
      <c r="CX247" s="719"/>
      <c r="CY247" s="719"/>
      <c r="CZ247" s="719"/>
      <c r="DA247" s="719"/>
      <c r="DB247" s="719"/>
      <c r="DC247" s="719"/>
      <c r="DD247" s="719"/>
      <c r="DE247" s="719"/>
      <c r="DF247" s="719"/>
      <c r="DG247" s="719"/>
      <c r="DH247" s="719"/>
      <c r="DI247" s="719"/>
      <c r="DJ247" s="719"/>
      <c r="DK247" s="719"/>
      <c r="DL247" s="719"/>
      <c r="DM247" s="719"/>
      <c r="DN247" s="719"/>
      <c r="DO247" s="719"/>
      <c r="DP247" s="719"/>
      <c r="DQ247" s="719"/>
      <c r="DR247" s="719"/>
    </row>
    <row r="248" spans="1:122" s="275" customFormat="1">
      <c r="A248" s="719"/>
      <c r="B248" s="719"/>
      <c r="C248" s="719"/>
      <c r="D248" s="719"/>
      <c r="E248" s="719"/>
      <c r="F248" s="719"/>
      <c r="G248" s="719"/>
      <c r="H248" s="719"/>
      <c r="I248" s="719"/>
      <c r="J248" s="719"/>
      <c r="K248" s="719"/>
      <c r="L248" s="719"/>
      <c r="M248" s="719"/>
      <c r="N248" s="721"/>
      <c r="O248" s="721"/>
      <c r="P248" s="719"/>
      <c r="Q248" s="719"/>
      <c r="R248" s="719"/>
      <c r="S248" s="721"/>
      <c r="T248" s="721"/>
      <c r="U248" s="719"/>
      <c r="V248" s="719"/>
      <c r="W248" s="719"/>
      <c r="X248" s="721"/>
      <c r="Y248" s="721"/>
      <c r="Z248" s="719"/>
      <c r="AA248" s="719"/>
      <c r="AB248" s="719"/>
      <c r="AC248" s="721"/>
      <c r="AD248" s="721"/>
      <c r="AE248" s="719"/>
      <c r="AF248" s="719"/>
      <c r="AG248" s="719"/>
      <c r="AH248" s="721"/>
      <c r="AI248" s="721"/>
      <c r="AJ248" s="719"/>
      <c r="AK248" s="719"/>
      <c r="AL248" s="719"/>
      <c r="AM248" s="719"/>
      <c r="AN248" s="719"/>
      <c r="AO248" s="719"/>
      <c r="AP248" s="719"/>
      <c r="AQ248" s="719"/>
      <c r="AR248" s="719"/>
      <c r="AS248" s="719"/>
      <c r="AT248" s="719"/>
      <c r="AU248" s="719"/>
      <c r="AV248" s="719"/>
      <c r="AW248" s="719"/>
      <c r="AX248" s="719"/>
      <c r="AY248" s="719"/>
      <c r="AZ248" s="719"/>
      <c r="BA248" s="719"/>
      <c r="BB248" s="719"/>
      <c r="BC248" s="719"/>
      <c r="BD248" s="719"/>
      <c r="BE248" s="719"/>
      <c r="BF248" s="719"/>
      <c r="BG248" s="719"/>
      <c r="BH248" s="719"/>
      <c r="BI248" s="719"/>
      <c r="BJ248" s="719"/>
      <c r="BK248" s="719"/>
      <c r="BL248" s="719"/>
      <c r="BM248" s="719"/>
      <c r="BN248" s="719"/>
      <c r="BO248" s="719"/>
      <c r="BP248" s="719"/>
      <c r="BQ248" s="719"/>
      <c r="BR248" s="719"/>
      <c r="BS248" s="719"/>
      <c r="BT248" s="719"/>
      <c r="BU248" s="719"/>
      <c r="BV248" s="719"/>
      <c r="BW248" s="719"/>
      <c r="BX248" s="719"/>
      <c r="BY248" s="719"/>
      <c r="BZ248" s="719"/>
      <c r="CA248" s="719"/>
      <c r="CB248" s="719"/>
      <c r="CC248" s="719"/>
      <c r="CD248" s="719"/>
      <c r="CE248" s="719"/>
      <c r="CF248" s="719"/>
      <c r="CG248" s="719"/>
      <c r="CH248" s="719"/>
      <c r="CI248" s="719"/>
      <c r="CJ248" s="719"/>
      <c r="CK248" s="719"/>
      <c r="CL248" s="719"/>
      <c r="CM248" s="719"/>
      <c r="CN248" s="719"/>
      <c r="CO248" s="719"/>
      <c r="CP248" s="719"/>
      <c r="CQ248" s="719"/>
      <c r="CR248" s="719"/>
      <c r="CS248" s="719"/>
      <c r="CT248" s="719"/>
      <c r="CU248" s="719"/>
      <c r="CV248" s="719"/>
      <c r="CW248" s="719"/>
      <c r="CX248" s="719"/>
      <c r="CY248" s="719"/>
      <c r="CZ248" s="719"/>
      <c r="DA248" s="719"/>
      <c r="DB248" s="719"/>
      <c r="DC248" s="719"/>
      <c r="DD248" s="719"/>
      <c r="DE248" s="719"/>
      <c r="DF248" s="719"/>
      <c r="DG248" s="719"/>
      <c r="DH248" s="719"/>
      <c r="DI248" s="719"/>
      <c r="DJ248" s="719"/>
      <c r="DK248" s="719"/>
      <c r="DL248" s="719"/>
      <c r="DM248" s="719"/>
      <c r="DN248" s="719"/>
      <c r="DO248" s="719"/>
      <c r="DP248" s="719"/>
      <c r="DQ248" s="719"/>
      <c r="DR248" s="719"/>
    </row>
    <row r="249" spans="1:122" s="275" customFormat="1">
      <c r="A249" s="719"/>
      <c r="B249" s="719"/>
      <c r="C249" s="719"/>
      <c r="D249" s="719"/>
      <c r="E249" s="719"/>
      <c r="F249" s="719"/>
      <c r="G249" s="719"/>
      <c r="H249" s="719"/>
      <c r="I249" s="719"/>
      <c r="J249" s="719"/>
      <c r="K249" s="719"/>
      <c r="L249" s="719"/>
      <c r="M249" s="719"/>
      <c r="N249" s="721"/>
      <c r="O249" s="721"/>
      <c r="P249" s="719"/>
      <c r="Q249" s="719"/>
      <c r="R249" s="719"/>
      <c r="S249" s="721"/>
      <c r="T249" s="721"/>
      <c r="U249" s="719"/>
      <c r="V249" s="719"/>
      <c r="W249" s="719"/>
      <c r="X249" s="721"/>
      <c r="Y249" s="721"/>
      <c r="Z249" s="719"/>
      <c r="AA249" s="719"/>
      <c r="AB249" s="719"/>
      <c r="AC249" s="721"/>
      <c r="AD249" s="721"/>
      <c r="AE249" s="719"/>
      <c r="AF249" s="719"/>
      <c r="AG249" s="719"/>
      <c r="AH249" s="721"/>
      <c r="AI249" s="721"/>
      <c r="AJ249" s="719"/>
      <c r="AK249" s="719"/>
      <c r="AL249" s="719"/>
      <c r="AM249" s="719"/>
      <c r="AN249" s="719"/>
      <c r="AO249" s="719"/>
      <c r="AP249" s="719"/>
      <c r="AQ249" s="719"/>
      <c r="AR249" s="719"/>
      <c r="AS249" s="719"/>
      <c r="AT249" s="719"/>
      <c r="AU249" s="719"/>
      <c r="AV249" s="719"/>
      <c r="AW249" s="719"/>
      <c r="AX249" s="719"/>
      <c r="AY249" s="719"/>
      <c r="AZ249" s="719"/>
      <c r="BA249" s="719"/>
      <c r="BB249" s="719"/>
      <c r="BC249" s="719"/>
      <c r="BD249" s="719"/>
      <c r="BE249" s="719"/>
      <c r="BF249" s="719"/>
      <c r="BG249" s="719"/>
      <c r="BH249" s="719"/>
      <c r="BI249" s="719"/>
      <c r="BJ249" s="719"/>
      <c r="BK249" s="719"/>
      <c r="BL249" s="719"/>
      <c r="BM249" s="719"/>
      <c r="BN249" s="719"/>
      <c r="BO249" s="719"/>
      <c r="BP249" s="719"/>
      <c r="BQ249" s="719"/>
      <c r="BR249" s="719"/>
      <c r="BS249" s="719"/>
      <c r="BT249" s="719"/>
      <c r="BU249" s="719"/>
      <c r="BV249" s="719"/>
      <c r="BW249" s="719"/>
      <c r="BX249" s="719"/>
      <c r="BY249" s="719"/>
      <c r="BZ249" s="719"/>
      <c r="CA249" s="719"/>
      <c r="CB249" s="719"/>
      <c r="CC249" s="719"/>
      <c r="CD249" s="719"/>
      <c r="CE249" s="719"/>
      <c r="CF249" s="719"/>
      <c r="CG249" s="719"/>
      <c r="CH249" s="719"/>
      <c r="CI249" s="719"/>
      <c r="CJ249" s="719"/>
      <c r="CK249" s="719"/>
      <c r="CL249" s="719"/>
      <c r="CM249" s="719"/>
      <c r="CN249" s="719"/>
      <c r="CO249" s="719"/>
      <c r="CP249" s="719"/>
      <c r="CQ249" s="719"/>
      <c r="CR249" s="719"/>
      <c r="CS249" s="719"/>
      <c r="CT249" s="719"/>
      <c r="CU249" s="719"/>
      <c r="CV249" s="719"/>
      <c r="CW249" s="719"/>
      <c r="CX249" s="719"/>
      <c r="CY249" s="719"/>
      <c r="CZ249" s="719"/>
      <c r="DA249" s="719"/>
      <c r="DB249" s="719"/>
      <c r="DC249" s="719"/>
      <c r="DD249" s="719"/>
      <c r="DE249" s="719"/>
      <c r="DF249" s="719"/>
      <c r="DG249" s="719"/>
      <c r="DH249" s="719"/>
      <c r="DI249" s="719"/>
      <c r="DJ249" s="719"/>
      <c r="DK249" s="719"/>
      <c r="DL249" s="719"/>
      <c r="DM249" s="719"/>
      <c r="DN249" s="719"/>
      <c r="DO249" s="719"/>
      <c r="DP249" s="719"/>
      <c r="DQ249" s="719"/>
      <c r="DR249" s="719"/>
    </row>
    <row r="250" spans="1:122" s="275" customFormat="1">
      <c r="A250" s="719"/>
      <c r="B250" s="719"/>
      <c r="C250" s="719"/>
      <c r="D250" s="719"/>
      <c r="E250" s="719"/>
      <c r="F250" s="719"/>
      <c r="G250" s="719"/>
      <c r="H250" s="719"/>
      <c r="I250" s="719"/>
      <c r="J250" s="719"/>
      <c r="K250" s="719"/>
      <c r="L250" s="719"/>
      <c r="M250" s="719"/>
      <c r="N250" s="721"/>
      <c r="O250" s="721"/>
      <c r="P250" s="719"/>
      <c r="Q250" s="719"/>
      <c r="R250" s="719"/>
      <c r="S250" s="721"/>
      <c r="T250" s="721"/>
      <c r="U250" s="719"/>
      <c r="V250" s="719"/>
      <c r="W250" s="719"/>
      <c r="X250" s="721"/>
      <c r="Y250" s="721"/>
      <c r="Z250" s="719"/>
      <c r="AA250" s="719"/>
      <c r="AB250" s="719"/>
      <c r="AC250" s="721"/>
      <c r="AD250" s="721"/>
      <c r="AE250" s="719"/>
      <c r="AF250" s="719"/>
      <c r="AG250" s="719"/>
      <c r="AH250" s="721"/>
      <c r="AI250" s="721"/>
      <c r="AJ250" s="719"/>
      <c r="AK250" s="719"/>
      <c r="AL250" s="719"/>
      <c r="AM250" s="719"/>
      <c r="AN250" s="719"/>
      <c r="AO250" s="719"/>
      <c r="AP250" s="719"/>
      <c r="AQ250" s="719"/>
      <c r="AR250" s="719"/>
      <c r="AS250" s="719"/>
      <c r="AT250" s="719"/>
      <c r="AU250" s="719"/>
      <c r="AV250" s="719"/>
      <c r="AW250" s="719"/>
      <c r="AX250" s="719"/>
      <c r="AY250" s="719"/>
      <c r="AZ250" s="719"/>
      <c r="BA250" s="719"/>
      <c r="BB250" s="719"/>
      <c r="BC250" s="719"/>
      <c r="BD250" s="719"/>
      <c r="BE250" s="719"/>
      <c r="BF250" s="719"/>
      <c r="BG250" s="719"/>
      <c r="BH250" s="719"/>
      <c r="BI250" s="719"/>
      <c r="BJ250" s="719"/>
      <c r="BK250" s="719"/>
      <c r="BL250" s="719"/>
      <c r="BM250" s="719"/>
      <c r="BN250" s="719"/>
      <c r="BO250" s="719"/>
      <c r="BP250" s="719"/>
      <c r="BQ250" s="719"/>
      <c r="BR250" s="719"/>
      <c r="BS250" s="719"/>
      <c r="BT250" s="719"/>
      <c r="BU250" s="719"/>
      <c r="BV250" s="719"/>
      <c r="BW250" s="719"/>
      <c r="BX250" s="719"/>
      <c r="BY250" s="719"/>
      <c r="BZ250" s="719"/>
      <c r="CA250" s="719"/>
      <c r="CB250" s="719"/>
      <c r="CC250" s="719"/>
      <c r="CD250" s="719"/>
      <c r="CE250" s="719"/>
      <c r="CF250" s="719"/>
      <c r="CG250" s="719"/>
      <c r="CH250" s="719"/>
      <c r="CI250" s="719"/>
      <c r="CJ250" s="719"/>
      <c r="CK250" s="719"/>
      <c r="CL250" s="719"/>
      <c r="CM250" s="719"/>
      <c r="CN250" s="719"/>
      <c r="CO250" s="719"/>
      <c r="CP250" s="719"/>
      <c r="CQ250" s="719"/>
      <c r="CR250" s="719"/>
      <c r="CS250" s="719"/>
      <c r="CT250" s="719"/>
      <c r="CU250" s="719"/>
      <c r="CV250" s="719"/>
      <c r="CW250" s="719"/>
      <c r="CX250" s="719"/>
      <c r="CY250" s="719"/>
      <c r="CZ250" s="719"/>
      <c r="DA250" s="719"/>
      <c r="DB250" s="719"/>
      <c r="DC250" s="719"/>
      <c r="DD250" s="719"/>
      <c r="DE250" s="719"/>
      <c r="DF250" s="719"/>
      <c r="DG250" s="719"/>
      <c r="DH250" s="719"/>
      <c r="DI250" s="719"/>
      <c r="DJ250" s="719"/>
      <c r="DK250" s="719"/>
      <c r="DL250" s="719"/>
      <c r="DM250" s="719"/>
      <c r="DN250" s="719"/>
      <c r="DO250" s="719"/>
      <c r="DP250" s="719"/>
      <c r="DQ250" s="719"/>
      <c r="DR250" s="719"/>
    </row>
    <row r="251" spans="1:122" s="275" customFormat="1">
      <c r="A251" s="719"/>
      <c r="B251" s="719"/>
      <c r="C251" s="719"/>
      <c r="D251" s="719"/>
      <c r="E251" s="719"/>
      <c r="F251" s="719"/>
      <c r="G251" s="719"/>
      <c r="H251" s="719"/>
      <c r="I251" s="719"/>
      <c r="J251" s="719"/>
      <c r="K251" s="719"/>
      <c r="L251" s="719"/>
      <c r="M251" s="719"/>
      <c r="N251" s="721"/>
      <c r="O251" s="721"/>
      <c r="P251" s="719"/>
      <c r="Q251" s="719"/>
      <c r="R251" s="719"/>
      <c r="S251" s="721"/>
      <c r="T251" s="721"/>
      <c r="U251" s="719"/>
      <c r="V251" s="719"/>
      <c r="W251" s="719"/>
      <c r="X251" s="721"/>
      <c r="Y251" s="721"/>
      <c r="Z251" s="719"/>
      <c r="AA251" s="719"/>
      <c r="AB251" s="719"/>
      <c r="AC251" s="721"/>
      <c r="AD251" s="721"/>
      <c r="AE251" s="719"/>
      <c r="AF251" s="719"/>
      <c r="AG251" s="719"/>
      <c r="AH251" s="721"/>
      <c r="AI251" s="721"/>
      <c r="AJ251" s="719"/>
      <c r="AK251" s="719"/>
      <c r="AL251" s="719"/>
      <c r="AM251" s="719"/>
      <c r="AN251" s="719"/>
      <c r="AO251" s="719"/>
      <c r="AP251" s="719"/>
      <c r="AQ251" s="719"/>
      <c r="AR251" s="719"/>
      <c r="AS251" s="719"/>
      <c r="AT251" s="719"/>
      <c r="AU251" s="719"/>
      <c r="AV251" s="719"/>
      <c r="AW251" s="719"/>
      <c r="AX251" s="719"/>
      <c r="AY251" s="719"/>
      <c r="AZ251" s="719"/>
      <c r="BA251" s="719"/>
      <c r="BB251" s="719"/>
      <c r="BC251" s="719"/>
      <c r="BD251" s="719"/>
      <c r="BE251" s="719"/>
      <c r="BF251" s="719"/>
      <c r="BG251" s="719"/>
      <c r="BH251" s="719"/>
      <c r="BI251" s="719"/>
      <c r="BJ251" s="719"/>
      <c r="BK251" s="719"/>
      <c r="BL251" s="719"/>
      <c r="BM251" s="719"/>
      <c r="BN251" s="719"/>
      <c r="BO251" s="719"/>
      <c r="BP251" s="719"/>
      <c r="BQ251" s="719"/>
      <c r="BR251" s="719"/>
      <c r="BS251" s="719"/>
      <c r="BT251" s="719"/>
      <c r="BU251" s="719"/>
      <c r="BV251" s="719"/>
      <c r="BW251" s="719"/>
      <c r="BX251" s="719"/>
      <c r="BY251" s="719"/>
      <c r="BZ251" s="719"/>
      <c r="CA251" s="719"/>
      <c r="CB251" s="719"/>
      <c r="CC251" s="719"/>
      <c r="CD251" s="719"/>
      <c r="CE251" s="719"/>
      <c r="CF251" s="719"/>
      <c r="CG251" s="719"/>
      <c r="CH251" s="719"/>
      <c r="CI251" s="719"/>
      <c r="CJ251" s="719"/>
      <c r="CK251" s="719"/>
      <c r="CL251" s="719"/>
      <c r="CM251" s="719"/>
      <c r="CN251" s="719"/>
      <c r="CO251" s="719"/>
      <c r="CP251" s="719"/>
      <c r="CQ251" s="719"/>
      <c r="CR251" s="719"/>
      <c r="CS251" s="719"/>
      <c r="CT251" s="719"/>
      <c r="CU251" s="719"/>
      <c r="CV251" s="719"/>
      <c r="CW251" s="719"/>
      <c r="CX251" s="719"/>
      <c r="CY251" s="719"/>
      <c r="CZ251" s="719"/>
      <c r="DA251" s="719"/>
      <c r="DB251" s="719"/>
      <c r="DC251" s="719"/>
      <c r="DD251" s="719"/>
      <c r="DE251" s="719"/>
      <c r="DF251" s="719"/>
      <c r="DG251" s="719"/>
      <c r="DH251" s="719"/>
      <c r="DI251" s="719"/>
      <c r="DJ251" s="719"/>
      <c r="DK251" s="719"/>
      <c r="DL251" s="719"/>
      <c r="DM251" s="719"/>
      <c r="DN251" s="719"/>
      <c r="DO251" s="719"/>
      <c r="DP251" s="719"/>
      <c r="DQ251" s="719"/>
      <c r="DR251" s="719"/>
    </row>
    <row r="252" spans="1:122" s="275" customFormat="1">
      <c r="A252" s="719"/>
      <c r="B252" s="719"/>
      <c r="C252" s="719"/>
      <c r="D252" s="719"/>
      <c r="E252" s="719"/>
      <c r="F252" s="719"/>
      <c r="G252" s="719"/>
      <c r="H252" s="719"/>
      <c r="I252" s="719"/>
      <c r="J252" s="719"/>
      <c r="K252" s="719"/>
      <c r="L252" s="719"/>
      <c r="M252" s="719"/>
      <c r="N252" s="721"/>
      <c r="O252" s="721"/>
      <c r="P252" s="719"/>
      <c r="Q252" s="719"/>
      <c r="R252" s="719"/>
      <c r="S252" s="721"/>
      <c r="T252" s="721"/>
      <c r="U252" s="719"/>
      <c r="V252" s="719"/>
      <c r="W252" s="719"/>
      <c r="X252" s="721"/>
      <c r="Y252" s="721"/>
      <c r="Z252" s="719"/>
      <c r="AA252" s="719"/>
      <c r="AB252" s="719"/>
      <c r="AC252" s="721"/>
      <c r="AD252" s="721"/>
      <c r="AE252" s="719"/>
      <c r="AF252" s="719"/>
      <c r="AG252" s="719"/>
      <c r="AH252" s="721"/>
      <c r="AI252" s="721"/>
      <c r="AJ252" s="719"/>
      <c r="AK252" s="719"/>
      <c r="AL252" s="719"/>
      <c r="AM252" s="719"/>
      <c r="AN252" s="719"/>
      <c r="AO252" s="719"/>
      <c r="AP252" s="719"/>
      <c r="AQ252" s="719"/>
      <c r="AR252" s="719"/>
      <c r="AS252" s="719"/>
      <c r="AT252" s="719"/>
      <c r="AU252" s="719"/>
      <c r="AV252" s="719"/>
      <c r="AW252" s="719"/>
      <c r="AX252" s="719"/>
      <c r="AY252" s="719"/>
      <c r="AZ252" s="719"/>
      <c r="BA252" s="719"/>
      <c r="BB252" s="719"/>
      <c r="BC252" s="719"/>
      <c r="BD252" s="719"/>
      <c r="BE252" s="719"/>
      <c r="BF252" s="719"/>
      <c r="BG252" s="719"/>
      <c r="BH252" s="719"/>
      <c r="BI252" s="719"/>
      <c r="BJ252" s="719"/>
      <c r="BK252" s="719"/>
      <c r="BL252" s="719"/>
      <c r="BM252" s="719"/>
      <c r="BN252" s="719"/>
      <c r="BO252" s="719"/>
      <c r="BP252" s="719"/>
      <c r="BQ252" s="719"/>
      <c r="BR252" s="719"/>
      <c r="BS252" s="719"/>
      <c r="BT252" s="719"/>
      <c r="BU252" s="719"/>
      <c r="BV252" s="719"/>
      <c r="BW252" s="719"/>
      <c r="BX252" s="719"/>
      <c r="BY252" s="719"/>
      <c r="BZ252" s="719"/>
      <c r="CA252" s="719"/>
      <c r="CB252" s="719"/>
      <c r="CC252" s="719"/>
      <c r="CD252" s="719"/>
      <c r="CE252" s="719"/>
      <c r="CF252" s="719"/>
      <c r="CG252" s="719"/>
      <c r="CH252" s="719"/>
      <c r="CI252" s="719"/>
      <c r="CJ252" s="719"/>
      <c r="CK252" s="719"/>
      <c r="CL252" s="719"/>
      <c r="CM252" s="719"/>
      <c r="CN252" s="719"/>
      <c r="CO252" s="719"/>
      <c r="CP252" s="719"/>
      <c r="CQ252" s="719"/>
      <c r="CR252" s="719"/>
      <c r="CS252" s="719"/>
      <c r="CT252" s="719"/>
      <c r="CU252" s="719"/>
      <c r="CV252" s="719"/>
      <c r="CW252" s="719"/>
      <c r="CX252" s="719"/>
      <c r="CY252" s="719"/>
      <c r="CZ252" s="719"/>
      <c r="DA252" s="719"/>
      <c r="DB252" s="719"/>
      <c r="DC252" s="719"/>
      <c r="DD252" s="719"/>
      <c r="DE252" s="719"/>
      <c r="DF252" s="719"/>
      <c r="DG252" s="719"/>
      <c r="DH252" s="719"/>
      <c r="DI252" s="719"/>
      <c r="DJ252" s="719"/>
      <c r="DK252" s="719"/>
      <c r="DL252" s="719"/>
      <c r="DM252" s="719"/>
      <c r="DN252" s="719"/>
      <c r="DO252" s="719"/>
      <c r="DP252" s="719"/>
      <c r="DQ252" s="719"/>
      <c r="DR252" s="719"/>
    </row>
    <row r="253" spans="1:122" s="275" customFormat="1">
      <c r="A253" s="719"/>
      <c r="B253" s="719"/>
      <c r="C253" s="719"/>
      <c r="D253" s="719"/>
      <c r="E253" s="719"/>
      <c r="F253" s="719"/>
      <c r="G253" s="719"/>
      <c r="H253" s="719"/>
      <c r="I253" s="719"/>
      <c r="J253" s="719"/>
      <c r="K253" s="719"/>
      <c r="L253" s="719"/>
      <c r="M253" s="719"/>
      <c r="N253" s="721"/>
      <c r="O253" s="721"/>
      <c r="P253" s="719"/>
      <c r="Q253" s="719"/>
      <c r="R253" s="719"/>
      <c r="S253" s="721"/>
      <c r="T253" s="721"/>
      <c r="U253" s="719"/>
      <c r="V253" s="719"/>
      <c r="W253" s="719"/>
      <c r="X253" s="721"/>
      <c r="Y253" s="721"/>
      <c r="Z253" s="719"/>
      <c r="AA253" s="719"/>
      <c r="AB253" s="719"/>
      <c r="AC253" s="721"/>
      <c r="AD253" s="721"/>
      <c r="AE253" s="719"/>
      <c r="AF253" s="719"/>
      <c r="AG253" s="719"/>
      <c r="AH253" s="721"/>
      <c r="AI253" s="721"/>
      <c r="AJ253" s="719"/>
      <c r="AK253" s="719"/>
      <c r="AL253" s="719"/>
      <c r="AM253" s="719"/>
      <c r="AN253" s="719"/>
      <c r="AO253" s="719"/>
      <c r="AP253" s="719"/>
      <c r="AQ253" s="719"/>
      <c r="AR253" s="719"/>
      <c r="AS253" s="719"/>
      <c r="AT253" s="719"/>
      <c r="AU253" s="719"/>
      <c r="AV253" s="719"/>
      <c r="AW253" s="719"/>
      <c r="AX253" s="719"/>
      <c r="AY253" s="719"/>
      <c r="AZ253" s="719"/>
      <c r="BA253" s="719"/>
      <c r="BB253" s="719"/>
      <c r="BC253" s="719"/>
      <c r="BD253" s="719"/>
      <c r="BE253" s="719"/>
      <c r="BF253" s="719"/>
      <c r="BG253" s="719"/>
      <c r="BH253" s="719"/>
      <c r="BI253" s="719"/>
      <c r="BJ253" s="719"/>
      <c r="BK253" s="719"/>
      <c r="BL253" s="719"/>
      <c r="BM253" s="719"/>
      <c r="BN253" s="719"/>
      <c r="BO253" s="719"/>
      <c r="BP253" s="719"/>
      <c r="BQ253" s="719"/>
      <c r="BR253" s="719"/>
      <c r="BS253" s="719"/>
      <c r="BT253" s="719"/>
      <c r="BU253" s="719"/>
      <c r="BV253" s="719"/>
      <c r="BW253" s="719"/>
      <c r="BX253" s="719"/>
      <c r="BY253" s="719"/>
      <c r="BZ253" s="719"/>
      <c r="CA253" s="719"/>
      <c r="CB253" s="719"/>
      <c r="CC253" s="719"/>
      <c r="CD253" s="719"/>
      <c r="CE253" s="719"/>
      <c r="CF253" s="719"/>
      <c r="CG253" s="719"/>
      <c r="CH253" s="719"/>
      <c r="CI253" s="719"/>
      <c r="CJ253" s="719"/>
      <c r="CK253" s="719"/>
      <c r="CL253" s="719"/>
      <c r="CM253" s="719"/>
      <c r="CN253" s="719"/>
      <c r="CO253" s="719"/>
      <c r="CP253" s="719"/>
      <c r="CQ253" s="719"/>
      <c r="CR253" s="719"/>
      <c r="CS253" s="719"/>
      <c r="CT253" s="719"/>
      <c r="CU253" s="719"/>
      <c r="CV253" s="719"/>
      <c r="CW253" s="719"/>
      <c r="CX253" s="719"/>
      <c r="CY253" s="719"/>
      <c r="CZ253" s="719"/>
      <c r="DA253" s="719"/>
      <c r="DB253" s="719"/>
      <c r="DC253" s="719"/>
      <c r="DD253" s="719"/>
      <c r="DE253" s="719"/>
      <c r="DF253" s="719"/>
      <c r="DG253" s="719"/>
      <c r="DH253" s="719"/>
      <c r="DI253" s="719"/>
      <c r="DJ253" s="719"/>
      <c r="DK253" s="719"/>
      <c r="DL253" s="719"/>
      <c r="DM253" s="719"/>
      <c r="DN253" s="719"/>
      <c r="DO253" s="719"/>
      <c r="DP253" s="719"/>
      <c r="DQ253" s="719"/>
      <c r="DR253" s="719"/>
    </row>
    <row r="254" spans="1:122" s="275" customFormat="1">
      <c r="A254" s="719"/>
      <c r="N254" s="276"/>
      <c r="O254" s="276"/>
      <c r="S254" s="276"/>
      <c r="T254" s="276"/>
      <c r="X254" s="276"/>
      <c r="Y254" s="276"/>
      <c r="AC254" s="276"/>
      <c r="AD254" s="276"/>
      <c r="AH254" s="276"/>
      <c r="AI254" s="276"/>
      <c r="CC254" s="719"/>
      <c r="CD254" s="719"/>
      <c r="CE254" s="719"/>
      <c r="CF254" s="719"/>
      <c r="CG254" s="719"/>
      <c r="CH254" s="719"/>
      <c r="CI254" s="719"/>
      <c r="CJ254" s="719"/>
      <c r="CK254" s="719"/>
      <c r="CL254" s="719"/>
      <c r="CM254" s="719"/>
      <c r="CN254" s="719"/>
      <c r="CO254" s="719"/>
      <c r="CP254" s="719"/>
      <c r="CQ254" s="719"/>
      <c r="CR254" s="719"/>
      <c r="CS254" s="719"/>
      <c r="CT254" s="719"/>
      <c r="CU254" s="719"/>
      <c r="CV254" s="719"/>
      <c r="CW254" s="719"/>
      <c r="CX254" s="719"/>
      <c r="CY254" s="719"/>
      <c r="CZ254" s="719"/>
      <c r="DA254" s="719"/>
      <c r="DB254" s="719"/>
      <c r="DC254" s="719"/>
      <c r="DD254" s="719"/>
      <c r="DE254" s="719"/>
      <c r="DF254" s="719"/>
      <c r="DG254" s="719"/>
      <c r="DH254" s="719"/>
      <c r="DI254" s="719"/>
      <c r="DJ254" s="719"/>
      <c r="DK254" s="719"/>
      <c r="DL254" s="719"/>
      <c r="DM254" s="719"/>
      <c r="DN254" s="719"/>
      <c r="DO254" s="719"/>
      <c r="DP254" s="719"/>
      <c r="DQ254" s="719"/>
      <c r="DR254" s="719"/>
    </row>
    <row r="255" spans="1:122" s="275" customFormat="1">
      <c r="A255" s="719"/>
      <c r="N255" s="276"/>
      <c r="O255" s="276"/>
      <c r="S255" s="276"/>
      <c r="T255" s="276"/>
      <c r="X255" s="276"/>
      <c r="Y255" s="276"/>
      <c r="AC255" s="276"/>
      <c r="AD255" s="276"/>
      <c r="AH255" s="276"/>
      <c r="AI255" s="276"/>
      <c r="CC255" s="719"/>
      <c r="CD255" s="719"/>
      <c r="CE255" s="719"/>
      <c r="CF255" s="719"/>
      <c r="CG255" s="719"/>
      <c r="CH255" s="719"/>
      <c r="CI255" s="719"/>
      <c r="CJ255" s="719"/>
      <c r="CK255" s="719"/>
      <c r="CL255" s="719"/>
      <c r="CM255" s="719"/>
      <c r="CN255" s="719"/>
      <c r="CO255" s="719"/>
      <c r="CP255" s="719"/>
      <c r="CQ255" s="719"/>
      <c r="CR255" s="719"/>
      <c r="CS255" s="719"/>
      <c r="CT255" s="719"/>
      <c r="CU255" s="719"/>
      <c r="CV255" s="719"/>
      <c r="CW255" s="719"/>
      <c r="CX255" s="719"/>
      <c r="CY255" s="719"/>
      <c r="CZ255" s="719"/>
      <c r="DA255" s="719"/>
      <c r="DB255" s="719"/>
      <c r="DC255" s="719"/>
      <c r="DD255" s="719"/>
      <c r="DE255" s="719"/>
      <c r="DF255" s="719"/>
      <c r="DG255" s="719"/>
      <c r="DH255" s="719"/>
      <c r="DI255" s="719"/>
      <c r="DJ255" s="719"/>
      <c r="DK255" s="719"/>
      <c r="DL255" s="719"/>
      <c r="DM255" s="719"/>
      <c r="DN255" s="719"/>
      <c r="DO255" s="719"/>
      <c r="DP255" s="719"/>
      <c r="DQ255" s="719"/>
      <c r="DR255" s="719"/>
    </row>
    <row r="256" spans="1:122" s="275" customFormat="1">
      <c r="A256" s="719"/>
      <c r="N256" s="276"/>
      <c r="O256" s="276"/>
      <c r="S256" s="276"/>
      <c r="T256" s="276"/>
      <c r="X256" s="276"/>
      <c r="Y256" s="276"/>
      <c r="AC256" s="276"/>
      <c r="AD256" s="276"/>
      <c r="AH256" s="276"/>
      <c r="AI256" s="276"/>
      <c r="CC256" s="719"/>
      <c r="CD256" s="719"/>
      <c r="CE256" s="719"/>
      <c r="CF256" s="719"/>
      <c r="CG256" s="719"/>
      <c r="CH256" s="719"/>
      <c r="CI256" s="719"/>
      <c r="CJ256" s="719"/>
      <c r="CK256" s="719"/>
      <c r="CL256" s="719"/>
      <c r="CM256" s="719"/>
      <c r="CN256" s="719"/>
      <c r="CO256" s="719"/>
      <c r="CP256" s="719"/>
      <c r="CQ256" s="719"/>
      <c r="CR256" s="719"/>
      <c r="CS256" s="719"/>
      <c r="CT256" s="719"/>
      <c r="CU256" s="719"/>
      <c r="CV256" s="719"/>
      <c r="CW256" s="719"/>
      <c r="CX256" s="719"/>
      <c r="CY256" s="719"/>
      <c r="CZ256" s="719"/>
      <c r="DA256" s="719"/>
      <c r="DB256" s="719"/>
      <c r="DC256" s="719"/>
      <c r="DD256" s="719"/>
      <c r="DE256" s="719"/>
      <c r="DF256" s="719"/>
      <c r="DG256" s="719"/>
      <c r="DH256" s="719"/>
      <c r="DI256" s="719"/>
      <c r="DJ256" s="719"/>
      <c r="DK256" s="719"/>
      <c r="DL256" s="719"/>
      <c r="DM256" s="719"/>
      <c r="DN256" s="719"/>
      <c r="DO256" s="719"/>
      <c r="DP256" s="719"/>
      <c r="DQ256" s="719"/>
      <c r="DR256" s="719"/>
    </row>
    <row r="257" spans="1:122" s="275" customFormat="1">
      <c r="A257" s="719"/>
      <c r="N257" s="276"/>
      <c r="O257" s="276"/>
      <c r="S257" s="276"/>
      <c r="T257" s="276"/>
      <c r="X257" s="276"/>
      <c r="Y257" s="276"/>
      <c r="AC257" s="276"/>
      <c r="AD257" s="276"/>
      <c r="AH257" s="276"/>
      <c r="AI257" s="276"/>
      <c r="CC257" s="719"/>
      <c r="CD257" s="719"/>
      <c r="CE257" s="719"/>
      <c r="CF257" s="719"/>
      <c r="CG257" s="719"/>
      <c r="CH257" s="719"/>
      <c r="CI257" s="719"/>
      <c r="CJ257" s="719"/>
      <c r="CK257" s="719"/>
      <c r="CL257" s="719"/>
      <c r="CM257" s="719"/>
      <c r="CN257" s="719"/>
      <c r="CO257" s="719"/>
      <c r="CP257" s="719"/>
      <c r="CQ257" s="719"/>
      <c r="CR257" s="719"/>
      <c r="CS257" s="719"/>
      <c r="CT257" s="719"/>
      <c r="CU257" s="719"/>
      <c r="CV257" s="719"/>
      <c r="CW257" s="719"/>
      <c r="CX257" s="719"/>
      <c r="CY257" s="719"/>
      <c r="CZ257" s="719"/>
      <c r="DA257" s="719"/>
      <c r="DB257" s="719"/>
      <c r="DC257" s="719"/>
      <c r="DD257" s="719"/>
      <c r="DE257" s="719"/>
      <c r="DF257" s="719"/>
      <c r="DG257" s="719"/>
      <c r="DH257" s="719"/>
      <c r="DI257" s="719"/>
      <c r="DJ257" s="719"/>
      <c r="DK257" s="719"/>
      <c r="DL257" s="719"/>
      <c r="DM257" s="719"/>
      <c r="DN257" s="719"/>
      <c r="DO257" s="719"/>
      <c r="DP257" s="719"/>
      <c r="DQ257" s="719"/>
      <c r="DR257" s="719"/>
    </row>
    <row r="258" spans="1:122" s="275" customFormat="1">
      <c r="A258" s="719"/>
      <c r="N258" s="276"/>
      <c r="O258" s="276"/>
      <c r="S258" s="276"/>
      <c r="T258" s="276"/>
      <c r="X258" s="276"/>
      <c r="Y258" s="276"/>
      <c r="AC258" s="276"/>
      <c r="AD258" s="276"/>
      <c r="AH258" s="276"/>
      <c r="AI258" s="276"/>
      <c r="CC258" s="719"/>
      <c r="CD258" s="719"/>
      <c r="CE258" s="719"/>
      <c r="CF258" s="719"/>
      <c r="CG258" s="719"/>
      <c r="CH258" s="719"/>
      <c r="CI258" s="719"/>
      <c r="CJ258" s="719"/>
      <c r="CK258" s="719"/>
      <c r="CL258" s="719"/>
      <c r="CM258" s="719"/>
      <c r="CN258" s="719"/>
      <c r="CO258" s="719"/>
      <c r="CP258" s="719"/>
      <c r="CQ258" s="719"/>
      <c r="CR258" s="719"/>
      <c r="CS258" s="719"/>
      <c r="CT258" s="719"/>
      <c r="CU258" s="719"/>
      <c r="CV258" s="719"/>
      <c r="CW258" s="719"/>
      <c r="CX258" s="719"/>
      <c r="CY258" s="719"/>
      <c r="CZ258" s="719"/>
      <c r="DA258" s="719"/>
      <c r="DB258" s="719"/>
      <c r="DC258" s="719"/>
      <c r="DD258" s="719"/>
      <c r="DE258" s="719"/>
      <c r="DF258" s="719"/>
      <c r="DG258" s="719"/>
      <c r="DH258" s="719"/>
      <c r="DI258" s="719"/>
      <c r="DJ258" s="719"/>
      <c r="DK258" s="719"/>
      <c r="DL258" s="719"/>
      <c r="DM258" s="719"/>
      <c r="DN258" s="719"/>
      <c r="DO258" s="719"/>
      <c r="DP258" s="719"/>
      <c r="DQ258" s="719"/>
      <c r="DR258" s="719"/>
    </row>
    <row r="259" spans="1:122" s="275" customFormat="1">
      <c r="A259" s="719"/>
      <c r="N259" s="276"/>
      <c r="O259" s="276"/>
      <c r="S259" s="276"/>
      <c r="T259" s="276"/>
      <c r="X259" s="276"/>
      <c r="Y259" s="276"/>
      <c r="AC259" s="276"/>
      <c r="AD259" s="276"/>
      <c r="AH259" s="276"/>
      <c r="AI259" s="276"/>
      <c r="CC259" s="719"/>
      <c r="CD259" s="719"/>
      <c r="CE259" s="719"/>
      <c r="CF259" s="719"/>
      <c r="CG259" s="719"/>
      <c r="CH259" s="719"/>
      <c r="CI259" s="719"/>
      <c r="CJ259" s="719"/>
      <c r="CK259" s="719"/>
      <c r="CL259" s="719"/>
      <c r="CM259" s="719"/>
      <c r="CN259" s="719"/>
      <c r="CO259" s="719"/>
      <c r="CP259" s="719"/>
      <c r="CQ259" s="719"/>
      <c r="CR259" s="719"/>
      <c r="CS259" s="719"/>
      <c r="CT259" s="719"/>
      <c r="CU259" s="719"/>
      <c r="CV259" s="719"/>
      <c r="CW259" s="719"/>
      <c r="CX259" s="719"/>
      <c r="CY259" s="719"/>
      <c r="CZ259" s="719"/>
      <c r="DA259" s="719"/>
      <c r="DB259" s="719"/>
      <c r="DC259" s="719"/>
      <c r="DD259" s="719"/>
      <c r="DE259" s="719"/>
      <c r="DF259" s="719"/>
      <c r="DG259" s="719"/>
      <c r="DH259" s="719"/>
      <c r="DI259" s="719"/>
      <c r="DJ259" s="719"/>
      <c r="DK259" s="719"/>
      <c r="DL259" s="719"/>
      <c r="DM259" s="719"/>
      <c r="DN259" s="719"/>
      <c r="DO259" s="719"/>
      <c r="DP259" s="719"/>
      <c r="DQ259" s="719"/>
      <c r="DR259" s="719"/>
    </row>
    <row r="260" spans="1:122" s="275" customFormat="1">
      <c r="A260" s="719"/>
      <c r="N260" s="276"/>
      <c r="O260" s="276"/>
      <c r="S260" s="276"/>
      <c r="T260" s="276"/>
      <c r="X260" s="276"/>
      <c r="Y260" s="276"/>
      <c r="AC260" s="276"/>
      <c r="AD260" s="276"/>
      <c r="AH260" s="276"/>
      <c r="AI260" s="276"/>
      <c r="CC260" s="719"/>
      <c r="CD260" s="719"/>
      <c r="CE260" s="719"/>
      <c r="CF260" s="719"/>
      <c r="CG260" s="719"/>
      <c r="CH260" s="719"/>
      <c r="CI260" s="719"/>
      <c r="CJ260" s="719"/>
      <c r="CK260" s="719"/>
      <c r="CL260" s="719"/>
      <c r="CM260" s="719"/>
      <c r="CN260" s="719"/>
      <c r="CO260" s="719"/>
      <c r="CP260" s="719"/>
      <c r="CQ260" s="719"/>
      <c r="CR260" s="719"/>
      <c r="CS260" s="719"/>
      <c r="CT260" s="719"/>
      <c r="CU260" s="719"/>
      <c r="CV260" s="719"/>
      <c r="CW260" s="719"/>
      <c r="CX260" s="719"/>
      <c r="CY260" s="719"/>
      <c r="CZ260" s="719"/>
      <c r="DA260" s="719"/>
      <c r="DB260" s="719"/>
      <c r="DC260" s="719"/>
      <c r="DD260" s="719"/>
      <c r="DE260" s="719"/>
      <c r="DF260" s="719"/>
      <c r="DG260" s="719"/>
      <c r="DH260" s="719"/>
      <c r="DI260" s="719"/>
      <c r="DJ260" s="719"/>
      <c r="DK260" s="719"/>
      <c r="DL260" s="719"/>
      <c r="DM260" s="719"/>
      <c r="DN260" s="719"/>
      <c r="DO260" s="719"/>
      <c r="DP260" s="719"/>
      <c r="DQ260" s="719"/>
      <c r="DR260" s="719"/>
    </row>
    <row r="261" spans="1:122" s="275" customFormat="1">
      <c r="A261" s="719"/>
      <c r="N261" s="276"/>
      <c r="O261" s="276"/>
      <c r="S261" s="276"/>
      <c r="T261" s="276"/>
      <c r="X261" s="276"/>
      <c r="Y261" s="276"/>
      <c r="AC261" s="276"/>
      <c r="AD261" s="276"/>
      <c r="AH261" s="276"/>
      <c r="AI261" s="276"/>
      <c r="CC261" s="719"/>
      <c r="CD261" s="719"/>
      <c r="CE261" s="719"/>
      <c r="CF261" s="719"/>
      <c r="CG261" s="719"/>
      <c r="CH261" s="719"/>
      <c r="CI261" s="719"/>
      <c r="CJ261" s="719"/>
      <c r="CK261" s="719"/>
      <c r="CL261" s="719"/>
      <c r="CM261" s="719"/>
      <c r="CN261" s="719"/>
      <c r="CO261" s="719"/>
      <c r="CP261" s="719"/>
      <c r="CQ261" s="719"/>
      <c r="CR261" s="719"/>
      <c r="CS261" s="719"/>
      <c r="CT261" s="719"/>
      <c r="CU261" s="719"/>
      <c r="CV261" s="719"/>
      <c r="CW261" s="719"/>
      <c r="CX261" s="719"/>
      <c r="CY261" s="719"/>
      <c r="CZ261" s="719"/>
      <c r="DA261" s="719"/>
      <c r="DB261" s="719"/>
      <c r="DC261" s="719"/>
      <c r="DD261" s="719"/>
      <c r="DE261" s="719"/>
      <c r="DF261" s="719"/>
      <c r="DG261" s="719"/>
      <c r="DH261" s="719"/>
      <c r="DI261" s="719"/>
      <c r="DJ261" s="719"/>
      <c r="DK261" s="719"/>
      <c r="DL261" s="719"/>
      <c r="DM261" s="719"/>
      <c r="DN261" s="719"/>
      <c r="DO261" s="719"/>
      <c r="DP261" s="719"/>
      <c r="DQ261" s="719"/>
      <c r="DR261" s="719"/>
    </row>
    <row r="262" spans="1:122" s="275" customFormat="1">
      <c r="A262" s="719"/>
      <c r="N262" s="276"/>
      <c r="O262" s="276"/>
      <c r="S262" s="276"/>
      <c r="T262" s="276"/>
      <c r="X262" s="276"/>
      <c r="Y262" s="276"/>
      <c r="AC262" s="276"/>
      <c r="AD262" s="276"/>
      <c r="AH262" s="276"/>
      <c r="AI262" s="276"/>
      <c r="CC262" s="719"/>
      <c r="CD262" s="719"/>
      <c r="CE262" s="719"/>
      <c r="CF262" s="719"/>
      <c r="CG262" s="719"/>
      <c r="CH262" s="719"/>
      <c r="CI262" s="719"/>
      <c r="CJ262" s="719"/>
      <c r="CK262" s="719"/>
      <c r="CL262" s="719"/>
      <c r="CM262" s="719"/>
      <c r="CN262" s="719"/>
      <c r="CO262" s="719"/>
      <c r="CP262" s="719"/>
      <c r="CQ262" s="719"/>
      <c r="CR262" s="719"/>
      <c r="CS262" s="719"/>
      <c r="CT262" s="719"/>
      <c r="CU262" s="719"/>
      <c r="CV262" s="719"/>
      <c r="CW262" s="719"/>
      <c r="CX262" s="719"/>
      <c r="CY262" s="719"/>
      <c r="CZ262" s="719"/>
      <c r="DA262" s="719"/>
      <c r="DB262" s="719"/>
      <c r="DC262" s="719"/>
      <c r="DD262" s="719"/>
      <c r="DE262" s="719"/>
      <c r="DF262" s="719"/>
      <c r="DG262" s="719"/>
      <c r="DH262" s="719"/>
      <c r="DI262" s="719"/>
      <c r="DJ262" s="719"/>
      <c r="DK262" s="719"/>
      <c r="DL262" s="719"/>
      <c r="DM262" s="719"/>
      <c r="DN262" s="719"/>
      <c r="DO262" s="719"/>
      <c r="DP262" s="719"/>
      <c r="DQ262" s="719"/>
      <c r="DR262" s="719"/>
    </row>
  </sheetData>
  <mergeCells count="411">
    <mergeCell ref="BW23:BX23"/>
    <mergeCell ref="AG16:AH16"/>
    <mergeCell ref="AG17:AI22"/>
    <mergeCell ref="BI23:BJ23"/>
    <mergeCell ref="BK23:BL23"/>
    <mergeCell ref="BQ42:BT42"/>
    <mergeCell ref="BQ38:BT38"/>
    <mergeCell ref="BW38:BZ38"/>
    <mergeCell ref="BW42:BZ42"/>
    <mergeCell ref="BW32:BZ32"/>
    <mergeCell ref="BW33:BZ33"/>
    <mergeCell ref="BQ32:BT32"/>
    <mergeCell ref="BQ33:BT33"/>
    <mergeCell ref="BQ20:BU22"/>
    <mergeCell ref="BQ30:BV30"/>
    <mergeCell ref="BW30:CB30"/>
    <mergeCell ref="BW24:BX24"/>
    <mergeCell ref="CA23:CB23"/>
    <mergeCell ref="CA24:CA25"/>
    <mergeCell ref="CB24:CB25"/>
    <mergeCell ref="CA26:CB26"/>
    <mergeCell ref="BY24:BZ24"/>
    <mergeCell ref="BY25:BZ25"/>
    <mergeCell ref="BY26:BZ26"/>
    <mergeCell ref="BS24:BT24"/>
    <mergeCell ref="BK20:BO22"/>
    <mergeCell ref="BK15:BP15"/>
    <mergeCell ref="BS26:BT26"/>
    <mergeCell ref="BU26:BV26"/>
    <mergeCell ref="BQ24:BR24"/>
    <mergeCell ref="BU9:BV9"/>
    <mergeCell ref="BU16:BV16"/>
    <mergeCell ref="BO16:BP16"/>
    <mergeCell ref="BQ23:BR23"/>
    <mergeCell ref="BU23:BV23"/>
    <mergeCell ref="BQ9:BR9"/>
    <mergeCell ref="BQ17:BU18"/>
    <mergeCell ref="BQ11:BU11"/>
    <mergeCell ref="BU24:BU25"/>
    <mergeCell ref="BV24:BV25"/>
    <mergeCell ref="BS25:BT25"/>
    <mergeCell ref="BO23:BP23"/>
    <mergeCell ref="BM26:BN26"/>
    <mergeCell ref="BO26:BP26"/>
    <mergeCell ref="BQ4:BU4"/>
    <mergeCell ref="BW4:CA4"/>
    <mergeCell ref="BK17:BO18"/>
    <mergeCell ref="BC16:BD16"/>
    <mergeCell ref="BI16:BJ16"/>
    <mergeCell ref="CA9:CB9"/>
    <mergeCell ref="CA16:CB16"/>
    <mergeCell ref="BK16:BL16"/>
    <mergeCell ref="BW16:BX16"/>
    <mergeCell ref="BW9:BX9"/>
    <mergeCell ref="BQ16:BR16"/>
    <mergeCell ref="BW5:CA5"/>
    <mergeCell ref="BW11:CB11"/>
    <mergeCell ref="BW15:CB15"/>
    <mergeCell ref="B4:B9"/>
    <mergeCell ref="BK30:BP30"/>
    <mergeCell ref="L52:AO52"/>
    <mergeCell ref="S23:T23"/>
    <mergeCell ref="U23:V23"/>
    <mergeCell ref="I30:N30"/>
    <mergeCell ref="O30:T30"/>
    <mergeCell ref="U30:Z30"/>
    <mergeCell ref="AA30:AF30"/>
    <mergeCell ref="AG30:AL30"/>
    <mergeCell ref="BG50:BH50"/>
    <mergeCell ref="AQ24:AQ25"/>
    <mergeCell ref="I24:J24"/>
    <mergeCell ref="O24:P24"/>
    <mergeCell ref="BO24:BO25"/>
    <mergeCell ref="BP24:BP25"/>
    <mergeCell ref="BG24:BH24"/>
    <mergeCell ref="AO24:AP24"/>
    <mergeCell ref="AT14:AU14"/>
    <mergeCell ref="AS10:AS15"/>
    <mergeCell ref="AN14:AO14"/>
    <mergeCell ref="AH14:AH15"/>
    <mergeCell ref="P13:Q15"/>
    <mergeCell ref="AY16:AZ16"/>
    <mergeCell ref="U4:U5"/>
    <mergeCell ref="U6:W7"/>
    <mergeCell ref="U10:U12"/>
    <mergeCell ref="U13:W15"/>
    <mergeCell ref="U17:W22"/>
    <mergeCell ref="AA17:AC22"/>
    <mergeCell ref="AB13:AC15"/>
    <mergeCell ref="AA10:AA15"/>
    <mergeCell ref="AA4:AA8"/>
    <mergeCell ref="Y9:Z9"/>
    <mergeCell ref="Y16:Z16"/>
    <mergeCell ref="U8:V8"/>
    <mergeCell ref="AA16:AB16"/>
    <mergeCell ref="I17:K22"/>
    <mergeCell ref="J13:K15"/>
    <mergeCell ref="I10:I15"/>
    <mergeCell ref="B73:B74"/>
    <mergeCell ref="AM30:AR30"/>
    <mergeCell ref="AK53:AN53"/>
    <mergeCell ref="G23:H23"/>
    <mergeCell ref="I23:J23"/>
    <mergeCell ref="D28:E28"/>
    <mergeCell ref="B28:C28"/>
    <mergeCell ref="AG23:AH23"/>
    <mergeCell ref="AK23:AL23"/>
    <mergeCell ref="Q26:R26"/>
    <mergeCell ref="C17:C23"/>
    <mergeCell ref="D17:D23"/>
    <mergeCell ref="E17:E23"/>
    <mergeCell ref="C25:F25"/>
    <mergeCell ref="B17:B23"/>
    <mergeCell ref="AE16:AF16"/>
    <mergeCell ref="AK16:AL16"/>
    <mergeCell ref="O17:Q22"/>
    <mergeCell ref="AG10:AG15"/>
    <mergeCell ref="AM17:AO22"/>
    <mergeCell ref="AM10:AM15"/>
    <mergeCell ref="S26:T26"/>
    <mergeCell ref="W24:X24"/>
    <mergeCell ref="Y24:Y25"/>
    <mergeCell ref="Z24:Z25"/>
    <mergeCell ref="AQ26:AR26"/>
    <mergeCell ref="AU24:AV24"/>
    <mergeCell ref="AU25:AV25"/>
    <mergeCell ref="AU26:AV26"/>
    <mergeCell ref="AM24:AN24"/>
    <mergeCell ref="AM23:AN23"/>
    <mergeCell ref="AQ23:AR23"/>
    <mergeCell ref="AS23:AT23"/>
    <mergeCell ref="AK26:AL26"/>
    <mergeCell ref="AR24:AR25"/>
    <mergeCell ref="AO25:AP25"/>
    <mergeCell ref="AM4:AM8"/>
    <mergeCell ref="AN7:AO7"/>
    <mergeCell ref="AW53:AW57"/>
    <mergeCell ref="AM16:AN16"/>
    <mergeCell ref="AQ16:AR16"/>
    <mergeCell ref="AS16:AT16"/>
    <mergeCell ref="AS17:AU22"/>
    <mergeCell ref="AW58:AW60"/>
    <mergeCell ref="BE16:BF16"/>
    <mergeCell ref="AX53:AX60"/>
    <mergeCell ref="AY53:AY57"/>
    <mergeCell ref="AY58:AY60"/>
    <mergeCell ref="BG26:BH26"/>
    <mergeCell ref="AW23:AX23"/>
    <mergeCell ref="BC26:BD26"/>
    <mergeCell ref="BE24:BF24"/>
    <mergeCell ref="AY23:AZ23"/>
    <mergeCell ref="AW16:AX16"/>
    <mergeCell ref="BE20:BI22"/>
    <mergeCell ref="BE17:BI18"/>
    <mergeCell ref="AY17:BC22"/>
    <mergeCell ref="AW24:AW25"/>
    <mergeCell ref="AX24:AX25"/>
    <mergeCell ref="E4:E9"/>
    <mergeCell ref="D10:D16"/>
    <mergeCell ref="BK2:BP2"/>
    <mergeCell ref="AS9:AT9"/>
    <mergeCell ref="AY9:AZ9"/>
    <mergeCell ref="BE9:BF9"/>
    <mergeCell ref="BK9:BL9"/>
    <mergeCell ref="AA2:AF2"/>
    <mergeCell ref="AG2:AL2"/>
    <mergeCell ref="AM2:AR2"/>
    <mergeCell ref="AA9:AB9"/>
    <mergeCell ref="AG9:AH9"/>
    <mergeCell ref="AM9:AN9"/>
    <mergeCell ref="AQ9:AR9"/>
    <mergeCell ref="AW9:AX9"/>
    <mergeCell ref="BC9:BD9"/>
    <mergeCell ref="BI9:BJ9"/>
    <mergeCell ref="BO9:BP9"/>
    <mergeCell ref="AK9:AL9"/>
    <mergeCell ref="AH7:AI7"/>
    <mergeCell ref="AG4:AG8"/>
    <mergeCell ref="AE9:AF9"/>
    <mergeCell ref="AT7:AU7"/>
    <mergeCell ref="AS4:AS8"/>
    <mergeCell ref="I2:N2"/>
    <mergeCell ref="G9:H9"/>
    <mergeCell ref="I9:J9"/>
    <mergeCell ref="I16:J16"/>
    <mergeCell ref="F10:F16"/>
    <mergeCell ref="E10:E16"/>
    <mergeCell ref="F4:F9"/>
    <mergeCell ref="O2:T2"/>
    <mergeCell ref="O9:P9"/>
    <mergeCell ref="O16:P16"/>
    <mergeCell ref="S9:T9"/>
    <mergeCell ref="S16:T16"/>
    <mergeCell ref="I4:I5"/>
    <mergeCell ref="I6:K8"/>
    <mergeCell ref="O10:O15"/>
    <mergeCell ref="O4:O8"/>
    <mergeCell ref="P6:Q7"/>
    <mergeCell ref="B2:H2"/>
    <mergeCell ref="C10:C16"/>
    <mergeCell ref="B10:B16"/>
    <mergeCell ref="C3:D3"/>
    <mergeCell ref="E3:F3"/>
    <mergeCell ref="C4:C9"/>
    <mergeCell ref="D4:D9"/>
    <mergeCell ref="U2:Z2"/>
    <mergeCell ref="U9:V9"/>
    <mergeCell ref="U16:V16"/>
    <mergeCell ref="G16:H16"/>
    <mergeCell ref="AS2:AX2"/>
    <mergeCell ref="AY2:BD2"/>
    <mergeCell ref="BE2:BJ2"/>
    <mergeCell ref="AS30:AX30"/>
    <mergeCell ref="AY30:BD30"/>
    <mergeCell ref="BE30:BJ30"/>
    <mergeCell ref="AS24:AT24"/>
    <mergeCell ref="AY24:AZ24"/>
    <mergeCell ref="M23:N23"/>
    <mergeCell ref="M24:M25"/>
    <mergeCell ref="N24:N25"/>
    <mergeCell ref="AC24:AD24"/>
    <mergeCell ref="AE24:AE25"/>
    <mergeCell ref="AF24:AF25"/>
    <mergeCell ref="AC25:AD25"/>
    <mergeCell ref="AC26:AD26"/>
    <mergeCell ref="AE26:AF26"/>
    <mergeCell ref="W25:X25"/>
    <mergeCell ref="W26:X26"/>
    <mergeCell ref="Y26:Z26"/>
    <mergeCell ref="AL116:AM116"/>
    <mergeCell ref="Y113:Z113"/>
    <mergeCell ref="BQ2:BV2"/>
    <mergeCell ref="BW2:CB2"/>
    <mergeCell ref="AA113:AB113"/>
    <mergeCell ref="AF113:AG113"/>
    <mergeCell ref="AH113:AI113"/>
    <mergeCell ref="AJ113:AK113"/>
    <mergeCell ref="AL113:AM113"/>
    <mergeCell ref="AF72:AI72"/>
    <mergeCell ref="AL111:AM111"/>
    <mergeCell ref="AL109:AM109"/>
    <mergeCell ref="L71:AI71"/>
    <mergeCell ref="L90:AI90"/>
    <mergeCell ref="M9:N9"/>
    <mergeCell ref="M16:N16"/>
    <mergeCell ref="M26:N26"/>
    <mergeCell ref="K24:L24"/>
    <mergeCell ref="K26:L26"/>
    <mergeCell ref="K25:L25"/>
    <mergeCell ref="Q24:R24"/>
    <mergeCell ref="S24:S25"/>
    <mergeCell ref="T24:T25"/>
    <mergeCell ref="Q25:R25"/>
    <mergeCell ref="AF115:AG115"/>
    <mergeCell ref="AH115:AI115"/>
    <mergeCell ref="AJ115:AK115"/>
    <mergeCell ref="AL115:AM115"/>
    <mergeCell ref="W114:X114"/>
    <mergeCell ref="Y114:Z114"/>
    <mergeCell ref="AA114:AB114"/>
    <mergeCell ref="AF114:AG114"/>
    <mergeCell ref="AH114:AI114"/>
    <mergeCell ref="AJ114:AK114"/>
    <mergeCell ref="O114:P114"/>
    <mergeCell ref="Q114:R114"/>
    <mergeCell ref="S114:T114"/>
    <mergeCell ref="S111:T111"/>
    <mergeCell ref="M116:N116"/>
    <mergeCell ref="I113:J113"/>
    <mergeCell ref="AH112:AI112"/>
    <mergeCell ref="AJ112:AK112"/>
    <mergeCell ref="AL112:AM112"/>
    <mergeCell ref="W111:X111"/>
    <mergeCell ref="Y111:Z111"/>
    <mergeCell ref="AA111:AB111"/>
    <mergeCell ref="AF111:AG111"/>
    <mergeCell ref="AH111:AI111"/>
    <mergeCell ref="AJ111:AK111"/>
    <mergeCell ref="Y116:Z116"/>
    <mergeCell ref="AA116:AB116"/>
    <mergeCell ref="AF116:AG116"/>
    <mergeCell ref="AH116:AI116"/>
    <mergeCell ref="AJ116:AK116"/>
    <mergeCell ref="AL114:AM114"/>
    <mergeCell ref="W115:X115"/>
    <mergeCell ref="Y115:Z115"/>
    <mergeCell ref="AA115:AB115"/>
    <mergeCell ref="O113:P113"/>
    <mergeCell ref="Q113:R113"/>
    <mergeCell ref="S113:T113"/>
    <mergeCell ref="U113:V113"/>
    <mergeCell ref="W113:X113"/>
    <mergeCell ref="AF112:AG112"/>
    <mergeCell ref="I116:J116"/>
    <mergeCell ref="K109:L109"/>
    <mergeCell ref="M109:N109"/>
    <mergeCell ref="O109:P109"/>
    <mergeCell ref="Q109:R109"/>
    <mergeCell ref="S109:T109"/>
    <mergeCell ref="K111:L111"/>
    <mergeCell ref="M111:N111"/>
    <mergeCell ref="O111:P111"/>
    <mergeCell ref="Q111:R111"/>
    <mergeCell ref="I109:J109"/>
    <mergeCell ref="I110:J110"/>
    <mergeCell ref="I111:J111"/>
    <mergeCell ref="I112:J112"/>
    <mergeCell ref="I114:J114"/>
    <mergeCell ref="I115:J115"/>
    <mergeCell ref="K114:L114"/>
    <mergeCell ref="M114:N114"/>
    <mergeCell ref="L130:M131"/>
    <mergeCell ref="N130:O131"/>
    <mergeCell ref="L91:O91"/>
    <mergeCell ref="Q91:T91"/>
    <mergeCell ref="V91:Y91"/>
    <mergeCell ref="K110:L110"/>
    <mergeCell ref="M110:N110"/>
    <mergeCell ref="O110:P110"/>
    <mergeCell ref="Q110:R110"/>
    <mergeCell ref="S110:T110"/>
    <mergeCell ref="U110:V110"/>
    <mergeCell ref="U114:V114"/>
    <mergeCell ref="U111:V111"/>
    <mergeCell ref="O112:P112"/>
    <mergeCell ref="Q112:R112"/>
    <mergeCell ref="S112:T112"/>
    <mergeCell ref="U112:V112"/>
    <mergeCell ref="K116:L116"/>
    <mergeCell ref="O116:P116"/>
    <mergeCell ref="Q116:R116"/>
    <mergeCell ref="K112:L112"/>
    <mergeCell ref="M112:N112"/>
    <mergeCell ref="Y110:Z110"/>
    <mergeCell ref="U109:V109"/>
    <mergeCell ref="AA110:AB110"/>
    <mergeCell ref="AF110:AG110"/>
    <mergeCell ref="AH110:AI110"/>
    <mergeCell ref="AJ110:AK110"/>
    <mergeCell ref="AL110:AM110"/>
    <mergeCell ref="W109:X109"/>
    <mergeCell ref="Y109:Z109"/>
    <mergeCell ref="AA109:AB109"/>
    <mergeCell ref="AF109:AG109"/>
    <mergeCell ref="AH109:AI109"/>
    <mergeCell ref="AJ109:AK109"/>
    <mergeCell ref="W110:X110"/>
    <mergeCell ref="L126:M127"/>
    <mergeCell ref="N126:O127"/>
    <mergeCell ref="L128:M129"/>
    <mergeCell ref="N128:O129"/>
    <mergeCell ref="AA91:AD91"/>
    <mergeCell ref="AF91:AI91"/>
    <mergeCell ref="L72:O72"/>
    <mergeCell ref="Q72:T72"/>
    <mergeCell ref="V72:Y72"/>
    <mergeCell ref="AA72:AD72"/>
    <mergeCell ref="Y112:Z112"/>
    <mergeCell ref="AA112:AB112"/>
    <mergeCell ref="S116:T116"/>
    <mergeCell ref="U116:V116"/>
    <mergeCell ref="K115:L115"/>
    <mergeCell ref="M115:N115"/>
    <mergeCell ref="O115:P115"/>
    <mergeCell ref="Q115:R115"/>
    <mergeCell ref="S115:T115"/>
    <mergeCell ref="U115:V115"/>
    <mergeCell ref="W112:X112"/>
    <mergeCell ref="W116:X116"/>
    <mergeCell ref="K113:L113"/>
    <mergeCell ref="M113:N113"/>
    <mergeCell ref="B78:B83"/>
    <mergeCell ref="B76:B77"/>
    <mergeCell ref="D27:E27"/>
    <mergeCell ref="BG25:BH25"/>
    <mergeCell ref="O23:P23"/>
    <mergeCell ref="BC23:BD23"/>
    <mergeCell ref="BE23:BF23"/>
    <mergeCell ref="AO26:AP26"/>
    <mergeCell ref="U24:V24"/>
    <mergeCell ref="AA24:AB24"/>
    <mergeCell ref="C47:D47"/>
    <mergeCell ref="L53:O53"/>
    <mergeCell ref="Q53:T53"/>
    <mergeCell ref="V53:Y53"/>
    <mergeCell ref="AA53:AD53"/>
    <mergeCell ref="AF53:AI53"/>
    <mergeCell ref="Y23:Z23"/>
    <mergeCell ref="AA23:AB23"/>
    <mergeCell ref="AE23:AF23"/>
    <mergeCell ref="B53:C53"/>
    <mergeCell ref="B29:E29"/>
    <mergeCell ref="AI26:AJ26"/>
    <mergeCell ref="AG24:AH24"/>
    <mergeCell ref="F17:F23"/>
    <mergeCell ref="BJ24:BJ25"/>
    <mergeCell ref="BM24:BN24"/>
    <mergeCell ref="BM25:BN25"/>
    <mergeCell ref="BK24:BL24"/>
    <mergeCell ref="BI24:BI25"/>
    <mergeCell ref="AI24:AJ24"/>
    <mergeCell ref="AW26:AX26"/>
    <mergeCell ref="BA24:BB24"/>
    <mergeCell ref="BC24:BC25"/>
    <mergeCell ref="BD24:BD25"/>
    <mergeCell ref="BA25:BB25"/>
    <mergeCell ref="BA26:BB26"/>
    <mergeCell ref="AK24:AK25"/>
    <mergeCell ref="AL24:AL25"/>
    <mergeCell ref="AI25:AJ25"/>
    <mergeCell ref="BI26:BJ26"/>
  </mergeCells>
  <conditionalFormatting sqref="I2:I3 G4:H8 J3:N3 G10:H15 G9 AA2:AA3 AB3:AF3 AS2:AS3 AT3:AX3 BK2:BK3 BL3:BP3 O2:O3 P3:T3 AG2:AG3 AH3:AL3 AY2:AY3 AZ3:BD3 BQ2:BQ3 BR3:BV3 U2:U3 V3:Z3 AM2:AM3 AN3:AR3 BE2:BE3 BF3:BJ3 BW2:BW3 BX3:CB3 G16 G23 BU23 M23 S23 Y23 AE23 AK23 AQ23 AW23 BC23 BI23 BO23 CA23">
    <cfRule type="expression" dxfId="76" priority="39">
      <formula>G2=0</formula>
    </cfRule>
  </conditionalFormatting>
  <hyperlinks>
    <hyperlink ref="G34" r:id="rId1"/>
    <hyperlink ref="G35" r:id="rId2"/>
    <hyperlink ref="G36" r:id="rId3"/>
    <hyperlink ref="G37" r:id="rId4"/>
    <hyperlink ref="G39" r:id="rId5"/>
    <hyperlink ref="G40" r:id="rId6"/>
    <hyperlink ref="G41" r:id="rId7"/>
    <hyperlink ref="G42" r:id="rId8"/>
    <hyperlink ref="G43" r:id="rId9"/>
    <hyperlink ref="G44" r:id="rId10"/>
    <hyperlink ref="G45" r:id="rId11"/>
    <hyperlink ref="G46" r:id="rId12"/>
    <hyperlink ref="G47" r:id="rId13"/>
  </hyperlinks>
  <pageMargins left="0.511811024" right="0.511811024" top="0.78740157499999996" bottom="0.78740157499999996" header="0.31496062000000002" footer="0.31496062000000002"/>
  <pageSetup paperSize="9" orientation="portrait" r:id="rId14"/>
  <ignoredErrors>
    <ignoredError sqref="L10:L15 L17:L23" evalError="1"/>
    <ignoredError sqref="L16 L9" evalError="1" formula="1"/>
    <ignoredError sqref="I16" formulaRange="1"/>
    <ignoredError sqref="AU55" formula="1"/>
  </ignoredErrors>
  <legacyDrawing r:id="rId15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91"/>
  <sheetViews>
    <sheetView topLeftCell="A46" workbookViewId="0">
      <pane xSplit="3" topLeftCell="D1" activePane="topRight" state="frozenSplit"/>
      <selection pane="topRight" activeCell="U80" sqref="U80"/>
    </sheetView>
  </sheetViews>
  <sheetFormatPr defaultRowHeight="15"/>
  <cols>
    <col min="1" max="1" width="9.140625" style="588"/>
    <col min="2" max="2" width="10.42578125" style="515" customWidth="1"/>
    <col min="3" max="3" width="7.5703125" style="386" bestFit="1" customWidth="1"/>
    <col min="4" max="4" width="11.5703125" style="386" bestFit="1" customWidth="1"/>
    <col min="5" max="5" width="7" style="386" bestFit="1" customWidth="1"/>
    <col min="6" max="6" width="7.140625" style="386" bestFit="1" customWidth="1"/>
    <col min="7" max="7" width="9.5703125" style="386" bestFit="1" customWidth="1"/>
    <col min="8" max="8" width="10.5703125" style="386" bestFit="1" customWidth="1"/>
    <col min="9" max="9" width="7.140625" style="386" bestFit="1" customWidth="1"/>
    <col min="10" max="10" width="9.5703125" style="386" bestFit="1" customWidth="1"/>
    <col min="11" max="11" width="5.42578125" style="386" bestFit="1" customWidth="1"/>
    <col min="12" max="12" width="10.5703125" style="386" bestFit="1" customWidth="1"/>
    <col min="13" max="13" width="9.5703125" style="386" bestFit="1" customWidth="1"/>
    <col min="14" max="15" width="7.140625" style="386" bestFit="1" customWidth="1"/>
    <col min="16" max="16" width="10.5703125" style="386" bestFit="1" customWidth="1"/>
    <col min="17" max="17" width="9.140625" style="386" bestFit="1" customWidth="1"/>
    <col min="18" max="18" width="12.140625" style="386" bestFit="1" customWidth="1"/>
    <col min="19" max="19" width="9.5703125" style="386" bestFit="1" customWidth="1"/>
    <col min="20" max="20" width="11.7109375" style="386" bestFit="1" customWidth="1"/>
    <col min="21" max="21" width="12.140625" style="386" bestFit="1" customWidth="1"/>
    <col min="22" max="22" width="16.140625" style="386" bestFit="1" customWidth="1"/>
    <col min="23" max="23" width="7.5703125" style="386" bestFit="1" customWidth="1"/>
    <col min="24" max="24" width="7.140625" style="386" bestFit="1" customWidth="1"/>
    <col min="25" max="25" width="9.5703125" style="386" bestFit="1" customWidth="1"/>
    <col min="26" max="26" width="5.42578125" style="386" bestFit="1" customWidth="1"/>
    <col min="27" max="27" width="7.140625" style="386" bestFit="1" customWidth="1"/>
    <col min="28" max="28" width="9.5703125" style="386" bestFit="1" customWidth="1"/>
    <col min="29" max="29" width="5.42578125" style="386" bestFit="1" customWidth="1"/>
    <col min="30" max="30" width="7.140625" style="386" bestFit="1" customWidth="1"/>
    <col min="31" max="31" width="9.5703125" style="386" bestFit="1" customWidth="1"/>
    <col min="32" max="32" width="5.42578125" style="386" bestFit="1" customWidth="1"/>
    <col min="33" max="33" width="7.140625" style="386" bestFit="1" customWidth="1"/>
    <col min="34" max="16384" width="9.140625" style="386"/>
  </cols>
  <sheetData>
    <row r="1" spans="1:33">
      <c r="C1" s="1171" t="s">
        <v>272</v>
      </c>
      <c r="D1" s="1166" t="s">
        <v>12</v>
      </c>
      <c r="E1" s="1167"/>
      <c r="F1" s="1168"/>
      <c r="G1" s="1166" t="s">
        <v>13</v>
      </c>
      <c r="H1" s="1167"/>
      <c r="I1" s="1168"/>
      <c r="J1" s="1169" t="s">
        <v>14</v>
      </c>
      <c r="K1" s="1167"/>
      <c r="L1" s="1170"/>
      <c r="M1" s="1166" t="s">
        <v>15</v>
      </c>
      <c r="N1" s="1167"/>
      <c r="O1" s="1168"/>
      <c r="P1" s="1169" t="s">
        <v>16</v>
      </c>
      <c r="Q1" s="1167"/>
      <c r="R1" s="1170"/>
      <c r="S1" s="1166" t="s">
        <v>17</v>
      </c>
      <c r="T1" s="1167"/>
      <c r="U1" s="1168"/>
      <c r="V1" s="1169" t="s">
        <v>18</v>
      </c>
      <c r="W1" s="1167"/>
      <c r="X1" s="1170"/>
      <c r="Y1" s="1166" t="s">
        <v>19</v>
      </c>
      <c r="Z1" s="1167"/>
      <c r="AA1" s="1168"/>
      <c r="AB1" s="1169" t="s">
        <v>20</v>
      </c>
      <c r="AC1" s="1167"/>
      <c r="AD1" s="1170"/>
      <c r="AE1" s="1166" t="s">
        <v>21</v>
      </c>
      <c r="AF1" s="1167"/>
      <c r="AG1" s="1168"/>
    </row>
    <row r="2" spans="1:33">
      <c r="C2" s="1172"/>
      <c r="D2" s="430" t="s">
        <v>273</v>
      </c>
      <c r="E2" s="431" t="s">
        <v>274</v>
      </c>
      <c r="F2" s="433" t="s">
        <v>275</v>
      </c>
      <c r="G2" s="430" t="s">
        <v>273</v>
      </c>
      <c r="H2" s="431" t="s">
        <v>274</v>
      </c>
      <c r="I2" s="433" t="s">
        <v>275</v>
      </c>
      <c r="J2" s="434" t="s">
        <v>273</v>
      </c>
      <c r="K2" s="431" t="s">
        <v>274</v>
      </c>
      <c r="L2" s="432" t="s">
        <v>275</v>
      </c>
      <c r="M2" s="430" t="s">
        <v>273</v>
      </c>
      <c r="N2" s="431" t="s">
        <v>274</v>
      </c>
      <c r="O2" s="433" t="s">
        <v>275</v>
      </c>
      <c r="P2" s="434" t="s">
        <v>273</v>
      </c>
      <c r="Q2" s="431" t="s">
        <v>274</v>
      </c>
      <c r="R2" s="432" t="s">
        <v>275</v>
      </c>
      <c r="S2" s="430" t="s">
        <v>273</v>
      </c>
      <c r="T2" s="431" t="s">
        <v>274</v>
      </c>
      <c r="U2" s="433" t="s">
        <v>275</v>
      </c>
      <c r="V2" s="434" t="s">
        <v>273</v>
      </c>
      <c r="W2" s="431" t="s">
        <v>274</v>
      </c>
      <c r="X2" s="432" t="s">
        <v>275</v>
      </c>
      <c r="Y2" s="430" t="s">
        <v>273</v>
      </c>
      <c r="Z2" s="431" t="s">
        <v>274</v>
      </c>
      <c r="AA2" s="433" t="s">
        <v>275</v>
      </c>
      <c r="AB2" s="434" t="s">
        <v>273</v>
      </c>
      <c r="AC2" s="431" t="s">
        <v>274</v>
      </c>
      <c r="AD2" s="432" t="s">
        <v>275</v>
      </c>
      <c r="AE2" s="430" t="s">
        <v>273</v>
      </c>
      <c r="AF2" s="431" t="s">
        <v>274</v>
      </c>
      <c r="AG2" s="433" t="s">
        <v>275</v>
      </c>
    </row>
    <row r="3" spans="1:33">
      <c r="B3" s="530"/>
      <c r="C3" s="435" t="s">
        <v>276</v>
      </c>
      <c r="D3" s="437">
        <v>34.01</v>
      </c>
      <c r="E3" s="427">
        <v>8.9499999999999993</v>
      </c>
      <c r="F3" s="438">
        <v>8.5699999999999998E-2</v>
      </c>
      <c r="G3" s="437"/>
      <c r="H3" s="427"/>
      <c r="I3" s="438"/>
      <c r="J3" s="437"/>
      <c r="K3" s="427"/>
      <c r="L3" s="438"/>
      <c r="M3" s="437"/>
      <c r="N3" s="427"/>
      <c r="O3" s="438"/>
      <c r="P3" s="437"/>
      <c r="Q3" s="427"/>
      <c r="R3" s="438"/>
      <c r="S3" s="437"/>
      <c r="T3" s="427"/>
      <c r="U3" s="438"/>
      <c r="V3" s="437"/>
      <c r="W3" s="427"/>
      <c r="X3" s="438"/>
      <c r="Y3" s="437"/>
      <c r="Z3" s="427"/>
      <c r="AA3" s="438"/>
      <c r="AB3" s="437"/>
      <c r="AC3" s="427"/>
      <c r="AD3" s="438"/>
      <c r="AE3" s="437"/>
      <c r="AF3" s="427"/>
      <c r="AG3" s="438"/>
    </row>
    <row r="4" spans="1:33">
      <c r="B4" s="530"/>
      <c r="C4" s="435" t="s">
        <v>286</v>
      </c>
      <c r="D4" s="437">
        <v>18.79</v>
      </c>
      <c r="E4" s="427">
        <v>1.83</v>
      </c>
      <c r="F4" s="438">
        <v>7.8700000000000006E-2</v>
      </c>
      <c r="G4" s="437"/>
      <c r="H4" s="427"/>
      <c r="I4" s="438"/>
      <c r="J4" s="437"/>
      <c r="K4" s="427"/>
      <c r="L4" s="438"/>
      <c r="M4" s="437"/>
      <c r="N4" s="427"/>
      <c r="O4" s="438"/>
      <c r="P4" s="437"/>
      <c r="Q4" s="427"/>
      <c r="R4" s="438"/>
      <c r="S4" s="437"/>
      <c r="T4" s="427"/>
      <c r="U4" s="438"/>
      <c r="V4" s="437"/>
      <c r="W4" s="427"/>
      <c r="X4" s="438"/>
      <c r="Y4" s="437"/>
      <c r="Z4" s="427"/>
      <c r="AA4" s="438"/>
      <c r="AB4" s="437"/>
      <c r="AC4" s="427"/>
      <c r="AD4" s="438"/>
      <c r="AE4" s="437"/>
      <c r="AF4" s="427"/>
      <c r="AG4" s="438"/>
    </row>
    <row r="5" spans="1:33">
      <c r="B5" s="530"/>
      <c r="C5" s="435" t="s">
        <v>283</v>
      </c>
      <c r="D5" s="437">
        <v>6.83</v>
      </c>
      <c r="E5" s="427">
        <v>0.81</v>
      </c>
      <c r="F5" s="438">
        <v>0.32900000000000001</v>
      </c>
      <c r="G5" s="437"/>
      <c r="H5" s="427"/>
      <c r="I5" s="438"/>
      <c r="J5" s="437"/>
      <c r="K5" s="427"/>
      <c r="L5" s="438"/>
      <c r="M5" s="437"/>
      <c r="N5" s="427"/>
      <c r="O5" s="438"/>
      <c r="P5" s="437"/>
      <c r="Q5" s="427"/>
      <c r="R5" s="438"/>
      <c r="S5" s="437"/>
      <c r="T5" s="427"/>
      <c r="U5" s="438"/>
      <c r="V5" s="437"/>
      <c r="W5" s="427"/>
      <c r="X5" s="438"/>
      <c r="Y5" s="437"/>
      <c r="Z5" s="427"/>
      <c r="AA5" s="438"/>
      <c r="AB5" s="437"/>
      <c r="AC5" s="427"/>
      <c r="AD5" s="438"/>
      <c r="AE5" s="437"/>
      <c r="AF5" s="427"/>
      <c r="AG5" s="438"/>
    </row>
    <row r="6" spans="1:33">
      <c r="B6" s="530"/>
      <c r="C6" s="435" t="s">
        <v>284</v>
      </c>
      <c r="D6" s="437">
        <v>28.4</v>
      </c>
      <c r="E6" s="427">
        <v>1.02</v>
      </c>
      <c r="F6" s="438">
        <v>0.59040000000000004</v>
      </c>
      <c r="G6" s="437"/>
      <c r="H6" s="427"/>
      <c r="I6" s="438"/>
      <c r="J6" s="437"/>
      <c r="K6" s="427"/>
      <c r="L6" s="438"/>
      <c r="M6" s="437"/>
      <c r="N6" s="427"/>
      <c r="O6" s="438"/>
      <c r="P6" s="437"/>
      <c r="Q6" s="427"/>
      <c r="R6" s="438"/>
      <c r="S6" s="437"/>
      <c r="T6" s="427"/>
      <c r="U6" s="438"/>
      <c r="V6" s="437"/>
      <c r="W6" s="427"/>
      <c r="X6" s="438"/>
      <c r="Y6" s="437"/>
      <c r="Z6" s="427"/>
      <c r="AA6" s="438"/>
      <c r="AB6" s="437"/>
      <c r="AC6" s="427"/>
      <c r="AD6" s="438"/>
      <c r="AE6" s="437"/>
      <c r="AF6" s="427"/>
      <c r="AG6" s="438"/>
    </row>
    <row r="7" spans="1:33">
      <c r="B7" s="530"/>
      <c r="C7" s="435" t="s">
        <v>277</v>
      </c>
      <c r="D7" s="437">
        <v>24.98</v>
      </c>
      <c r="E7" s="427">
        <v>0.9</v>
      </c>
      <c r="F7" s="438">
        <v>0.67169999999999996</v>
      </c>
      <c r="G7" s="437"/>
      <c r="H7" s="427"/>
      <c r="I7" s="438"/>
      <c r="J7" s="437"/>
      <c r="K7" s="427"/>
      <c r="L7" s="438"/>
      <c r="M7" s="437"/>
      <c r="N7" s="427"/>
      <c r="O7" s="438"/>
      <c r="P7" s="437"/>
      <c r="Q7" s="427"/>
      <c r="R7" s="438"/>
      <c r="S7" s="437"/>
      <c r="T7" s="427"/>
      <c r="U7" s="438"/>
      <c r="V7" s="437"/>
      <c r="W7" s="427"/>
      <c r="X7" s="438"/>
      <c r="Y7" s="437"/>
      <c r="Z7" s="427"/>
      <c r="AA7" s="438"/>
      <c r="AB7" s="437"/>
      <c r="AC7" s="427"/>
      <c r="AD7" s="438"/>
      <c r="AE7" s="437"/>
      <c r="AF7" s="427"/>
      <c r="AG7" s="438"/>
    </row>
    <row r="8" spans="1:33">
      <c r="B8" s="530"/>
      <c r="C8" s="435" t="s">
        <v>285</v>
      </c>
      <c r="D8" s="437">
        <v>45.19</v>
      </c>
      <c r="E8" s="427">
        <v>1.8</v>
      </c>
      <c r="F8" s="438">
        <v>5.28E-2</v>
      </c>
      <c r="G8" s="437"/>
      <c r="H8" s="427"/>
      <c r="I8" s="438"/>
      <c r="J8" s="437"/>
      <c r="K8" s="427"/>
      <c r="L8" s="438"/>
      <c r="M8" s="437"/>
      <c r="N8" s="427"/>
      <c r="O8" s="438"/>
      <c r="P8" s="437"/>
      <c r="Q8" s="427"/>
      <c r="R8" s="438"/>
      <c r="S8" s="437"/>
      <c r="T8" s="427"/>
      <c r="U8" s="438"/>
      <c r="V8" s="437"/>
      <c r="W8" s="427"/>
      <c r="X8" s="438"/>
      <c r="Y8" s="437"/>
      <c r="Z8" s="427"/>
      <c r="AA8" s="438"/>
      <c r="AB8" s="437"/>
      <c r="AC8" s="427"/>
      <c r="AD8" s="438"/>
      <c r="AE8" s="437"/>
      <c r="AF8" s="427"/>
      <c r="AG8" s="438"/>
    </row>
    <row r="9" spans="1:33">
      <c r="B9" s="530"/>
      <c r="C9" s="435" t="s">
        <v>281</v>
      </c>
      <c r="D9" s="437">
        <v>35.979999999999997</v>
      </c>
      <c r="E9" s="427">
        <v>1.78</v>
      </c>
      <c r="F9" s="438">
        <v>0.17199999999999999</v>
      </c>
      <c r="G9" s="437"/>
      <c r="H9" s="427"/>
      <c r="I9" s="438"/>
      <c r="J9" s="437"/>
      <c r="K9" s="427"/>
      <c r="L9" s="438"/>
      <c r="M9" s="437"/>
      <c r="N9" s="427"/>
      <c r="O9" s="438"/>
      <c r="P9" s="437"/>
      <c r="Q9" s="427"/>
      <c r="R9" s="438"/>
      <c r="S9" s="437"/>
      <c r="T9" s="427"/>
      <c r="U9" s="438"/>
      <c r="V9" s="437"/>
      <c r="W9" s="427"/>
      <c r="X9" s="438"/>
      <c r="Y9" s="437"/>
      <c r="Z9" s="427"/>
      <c r="AA9" s="438"/>
      <c r="AB9" s="437"/>
      <c r="AC9" s="427"/>
      <c r="AD9" s="438"/>
      <c r="AE9" s="437"/>
      <c r="AF9" s="427"/>
      <c r="AG9" s="438"/>
    </row>
    <row r="10" spans="1:33">
      <c r="B10" s="530"/>
      <c r="C10" s="435" t="s">
        <v>282</v>
      </c>
      <c r="D10" s="437">
        <v>12.06</v>
      </c>
      <c r="E10" s="427">
        <v>1.79</v>
      </c>
      <c r="F10" s="438">
        <v>0.1711</v>
      </c>
      <c r="G10" s="437"/>
      <c r="H10" s="427"/>
      <c r="I10" s="438"/>
      <c r="J10" s="437"/>
      <c r="K10" s="427"/>
      <c r="L10" s="438"/>
      <c r="M10" s="437"/>
      <c r="N10" s="427"/>
      <c r="O10" s="438"/>
      <c r="P10" s="437"/>
      <c r="Q10" s="427"/>
      <c r="R10" s="438"/>
      <c r="S10" s="437"/>
      <c r="T10" s="427"/>
      <c r="U10" s="438"/>
      <c r="V10" s="437"/>
      <c r="W10" s="427"/>
      <c r="X10" s="438"/>
      <c r="Y10" s="437"/>
      <c r="Z10" s="427"/>
      <c r="AA10" s="438"/>
      <c r="AB10" s="437"/>
      <c r="AC10" s="427"/>
      <c r="AD10" s="438"/>
      <c r="AE10" s="437"/>
      <c r="AF10" s="427"/>
      <c r="AG10" s="438"/>
    </row>
    <row r="11" spans="1:33">
      <c r="B11" s="530"/>
      <c r="C11" s="435" t="s">
        <v>280</v>
      </c>
      <c r="D11" s="437">
        <v>87.81</v>
      </c>
      <c r="E11" s="427">
        <v>3.21</v>
      </c>
      <c r="F11" s="438">
        <v>0.16039999999999999</v>
      </c>
      <c r="G11" s="437"/>
      <c r="H11" s="427"/>
      <c r="I11" s="438"/>
      <c r="J11" s="437"/>
      <c r="K11" s="427"/>
      <c r="L11" s="438"/>
      <c r="M11" s="437"/>
      <c r="N11" s="427"/>
      <c r="O11" s="438"/>
      <c r="P11" s="437"/>
      <c r="Q11" s="427"/>
      <c r="R11" s="438"/>
      <c r="S11" s="437"/>
      <c r="T11" s="427"/>
      <c r="U11" s="438"/>
      <c r="V11" s="437"/>
      <c r="W11" s="427"/>
      <c r="X11" s="438"/>
      <c r="Y11" s="437"/>
      <c r="Z11" s="427"/>
      <c r="AA11" s="438"/>
      <c r="AB11" s="437"/>
      <c r="AC11" s="427"/>
      <c r="AD11" s="438"/>
      <c r="AE11" s="437"/>
      <c r="AF11" s="427"/>
      <c r="AG11" s="438"/>
    </row>
    <row r="12" spans="1:33">
      <c r="B12" s="530"/>
      <c r="C12" s="435" t="s">
        <v>279</v>
      </c>
      <c r="D12" s="437">
        <v>77.709999999999994</v>
      </c>
      <c r="E12" s="427">
        <v>2.86</v>
      </c>
      <c r="F12" s="438">
        <v>0.17960000000000001</v>
      </c>
      <c r="G12" s="437"/>
      <c r="H12" s="427"/>
      <c r="I12" s="438"/>
      <c r="J12" s="437"/>
      <c r="K12" s="427"/>
      <c r="L12" s="438"/>
      <c r="M12" s="437"/>
      <c r="N12" s="427"/>
      <c r="O12" s="438"/>
      <c r="P12" s="437"/>
      <c r="Q12" s="427"/>
      <c r="R12" s="438"/>
      <c r="S12" s="437"/>
      <c r="T12" s="427"/>
      <c r="U12" s="438"/>
      <c r="V12" s="437"/>
      <c r="W12" s="427"/>
      <c r="X12" s="438"/>
      <c r="Y12" s="437"/>
      <c r="Z12" s="427"/>
      <c r="AA12" s="438"/>
      <c r="AB12" s="437"/>
      <c r="AC12" s="427"/>
      <c r="AD12" s="438"/>
      <c r="AE12" s="437"/>
      <c r="AF12" s="427"/>
      <c r="AG12" s="438"/>
    </row>
    <row r="13" spans="1:33" s="531" customFormat="1">
      <c r="A13" s="588"/>
      <c r="B13" s="530"/>
      <c r="C13" s="435" t="s">
        <v>278</v>
      </c>
      <c r="D13" s="437">
        <v>84.7</v>
      </c>
      <c r="E13" s="427">
        <v>2.16</v>
      </c>
      <c r="F13" s="438">
        <v>6.7199999999999996E-2</v>
      </c>
      <c r="G13" s="533"/>
      <c r="H13" s="534"/>
      <c r="I13" s="535"/>
      <c r="J13" s="533"/>
      <c r="K13" s="534"/>
      <c r="L13" s="535"/>
      <c r="M13" s="533"/>
      <c r="N13" s="534"/>
      <c r="O13" s="535"/>
      <c r="P13" s="533"/>
      <c r="Q13" s="534"/>
      <c r="R13" s="535"/>
      <c r="S13" s="533"/>
      <c r="T13" s="534"/>
      <c r="U13" s="535"/>
      <c r="V13" s="533"/>
      <c r="W13" s="534"/>
      <c r="X13" s="535"/>
      <c r="Y13" s="533"/>
      <c r="Z13" s="534"/>
      <c r="AA13" s="535"/>
      <c r="AB13" s="533"/>
      <c r="AC13" s="534"/>
      <c r="AD13" s="535"/>
      <c r="AE13" s="533"/>
      <c r="AF13" s="534"/>
      <c r="AG13" s="535"/>
    </row>
    <row r="14" spans="1:33" s="531" customFormat="1">
      <c r="A14" s="588"/>
      <c r="B14" s="530">
        <v>20</v>
      </c>
      <c r="C14" s="536" t="s">
        <v>414</v>
      </c>
      <c r="D14" s="537">
        <v>24.42</v>
      </c>
      <c r="E14" s="538">
        <v>1.26</v>
      </c>
      <c r="F14" s="539">
        <v>0.12839999999999999</v>
      </c>
      <c r="G14" s="533"/>
      <c r="H14" s="534"/>
      <c r="I14" s="535"/>
      <c r="J14" s="533"/>
      <c r="K14" s="534"/>
      <c r="L14" s="535"/>
      <c r="M14" s="533"/>
      <c r="N14" s="534"/>
      <c r="O14" s="535"/>
      <c r="P14" s="533"/>
      <c r="Q14" s="534"/>
      <c r="R14" s="535"/>
      <c r="S14" s="533"/>
      <c r="T14" s="534"/>
      <c r="U14" s="535"/>
      <c r="V14" s="533"/>
      <c r="W14" s="534"/>
      <c r="X14" s="535"/>
      <c r="Y14" s="533"/>
      <c r="Z14" s="534"/>
      <c r="AA14" s="535"/>
      <c r="AB14" s="533"/>
      <c r="AC14" s="534"/>
      <c r="AD14" s="535"/>
      <c r="AE14" s="533"/>
      <c r="AF14" s="534"/>
      <c r="AG14" s="535"/>
    </row>
    <row r="15" spans="1:33" s="531" customFormat="1">
      <c r="A15" s="588"/>
      <c r="B15" s="530">
        <v>3</v>
      </c>
      <c r="C15" s="532" t="s">
        <v>415</v>
      </c>
      <c r="D15" s="533">
        <v>4.6900000000000004</v>
      </c>
      <c r="E15" s="534">
        <v>2.27</v>
      </c>
      <c r="F15" s="535">
        <v>0.1956</v>
      </c>
      <c r="G15" s="533"/>
      <c r="H15" s="534"/>
      <c r="I15" s="535"/>
      <c r="J15" s="533"/>
      <c r="K15" s="534"/>
      <c r="L15" s="535"/>
      <c r="M15" s="533"/>
      <c r="N15" s="534"/>
      <c r="O15" s="535"/>
      <c r="P15" s="533"/>
      <c r="Q15" s="534"/>
      <c r="R15" s="535"/>
      <c r="S15" s="533"/>
      <c r="T15" s="534"/>
      <c r="U15" s="535"/>
      <c r="V15" s="533"/>
      <c r="W15" s="534"/>
      <c r="X15" s="535"/>
      <c r="Y15" s="533"/>
      <c r="Z15" s="534"/>
      <c r="AA15" s="535"/>
      <c r="AB15" s="533"/>
      <c r="AC15" s="534"/>
      <c r="AD15" s="535"/>
      <c r="AE15" s="533"/>
      <c r="AF15" s="534"/>
      <c r="AG15" s="535"/>
    </row>
    <row r="16" spans="1:33" s="531" customFormat="1">
      <c r="A16" s="588"/>
      <c r="B16" s="530">
        <v>8.8000000000000007</v>
      </c>
      <c r="C16" s="532" t="s">
        <v>416</v>
      </c>
      <c r="D16" s="533">
        <v>11.37</v>
      </c>
      <c r="E16" s="534">
        <v>0.27</v>
      </c>
      <c r="F16" s="535">
        <v>0.1031</v>
      </c>
      <c r="G16" s="533"/>
      <c r="H16" s="534"/>
      <c r="I16" s="535"/>
      <c r="J16" s="533"/>
      <c r="K16" s="534"/>
      <c r="L16" s="535"/>
      <c r="M16" s="533"/>
      <c r="N16" s="534"/>
      <c r="O16" s="535"/>
      <c r="P16" s="533"/>
      <c r="Q16" s="534"/>
      <c r="R16" s="535"/>
      <c r="S16" s="533"/>
      <c r="T16" s="534"/>
      <c r="U16" s="535"/>
      <c r="V16" s="533"/>
      <c r="W16" s="534"/>
      <c r="X16" s="535"/>
      <c r="Y16" s="533"/>
      <c r="Z16" s="534"/>
      <c r="AA16" s="535"/>
      <c r="AB16" s="533"/>
      <c r="AC16" s="534"/>
      <c r="AD16" s="535"/>
      <c r="AE16" s="533"/>
      <c r="AF16" s="534"/>
      <c r="AG16" s="535"/>
    </row>
    <row r="17" spans="1:43" s="531" customFormat="1">
      <c r="A17" s="588"/>
      <c r="B17" s="530">
        <v>5</v>
      </c>
      <c r="C17" s="532" t="s">
        <v>417</v>
      </c>
      <c r="D17" s="533">
        <v>7.12</v>
      </c>
      <c r="E17" s="534">
        <v>1.17</v>
      </c>
      <c r="F17" s="535">
        <v>8.0500000000000002E-2</v>
      </c>
      <c r="G17" s="533"/>
      <c r="H17" s="534"/>
      <c r="I17" s="535"/>
      <c r="J17" s="533"/>
      <c r="K17" s="534"/>
      <c r="L17" s="535"/>
      <c r="M17" s="533"/>
      <c r="N17" s="534"/>
      <c r="O17" s="535"/>
      <c r="P17" s="533"/>
      <c r="Q17" s="534"/>
      <c r="R17" s="535"/>
      <c r="S17" s="533"/>
      <c r="T17" s="534"/>
      <c r="U17" s="535"/>
      <c r="V17" s="533"/>
      <c r="W17" s="534"/>
      <c r="X17" s="535"/>
      <c r="Y17" s="533"/>
      <c r="Z17" s="534"/>
      <c r="AA17" s="535"/>
      <c r="AB17" s="533"/>
      <c r="AC17" s="534"/>
      <c r="AD17" s="535"/>
      <c r="AE17" s="533"/>
      <c r="AF17" s="534"/>
      <c r="AG17" s="535"/>
    </row>
    <row r="18" spans="1:43" s="531" customFormat="1">
      <c r="A18" s="588"/>
      <c r="B18" s="530"/>
      <c r="C18" s="532"/>
      <c r="D18" s="533"/>
      <c r="E18" s="534"/>
      <c r="F18" s="535"/>
      <c r="G18" s="533"/>
      <c r="H18" s="534"/>
      <c r="I18" s="535"/>
      <c r="J18" s="533"/>
      <c r="K18" s="534"/>
      <c r="L18" s="535"/>
      <c r="M18" s="533"/>
      <c r="N18" s="534"/>
      <c r="O18" s="535"/>
      <c r="P18" s="533"/>
      <c r="Q18" s="534"/>
      <c r="R18" s="535"/>
      <c r="S18" s="533"/>
      <c r="T18" s="534"/>
      <c r="U18" s="535"/>
      <c r="V18" s="533"/>
      <c r="W18" s="534"/>
      <c r="X18" s="535"/>
      <c r="Y18" s="533"/>
      <c r="Z18" s="534"/>
      <c r="AA18" s="535"/>
      <c r="AB18" s="533"/>
      <c r="AC18" s="534"/>
      <c r="AD18" s="535"/>
      <c r="AE18" s="533"/>
      <c r="AF18" s="534"/>
      <c r="AG18" s="535"/>
    </row>
    <row r="19" spans="1:43" s="531" customFormat="1">
      <c r="A19" s="588"/>
      <c r="B19" s="530"/>
      <c r="C19" s="532" t="s">
        <v>439</v>
      </c>
      <c r="D19" s="533"/>
      <c r="E19" s="534"/>
      <c r="F19" s="535"/>
      <c r="G19" s="533"/>
      <c r="H19" s="534"/>
      <c r="I19" s="535"/>
      <c r="J19" s="533"/>
      <c r="K19" s="534"/>
      <c r="L19" s="535"/>
      <c r="M19" s="533"/>
      <c r="N19" s="534"/>
      <c r="O19" s="535"/>
      <c r="P19" s="533"/>
      <c r="Q19" s="534"/>
      <c r="R19" s="535"/>
      <c r="S19" s="533"/>
      <c r="T19" s="534"/>
      <c r="U19" s="535"/>
      <c r="V19" s="533"/>
      <c r="W19" s="534"/>
      <c r="X19" s="535"/>
      <c r="Y19" s="533"/>
      <c r="Z19" s="534"/>
      <c r="AA19" s="535"/>
      <c r="AB19" s="533"/>
      <c r="AC19" s="534"/>
      <c r="AD19" s="535"/>
      <c r="AE19" s="533"/>
      <c r="AF19" s="534"/>
      <c r="AG19" s="535"/>
    </row>
    <row r="20" spans="1:43" s="531" customFormat="1">
      <c r="A20" s="588"/>
      <c r="B20" s="530"/>
      <c r="C20" s="562" t="s">
        <v>442</v>
      </c>
      <c r="D20" s="533"/>
      <c r="E20" s="534"/>
      <c r="F20" s="535"/>
      <c r="G20" s="533"/>
      <c r="H20" s="534"/>
      <c r="I20" s="535"/>
      <c r="J20" s="533"/>
      <c r="K20" s="534"/>
      <c r="L20" s="535"/>
      <c r="M20" s="533"/>
      <c r="N20" s="534"/>
      <c r="O20" s="535"/>
      <c r="P20" s="533"/>
      <c r="Q20" s="534"/>
      <c r="R20" s="535"/>
      <c r="S20" s="533"/>
      <c r="T20" s="534"/>
      <c r="U20" s="535"/>
      <c r="V20" s="533"/>
      <c r="W20" s="534"/>
      <c r="X20" s="535"/>
      <c r="Y20" s="533"/>
      <c r="Z20" s="534"/>
      <c r="AA20" s="535"/>
      <c r="AB20" s="533"/>
      <c r="AC20" s="534"/>
      <c r="AD20" s="535"/>
      <c r="AE20" s="533"/>
      <c r="AF20" s="534"/>
      <c r="AG20" s="535"/>
    </row>
    <row r="21" spans="1:43" ht="15.75" thickBot="1">
      <c r="B21" s="530"/>
      <c r="C21" s="436" t="s">
        <v>441</v>
      </c>
      <c r="D21" s="439"/>
      <c r="E21" s="428"/>
      <c r="F21" s="440"/>
      <c r="G21" s="439"/>
      <c r="H21" s="428"/>
      <c r="I21" s="440"/>
      <c r="J21" s="439"/>
      <c r="K21" s="428"/>
      <c r="L21" s="440"/>
      <c r="M21" s="439"/>
      <c r="N21" s="428"/>
      <c r="O21" s="440"/>
      <c r="P21" s="439"/>
      <c r="Q21" s="428"/>
      <c r="R21" s="440"/>
      <c r="S21" s="439"/>
      <c r="T21" s="428"/>
      <c r="U21" s="440"/>
      <c r="V21" s="439"/>
      <c r="W21" s="428"/>
      <c r="X21" s="440"/>
      <c r="Y21" s="439"/>
      <c r="Z21" s="428"/>
      <c r="AA21" s="440"/>
      <c r="AB21" s="439"/>
      <c r="AC21" s="428"/>
      <c r="AD21" s="440"/>
      <c r="AE21" s="439"/>
      <c r="AF21" s="428"/>
      <c r="AG21" s="440"/>
    </row>
    <row r="22" spans="1:43" ht="15.75" thickBot="1">
      <c r="D22" s="1174">
        <v>45010</v>
      </c>
      <c r="E22" s="1174"/>
      <c r="F22" s="1174"/>
      <c r="G22" s="1174">
        <v>45043</v>
      </c>
      <c r="H22" s="1174"/>
      <c r="I22" s="1174"/>
      <c r="L22" s="579">
        <v>45076</v>
      </c>
      <c r="M22" s="578"/>
      <c r="N22" s="578"/>
      <c r="O22" s="578"/>
      <c r="P22" s="579">
        <v>45117</v>
      </c>
      <c r="S22" s="385"/>
      <c r="T22" s="385"/>
      <c r="U22" s="385"/>
    </row>
    <row r="23" spans="1:43">
      <c r="C23" s="1164" t="s">
        <v>287</v>
      </c>
      <c r="D23" s="1159" t="s">
        <v>294</v>
      </c>
      <c r="E23" s="1160"/>
      <c r="F23" s="1160"/>
      <c r="G23" s="1161"/>
      <c r="H23" s="1162" t="s">
        <v>295</v>
      </c>
      <c r="I23" s="1160"/>
      <c r="J23" s="1160"/>
      <c r="K23" s="1163"/>
      <c r="L23" s="1159" t="s">
        <v>296</v>
      </c>
      <c r="M23" s="1160"/>
      <c r="N23" s="1160"/>
      <c r="O23" s="1161"/>
      <c r="P23" s="1162" t="s">
        <v>297</v>
      </c>
      <c r="Q23" s="1160"/>
      <c r="R23" s="1160"/>
      <c r="S23" s="1163"/>
      <c r="T23" s="1159" t="s">
        <v>298</v>
      </c>
      <c r="U23" s="1160"/>
      <c r="V23" s="1160"/>
      <c r="W23" s="1161"/>
      <c r="X23" s="1162" t="s">
        <v>299</v>
      </c>
      <c r="Y23" s="1160"/>
      <c r="Z23" s="1160"/>
      <c r="AA23" s="1163"/>
      <c r="AB23" s="1159" t="s">
        <v>300</v>
      </c>
      <c r="AC23" s="1160"/>
      <c r="AD23" s="1160"/>
      <c r="AE23" s="1161"/>
      <c r="AF23" s="1162" t="s">
        <v>301</v>
      </c>
      <c r="AG23" s="1160"/>
      <c r="AH23" s="1160"/>
      <c r="AI23" s="1163"/>
      <c r="AJ23" s="1159" t="s">
        <v>302</v>
      </c>
      <c r="AK23" s="1160"/>
      <c r="AL23" s="1160"/>
      <c r="AM23" s="1161"/>
      <c r="AN23" s="1162" t="s">
        <v>303</v>
      </c>
      <c r="AO23" s="1160"/>
      <c r="AP23" s="1160"/>
      <c r="AQ23" s="1163"/>
    </row>
    <row r="24" spans="1:43">
      <c r="A24" s="588" t="s">
        <v>514</v>
      </c>
      <c r="B24" s="588" t="s">
        <v>513</v>
      </c>
      <c r="C24" s="1165"/>
      <c r="D24" s="477" t="s">
        <v>273</v>
      </c>
      <c r="E24" s="475" t="s">
        <v>289</v>
      </c>
      <c r="F24" s="475" t="s">
        <v>275</v>
      </c>
      <c r="G24" s="472" t="s">
        <v>274</v>
      </c>
      <c r="H24" s="474" t="s">
        <v>273</v>
      </c>
      <c r="I24" s="475" t="s">
        <v>289</v>
      </c>
      <c r="J24" s="475" t="s">
        <v>275</v>
      </c>
      <c r="K24" s="476" t="s">
        <v>274</v>
      </c>
      <c r="L24" s="477" t="s">
        <v>273</v>
      </c>
      <c r="M24" s="475" t="s">
        <v>289</v>
      </c>
      <c r="N24" s="475" t="s">
        <v>275</v>
      </c>
      <c r="O24" s="472" t="s">
        <v>274</v>
      </c>
      <c r="P24" s="474" t="s">
        <v>273</v>
      </c>
      <c r="Q24" s="475" t="s">
        <v>289</v>
      </c>
      <c r="R24" s="475" t="s">
        <v>275</v>
      </c>
      <c r="S24" s="476" t="s">
        <v>274</v>
      </c>
      <c r="T24" s="477" t="s">
        <v>273</v>
      </c>
      <c r="U24" s="475" t="s">
        <v>289</v>
      </c>
      <c r="V24" s="475" t="s">
        <v>275</v>
      </c>
      <c r="W24" s="472" t="s">
        <v>274</v>
      </c>
      <c r="X24" s="474" t="s">
        <v>273</v>
      </c>
      <c r="Y24" s="475" t="s">
        <v>289</v>
      </c>
      <c r="Z24" s="475" t="s">
        <v>275</v>
      </c>
      <c r="AA24" s="476" t="s">
        <v>274</v>
      </c>
      <c r="AB24" s="477" t="s">
        <v>273</v>
      </c>
      <c r="AC24" s="475" t="s">
        <v>289</v>
      </c>
      <c r="AD24" s="475" t="s">
        <v>275</v>
      </c>
      <c r="AE24" s="472" t="s">
        <v>274</v>
      </c>
      <c r="AF24" s="474" t="s">
        <v>273</v>
      </c>
      <c r="AG24" s="475" t="s">
        <v>289</v>
      </c>
      <c r="AH24" s="475" t="s">
        <v>275</v>
      </c>
      <c r="AI24" s="476" t="s">
        <v>274</v>
      </c>
      <c r="AJ24" s="477" t="s">
        <v>273</v>
      </c>
      <c r="AK24" s="475" t="s">
        <v>289</v>
      </c>
      <c r="AL24" s="475" t="s">
        <v>275</v>
      </c>
      <c r="AM24" s="472" t="s">
        <v>274</v>
      </c>
      <c r="AN24" s="474" t="s">
        <v>273</v>
      </c>
      <c r="AO24" s="475" t="s">
        <v>289</v>
      </c>
      <c r="AP24" s="475" t="s">
        <v>275</v>
      </c>
      <c r="AQ24" s="476" t="s">
        <v>274</v>
      </c>
    </row>
    <row r="25" spans="1:43">
      <c r="A25" s="588" t="s">
        <v>516</v>
      </c>
      <c r="B25" s="588" t="s">
        <v>518</v>
      </c>
      <c r="C25" s="559" t="s">
        <v>243</v>
      </c>
      <c r="D25" s="557">
        <v>10.35</v>
      </c>
      <c r="E25" s="467" t="s">
        <v>343</v>
      </c>
      <c r="F25" s="446">
        <v>1.17E-2</v>
      </c>
      <c r="G25" s="516">
        <v>1.01</v>
      </c>
      <c r="H25" s="437">
        <v>10.52</v>
      </c>
      <c r="I25" s="427">
        <v>470285</v>
      </c>
      <c r="J25" s="446">
        <v>1.1299999999999999E-2</v>
      </c>
      <c r="K25" s="121">
        <v>1.04</v>
      </c>
      <c r="L25" s="468">
        <v>10.67</v>
      </c>
      <c r="M25" s="427" t="s">
        <v>495</v>
      </c>
      <c r="N25" s="446">
        <v>1.12E-2</v>
      </c>
      <c r="O25" s="111">
        <v>1.06</v>
      </c>
      <c r="P25" s="437">
        <v>10.9</v>
      </c>
      <c r="Q25" s="427"/>
      <c r="R25" s="446">
        <v>1.0999999999999999E-2</v>
      </c>
      <c r="S25" s="121">
        <v>1.06</v>
      </c>
      <c r="T25" s="468"/>
      <c r="U25" s="427"/>
      <c r="V25" s="446"/>
      <c r="W25" s="111"/>
      <c r="X25" s="437"/>
      <c r="Y25" s="427"/>
      <c r="Z25" s="446"/>
      <c r="AA25" s="121"/>
      <c r="AB25" s="468"/>
      <c r="AC25" s="427"/>
      <c r="AD25" s="446"/>
      <c r="AE25" s="111"/>
      <c r="AF25" s="437"/>
      <c r="AG25" s="427"/>
      <c r="AH25" s="446"/>
      <c r="AI25" s="121"/>
      <c r="AJ25" s="468"/>
      <c r="AK25" s="427"/>
      <c r="AL25" s="446"/>
      <c r="AM25" s="111"/>
      <c r="AN25" s="437"/>
      <c r="AO25" s="427"/>
      <c r="AP25" s="446"/>
      <c r="AQ25" s="121"/>
    </row>
    <row r="26" spans="1:43" s="466" customFormat="1">
      <c r="A26" s="588" t="s">
        <v>516</v>
      </c>
      <c r="B26" s="588" t="s">
        <v>518</v>
      </c>
      <c r="C26" s="559" t="s">
        <v>242</v>
      </c>
      <c r="D26" s="557">
        <v>7.85</v>
      </c>
      <c r="E26" s="467" t="s">
        <v>343</v>
      </c>
      <c r="F26" s="446">
        <v>9.4000000000000004E-3</v>
      </c>
      <c r="G26" s="516">
        <v>0.93</v>
      </c>
      <c r="H26" s="437">
        <v>7.86</v>
      </c>
      <c r="I26" s="427">
        <v>68769</v>
      </c>
      <c r="J26" s="446">
        <v>8.8999999999999999E-3</v>
      </c>
      <c r="K26" s="121">
        <v>0.96</v>
      </c>
      <c r="L26" s="468">
        <v>7.93</v>
      </c>
      <c r="M26" s="427" t="s">
        <v>483</v>
      </c>
      <c r="N26" s="446">
        <v>8.8000000000000005E-3</v>
      </c>
      <c r="O26" s="111">
        <v>0.94</v>
      </c>
      <c r="P26" s="437">
        <v>8.5</v>
      </c>
      <c r="Q26" s="427"/>
      <c r="R26" s="446">
        <v>9.4000000000000004E-3</v>
      </c>
      <c r="S26" s="121">
        <v>0.98</v>
      </c>
      <c r="T26" s="468"/>
      <c r="U26" s="427"/>
      <c r="V26" s="446"/>
      <c r="W26" s="111"/>
      <c r="X26" s="437"/>
      <c r="Y26" s="427"/>
      <c r="Z26" s="446"/>
      <c r="AA26" s="121"/>
      <c r="AB26" s="468"/>
      <c r="AC26" s="427"/>
      <c r="AD26" s="446"/>
      <c r="AE26" s="111"/>
      <c r="AF26" s="437"/>
      <c r="AG26" s="427"/>
      <c r="AH26" s="446"/>
      <c r="AI26" s="121"/>
      <c r="AJ26" s="468"/>
      <c r="AK26" s="427"/>
      <c r="AL26" s="446"/>
      <c r="AM26" s="111"/>
      <c r="AN26" s="437"/>
      <c r="AO26" s="427"/>
      <c r="AP26" s="446"/>
      <c r="AQ26" s="121"/>
    </row>
    <row r="27" spans="1:43" s="466" customFormat="1">
      <c r="A27" s="588" t="s">
        <v>517</v>
      </c>
      <c r="B27" s="588" t="s">
        <v>519</v>
      </c>
      <c r="C27" s="559" t="s">
        <v>241</v>
      </c>
      <c r="D27" s="608">
        <v>93.95</v>
      </c>
      <c r="E27" s="609" t="s">
        <v>343</v>
      </c>
      <c r="F27" s="610">
        <v>1.2200000000000001E-2</v>
      </c>
      <c r="G27" s="611">
        <v>1.03</v>
      </c>
      <c r="H27" s="612">
        <v>90.97</v>
      </c>
      <c r="I27" s="475">
        <v>53248</v>
      </c>
      <c r="J27" s="610">
        <v>1.2500000000000001E-2</v>
      </c>
      <c r="K27" s="476">
        <v>0.98</v>
      </c>
      <c r="L27" s="613">
        <v>92.51</v>
      </c>
      <c r="M27" s="475" t="s">
        <v>484</v>
      </c>
      <c r="N27" s="610">
        <v>1.41E-2</v>
      </c>
      <c r="O27" s="472">
        <v>0.99</v>
      </c>
      <c r="P27" s="612">
        <v>95.49</v>
      </c>
      <c r="Q27" s="475"/>
      <c r="R27" s="610">
        <v>1.3100000000000001E-2</v>
      </c>
      <c r="S27" s="476">
        <v>1.01</v>
      </c>
      <c r="T27" s="613"/>
      <c r="U27" s="475"/>
      <c r="V27" s="610"/>
      <c r="W27" s="472"/>
      <c r="X27" s="612"/>
      <c r="Y27" s="475"/>
      <c r="Z27" s="610"/>
      <c r="AA27" s="476"/>
      <c r="AB27" s="613"/>
      <c r="AC27" s="475"/>
      <c r="AD27" s="610"/>
      <c r="AE27" s="472"/>
      <c r="AF27" s="612"/>
      <c r="AG27" s="475"/>
      <c r="AH27" s="610"/>
      <c r="AI27" s="476"/>
      <c r="AJ27" s="613"/>
      <c r="AK27" s="475"/>
      <c r="AL27" s="610"/>
      <c r="AM27" s="472"/>
      <c r="AN27" s="612"/>
      <c r="AO27" s="475"/>
      <c r="AP27" s="610"/>
      <c r="AQ27" s="476"/>
    </row>
    <row r="28" spans="1:43" s="466" customFormat="1">
      <c r="A28" s="588" t="s">
        <v>516</v>
      </c>
      <c r="B28" s="588" t="s">
        <v>520</v>
      </c>
      <c r="C28" s="559" t="s">
        <v>240</v>
      </c>
      <c r="D28" s="557">
        <v>9.09</v>
      </c>
      <c r="E28" s="467" t="s">
        <v>343</v>
      </c>
      <c r="F28" s="446">
        <v>1.11E-2</v>
      </c>
      <c r="G28" s="516">
        <v>0.99</v>
      </c>
      <c r="H28" s="437">
        <v>9.0399999999999991</v>
      </c>
      <c r="I28" s="427">
        <v>198457</v>
      </c>
      <c r="J28" s="446">
        <v>1.3299999999999999E-2</v>
      </c>
      <c r="K28" s="121">
        <v>0.99</v>
      </c>
      <c r="L28" s="468">
        <v>9.39</v>
      </c>
      <c r="M28" s="427" t="s">
        <v>485</v>
      </c>
      <c r="N28" s="446">
        <v>1.2800000000000001E-2</v>
      </c>
      <c r="O28" s="111">
        <v>1.03</v>
      </c>
      <c r="P28" s="437">
        <v>9.58</v>
      </c>
      <c r="Q28" s="427"/>
      <c r="R28" s="446">
        <v>1.2500000000000001E-2</v>
      </c>
      <c r="S28" s="121">
        <v>1.03</v>
      </c>
      <c r="T28" s="468"/>
      <c r="U28" s="427"/>
      <c r="V28" s="446"/>
      <c r="W28" s="111"/>
      <c r="X28" s="437"/>
      <c r="Y28" s="427"/>
      <c r="Z28" s="446"/>
      <c r="AA28" s="121"/>
      <c r="AB28" s="468"/>
      <c r="AC28" s="427"/>
      <c r="AD28" s="446"/>
      <c r="AE28" s="111"/>
      <c r="AF28" s="437"/>
      <c r="AG28" s="427"/>
      <c r="AH28" s="446"/>
      <c r="AI28" s="121"/>
      <c r="AJ28" s="468"/>
      <c r="AK28" s="427"/>
      <c r="AL28" s="446"/>
      <c r="AM28" s="111"/>
      <c r="AN28" s="437"/>
      <c r="AO28" s="427"/>
      <c r="AP28" s="446"/>
      <c r="AQ28" s="121"/>
    </row>
    <row r="29" spans="1:43" s="466" customFormat="1">
      <c r="A29" s="591" t="s">
        <v>515</v>
      </c>
      <c r="B29" s="588" t="s">
        <v>521</v>
      </c>
      <c r="C29" s="559" t="s">
        <v>237</v>
      </c>
      <c r="D29" s="557">
        <v>81.010000000000005</v>
      </c>
      <c r="E29" s="467" t="s">
        <v>343</v>
      </c>
      <c r="F29" s="446">
        <v>1.0800000000000001E-2</v>
      </c>
      <c r="G29" s="516">
        <v>0.93</v>
      </c>
      <c r="H29" s="437">
        <v>84.2</v>
      </c>
      <c r="I29" s="427">
        <v>58816</v>
      </c>
      <c r="J29" s="446">
        <v>1.1599999999999999E-2</v>
      </c>
      <c r="K29" s="121">
        <v>0.9</v>
      </c>
      <c r="L29" s="468">
        <v>85</v>
      </c>
      <c r="M29" s="427" t="s">
        <v>486</v>
      </c>
      <c r="N29" s="446">
        <v>1.0699999999999999E-2</v>
      </c>
      <c r="O29" s="111">
        <v>0.95</v>
      </c>
      <c r="P29" s="437">
        <v>87.91</v>
      </c>
      <c r="Q29" s="427"/>
      <c r="R29" s="446">
        <v>9.9000000000000008E-3</v>
      </c>
      <c r="S29" s="121">
        <v>1</v>
      </c>
      <c r="T29" s="468"/>
      <c r="U29" s="427"/>
      <c r="V29" s="446"/>
      <c r="W29" s="111"/>
      <c r="X29" s="437"/>
      <c r="Y29" s="427"/>
      <c r="Z29" s="446"/>
      <c r="AA29" s="121"/>
      <c r="AB29" s="468"/>
      <c r="AC29" s="427"/>
      <c r="AD29" s="446"/>
      <c r="AE29" s="111"/>
      <c r="AF29" s="437"/>
      <c r="AG29" s="427"/>
      <c r="AH29" s="446"/>
      <c r="AI29" s="121"/>
      <c r="AJ29" s="468"/>
      <c r="AK29" s="427"/>
      <c r="AL29" s="446"/>
      <c r="AM29" s="111"/>
      <c r="AN29" s="437"/>
      <c r="AO29" s="427"/>
      <c r="AP29" s="446"/>
      <c r="AQ29" s="121"/>
    </row>
    <row r="30" spans="1:43" s="466" customFormat="1">
      <c r="A30" s="588" t="s">
        <v>522</v>
      </c>
      <c r="B30" s="588" t="s">
        <v>518</v>
      </c>
      <c r="C30" s="559" t="s">
        <v>236</v>
      </c>
      <c r="D30" s="557">
        <v>6.76</v>
      </c>
      <c r="E30" s="467" t="s">
        <v>343</v>
      </c>
      <c r="F30" s="446">
        <v>1.0800000000000001E-2</v>
      </c>
      <c r="G30" s="516">
        <v>0.78</v>
      </c>
      <c r="H30" s="437">
        <v>7.09</v>
      </c>
      <c r="I30" s="427">
        <v>36658</v>
      </c>
      <c r="J30" s="446">
        <v>1.34E-2</v>
      </c>
      <c r="K30" s="121">
        <v>0.79</v>
      </c>
      <c r="L30" s="468">
        <v>7.14</v>
      </c>
      <c r="M30" s="427" t="s">
        <v>487</v>
      </c>
      <c r="N30" s="446">
        <v>1.26E-2</v>
      </c>
      <c r="O30" s="111">
        <v>0.8</v>
      </c>
      <c r="P30" s="437">
        <v>7.9</v>
      </c>
      <c r="Q30" s="427"/>
      <c r="R30" s="446">
        <v>1.01E-2</v>
      </c>
      <c r="S30" s="121">
        <v>0.87</v>
      </c>
      <c r="T30" s="468"/>
      <c r="U30" s="427"/>
      <c r="V30" s="446"/>
      <c r="W30" s="111"/>
      <c r="X30" s="437"/>
      <c r="Y30" s="427"/>
      <c r="Z30" s="446"/>
      <c r="AA30" s="121"/>
      <c r="AB30" s="468"/>
      <c r="AC30" s="427"/>
      <c r="AD30" s="446"/>
      <c r="AE30" s="111"/>
      <c r="AF30" s="437"/>
      <c r="AG30" s="427"/>
      <c r="AH30" s="446"/>
      <c r="AI30" s="121"/>
      <c r="AJ30" s="468"/>
      <c r="AK30" s="427"/>
      <c r="AL30" s="446"/>
      <c r="AM30" s="111"/>
      <c r="AN30" s="437"/>
      <c r="AO30" s="427"/>
      <c r="AP30" s="446"/>
      <c r="AQ30" s="121"/>
    </row>
    <row r="31" spans="1:43" s="466" customFormat="1" ht="15.75" customHeight="1">
      <c r="A31" s="588" t="s">
        <v>523</v>
      </c>
      <c r="B31" s="588" t="s">
        <v>524</v>
      </c>
      <c r="C31" s="559" t="s">
        <v>235</v>
      </c>
      <c r="D31" s="557">
        <v>75.53</v>
      </c>
      <c r="E31" s="467" t="s">
        <v>343</v>
      </c>
      <c r="F31" s="446">
        <v>0.01</v>
      </c>
      <c r="G31" s="516">
        <v>0.85</v>
      </c>
      <c r="H31" s="437">
        <v>76.5</v>
      </c>
      <c r="I31" s="427">
        <v>57950</v>
      </c>
      <c r="J31" s="446">
        <v>9.2999999999999992E-3</v>
      </c>
      <c r="K31" s="121">
        <v>0.85</v>
      </c>
      <c r="L31" s="468">
        <v>80.510000000000005</v>
      </c>
      <c r="M31" s="427" t="s">
        <v>488</v>
      </c>
      <c r="N31" s="446">
        <v>1.01E-2</v>
      </c>
      <c r="O31" s="111">
        <v>0.9</v>
      </c>
      <c r="P31" s="437">
        <v>81.87</v>
      </c>
      <c r="Q31" s="427"/>
      <c r="R31" s="446">
        <v>1.04E-2</v>
      </c>
      <c r="S31" s="121">
        <v>0.97</v>
      </c>
      <c r="T31" s="468"/>
      <c r="U31" s="427"/>
      <c r="V31" s="446"/>
      <c r="W31" s="111"/>
      <c r="X31" s="437"/>
      <c r="Y31" s="427"/>
      <c r="Z31" s="446"/>
      <c r="AA31" s="121"/>
      <c r="AB31" s="468"/>
      <c r="AC31" s="427"/>
      <c r="AD31" s="446"/>
      <c r="AE31" s="111"/>
      <c r="AF31" s="437"/>
      <c r="AG31" s="427"/>
      <c r="AH31" s="446"/>
      <c r="AI31" s="121"/>
      <c r="AJ31" s="468"/>
      <c r="AK31" s="427"/>
      <c r="AL31" s="446"/>
      <c r="AM31" s="111"/>
      <c r="AN31" s="437"/>
      <c r="AO31" s="427"/>
      <c r="AP31" s="446"/>
      <c r="AQ31" s="121"/>
    </row>
    <row r="32" spans="1:43" s="466" customFormat="1">
      <c r="A32" s="588" t="s">
        <v>516</v>
      </c>
      <c r="B32" s="588" t="s">
        <v>518</v>
      </c>
      <c r="C32" s="559" t="s">
        <v>234</v>
      </c>
      <c r="D32" s="608">
        <v>97.12</v>
      </c>
      <c r="E32" s="609" t="s">
        <v>343</v>
      </c>
      <c r="F32" s="610">
        <v>1.3100000000000001E-2</v>
      </c>
      <c r="G32" s="611">
        <v>0.94</v>
      </c>
      <c r="H32" s="612">
        <v>89.35</v>
      </c>
      <c r="I32" s="475">
        <v>28456</v>
      </c>
      <c r="J32" s="610">
        <v>1.44E-2</v>
      </c>
      <c r="K32" s="476">
        <v>0.89</v>
      </c>
      <c r="L32" s="613">
        <v>97.2</v>
      </c>
      <c r="M32" s="475" t="s">
        <v>489</v>
      </c>
      <c r="N32" s="610">
        <v>1.3599999999999999E-2</v>
      </c>
      <c r="O32" s="472">
        <v>0.97</v>
      </c>
      <c r="P32" s="612">
        <v>98.17</v>
      </c>
      <c r="Q32" s="475"/>
      <c r="R32" s="610">
        <v>1.3599999999999999E-2</v>
      </c>
      <c r="S32" s="476">
        <v>0.97</v>
      </c>
      <c r="T32" s="613"/>
      <c r="U32" s="475"/>
      <c r="V32" s="610"/>
      <c r="W32" s="472"/>
      <c r="X32" s="612"/>
      <c r="Y32" s="475"/>
      <c r="Z32" s="610"/>
      <c r="AA32" s="476"/>
      <c r="AB32" s="613"/>
      <c r="AC32" s="475"/>
      <c r="AD32" s="610"/>
      <c r="AE32" s="472"/>
      <c r="AF32" s="612"/>
      <c r="AG32" s="475"/>
      <c r="AH32" s="610"/>
      <c r="AI32" s="476"/>
      <c r="AJ32" s="613"/>
      <c r="AK32" s="475"/>
      <c r="AL32" s="610"/>
      <c r="AM32" s="472"/>
      <c r="AN32" s="612"/>
      <c r="AO32" s="475"/>
      <c r="AP32" s="610"/>
      <c r="AQ32" s="476"/>
    </row>
    <row r="33" spans="1:43">
      <c r="A33" s="588" t="s">
        <v>516</v>
      </c>
      <c r="B33" s="588" t="s">
        <v>525</v>
      </c>
      <c r="C33" s="560" t="s">
        <v>288</v>
      </c>
      <c r="D33" s="558">
        <v>60.54</v>
      </c>
      <c r="E33" s="469">
        <v>8851</v>
      </c>
      <c r="F33" s="470">
        <v>1.2200000000000001E-2</v>
      </c>
      <c r="G33" s="129">
        <v>0.65</v>
      </c>
      <c r="H33" s="437">
        <v>60.14</v>
      </c>
      <c r="I33" s="427">
        <v>7416</v>
      </c>
      <c r="J33" s="446">
        <v>1.2800000000000001E-2</v>
      </c>
      <c r="K33" s="121">
        <v>0.64</v>
      </c>
      <c r="L33" s="468">
        <v>64.7</v>
      </c>
      <c r="M33" s="427" t="s">
        <v>490</v>
      </c>
      <c r="N33" s="446">
        <v>1.1900000000000001E-2</v>
      </c>
      <c r="O33" s="111">
        <v>0.69</v>
      </c>
      <c r="P33" s="437">
        <v>70.849999999999994</v>
      </c>
      <c r="Q33" s="427"/>
      <c r="R33" s="446">
        <v>1.0999999999999999E-2</v>
      </c>
      <c r="S33" s="121">
        <v>0.76</v>
      </c>
      <c r="T33" s="468"/>
      <c r="U33" s="427"/>
      <c r="V33" s="446"/>
      <c r="W33" s="111"/>
      <c r="X33" s="437"/>
      <c r="Y33" s="427"/>
      <c r="Z33" s="446"/>
      <c r="AA33" s="121"/>
      <c r="AB33" s="468"/>
      <c r="AC33" s="427"/>
      <c r="AD33" s="446"/>
      <c r="AE33" s="111"/>
      <c r="AF33" s="437"/>
      <c r="AG33" s="427"/>
      <c r="AH33" s="446"/>
      <c r="AI33" s="121"/>
      <c r="AJ33" s="468"/>
      <c r="AK33" s="427"/>
      <c r="AL33" s="446"/>
      <c r="AM33" s="111"/>
      <c r="AN33" s="437"/>
      <c r="AO33" s="427"/>
      <c r="AP33" s="446"/>
      <c r="AQ33" s="121"/>
    </row>
    <row r="34" spans="1:43" s="466" customFormat="1">
      <c r="A34" s="588" t="s">
        <v>516</v>
      </c>
      <c r="B34" s="588" t="s">
        <v>518</v>
      </c>
      <c r="C34" s="559" t="s">
        <v>238</v>
      </c>
      <c r="D34" s="557">
        <v>82.47</v>
      </c>
      <c r="E34" s="467" t="s">
        <v>343</v>
      </c>
      <c r="F34" s="448">
        <v>1.0999999999999999E-2</v>
      </c>
      <c r="G34" s="516">
        <v>0.82</v>
      </c>
      <c r="H34" s="437">
        <v>86.67</v>
      </c>
      <c r="I34" s="427">
        <v>13308</v>
      </c>
      <c r="J34" s="446">
        <v>1.03E-2</v>
      </c>
      <c r="K34" s="121">
        <v>0.86</v>
      </c>
      <c r="L34" s="468">
        <v>92.4</v>
      </c>
      <c r="M34" s="427" t="s">
        <v>491</v>
      </c>
      <c r="N34" s="446">
        <v>9.7000000000000003E-3</v>
      </c>
      <c r="O34" s="111">
        <v>0.92</v>
      </c>
      <c r="P34" s="437">
        <v>98.69</v>
      </c>
      <c r="Q34" s="427"/>
      <c r="R34" s="446">
        <v>9.1000000000000004E-3</v>
      </c>
      <c r="S34" s="121">
        <v>0.97</v>
      </c>
      <c r="T34" s="468"/>
      <c r="U34" s="427"/>
      <c r="V34" s="446"/>
      <c r="W34" s="111"/>
      <c r="X34" s="437"/>
      <c r="Y34" s="427"/>
      <c r="Z34" s="446"/>
      <c r="AA34" s="121"/>
      <c r="AB34" s="468"/>
      <c r="AC34" s="427"/>
      <c r="AD34" s="446"/>
      <c r="AE34" s="111"/>
      <c r="AF34" s="437"/>
      <c r="AG34" s="427"/>
      <c r="AH34" s="446"/>
      <c r="AI34" s="121"/>
      <c r="AJ34" s="468"/>
      <c r="AK34" s="427"/>
      <c r="AL34" s="446"/>
      <c r="AM34" s="111"/>
      <c r="AN34" s="437"/>
      <c r="AO34" s="427"/>
      <c r="AP34" s="446"/>
      <c r="AQ34" s="121"/>
    </row>
    <row r="35" spans="1:43" s="466" customFormat="1">
      <c r="A35" s="588"/>
      <c r="B35" s="515"/>
      <c r="C35" s="559" t="s">
        <v>239</v>
      </c>
      <c r="D35" s="557">
        <v>91.98</v>
      </c>
      <c r="E35" s="467" t="s">
        <v>343</v>
      </c>
      <c r="F35" s="446">
        <v>7.9000000000000008E-3</v>
      </c>
      <c r="G35" s="516">
        <v>0.81</v>
      </c>
      <c r="H35" s="437">
        <v>0</v>
      </c>
      <c r="I35" s="427" t="s">
        <v>343</v>
      </c>
      <c r="J35" s="446">
        <v>0</v>
      </c>
      <c r="K35" s="121">
        <v>0</v>
      </c>
      <c r="L35" s="468">
        <v>0</v>
      </c>
      <c r="M35" s="427" t="s">
        <v>343</v>
      </c>
      <c r="N35" s="446">
        <v>0</v>
      </c>
      <c r="O35" s="111">
        <v>0</v>
      </c>
      <c r="P35" s="437">
        <v>0</v>
      </c>
      <c r="Q35" s="427" t="s">
        <v>343</v>
      </c>
      <c r="R35" s="446">
        <v>0</v>
      </c>
      <c r="S35" s="121">
        <v>0</v>
      </c>
      <c r="T35" s="468">
        <v>0</v>
      </c>
      <c r="U35" s="427" t="s">
        <v>343</v>
      </c>
      <c r="V35" s="446">
        <v>0</v>
      </c>
      <c r="W35" s="111">
        <v>0</v>
      </c>
      <c r="X35" s="437">
        <v>0</v>
      </c>
      <c r="Y35" s="427" t="s">
        <v>343</v>
      </c>
      <c r="Z35" s="446">
        <v>0</v>
      </c>
      <c r="AA35" s="121">
        <v>0</v>
      </c>
      <c r="AB35" s="468">
        <v>0</v>
      </c>
      <c r="AC35" s="427" t="s">
        <v>343</v>
      </c>
      <c r="AD35" s="446">
        <v>0</v>
      </c>
      <c r="AE35" s="111">
        <v>0</v>
      </c>
      <c r="AF35" s="437">
        <v>0</v>
      </c>
      <c r="AG35" s="427" t="s">
        <v>343</v>
      </c>
      <c r="AH35" s="446">
        <v>0</v>
      </c>
      <c r="AI35" s="121">
        <v>0</v>
      </c>
      <c r="AJ35" s="468">
        <v>0</v>
      </c>
      <c r="AK35" s="427" t="s">
        <v>343</v>
      </c>
      <c r="AL35" s="446">
        <v>0</v>
      </c>
      <c r="AM35" s="111">
        <v>0</v>
      </c>
      <c r="AN35" s="437">
        <v>0</v>
      </c>
      <c r="AO35" s="427" t="s">
        <v>343</v>
      </c>
      <c r="AP35" s="446">
        <v>0</v>
      </c>
      <c r="AQ35" s="121">
        <v>0</v>
      </c>
    </row>
    <row r="36" spans="1:43">
      <c r="A36" s="588" t="s">
        <v>516</v>
      </c>
      <c r="B36" s="588" t="s">
        <v>518</v>
      </c>
      <c r="C36" s="559" t="s">
        <v>292</v>
      </c>
      <c r="D36" s="613">
        <v>115.97</v>
      </c>
      <c r="E36" s="475">
        <v>21234</v>
      </c>
      <c r="F36" s="610">
        <v>1.1599999999999999E-2</v>
      </c>
      <c r="G36" s="472">
        <v>0.86</v>
      </c>
      <c r="H36" s="612">
        <v>114.29</v>
      </c>
      <c r="I36" s="475">
        <v>47387</v>
      </c>
      <c r="J36" s="610">
        <v>1.2E-2</v>
      </c>
      <c r="K36" s="476">
        <v>0.89</v>
      </c>
      <c r="L36" s="613">
        <v>119.41</v>
      </c>
      <c r="M36" s="475" t="s">
        <v>492</v>
      </c>
      <c r="N36" s="610">
        <v>1.1299999999999999E-2</v>
      </c>
      <c r="O36" s="472">
        <v>0.94</v>
      </c>
      <c r="P36" s="612">
        <v>121.71</v>
      </c>
      <c r="Q36" s="475"/>
      <c r="R36" s="610">
        <v>1.1299999999999999E-2</v>
      </c>
      <c r="S36" s="476">
        <v>1.02</v>
      </c>
      <c r="T36" s="613"/>
      <c r="U36" s="475"/>
      <c r="V36" s="610"/>
      <c r="W36" s="472"/>
      <c r="X36" s="612"/>
      <c r="Y36" s="475"/>
      <c r="Z36" s="610"/>
      <c r="AA36" s="476"/>
      <c r="AB36" s="613"/>
      <c r="AC36" s="475"/>
      <c r="AD36" s="610"/>
      <c r="AE36" s="472"/>
      <c r="AF36" s="612"/>
      <c r="AG36" s="475"/>
      <c r="AH36" s="610"/>
      <c r="AI36" s="476"/>
      <c r="AJ36" s="613"/>
      <c r="AK36" s="475"/>
      <c r="AL36" s="610"/>
      <c r="AM36" s="472"/>
      <c r="AN36" s="612"/>
      <c r="AO36" s="475"/>
      <c r="AP36" s="610"/>
      <c r="AQ36" s="476"/>
    </row>
    <row r="37" spans="1:43" s="514" customFormat="1">
      <c r="A37" s="588" t="s">
        <v>516</v>
      </c>
      <c r="B37" s="588" t="s">
        <v>518</v>
      </c>
      <c r="C37" s="559" t="s">
        <v>345</v>
      </c>
      <c r="D37" s="613">
        <v>9.86</v>
      </c>
      <c r="E37" s="475">
        <v>103483</v>
      </c>
      <c r="F37" s="610">
        <v>1.3100000000000001E-2</v>
      </c>
      <c r="G37" s="472">
        <v>1.04</v>
      </c>
      <c r="H37" s="612">
        <v>9.8699999999999992</v>
      </c>
      <c r="I37" s="475">
        <v>134627</v>
      </c>
      <c r="J37" s="610">
        <v>1.3299999999999999E-2</v>
      </c>
      <c r="K37" s="476">
        <v>1.04</v>
      </c>
      <c r="L37" s="613">
        <v>9.86</v>
      </c>
      <c r="M37" s="475" t="s">
        <v>493</v>
      </c>
      <c r="N37" s="610">
        <v>1.32E-2</v>
      </c>
      <c r="O37" s="472">
        <v>1.04</v>
      </c>
      <c r="P37" s="612">
        <v>9.5299999999999994</v>
      </c>
      <c r="Q37" s="475"/>
      <c r="R37" s="610">
        <v>1.15E-2</v>
      </c>
      <c r="S37" s="476">
        <v>1.04</v>
      </c>
      <c r="T37" s="613"/>
      <c r="U37" s="475"/>
      <c r="V37" s="610"/>
      <c r="W37" s="472"/>
      <c r="X37" s="612"/>
      <c r="Y37" s="475"/>
      <c r="Z37" s="610"/>
      <c r="AA37" s="476"/>
      <c r="AB37" s="613"/>
      <c r="AC37" s="475"/>
      <c r="AD37" s="610"/>
      <c r="AE37" s="472"/>
      <c r="AF37" s="612"/>
      <c r="AG37" s="475"/>
      <c r="AH37" s="610"/>
      <c r="AI37" s="476"/>
      <c r="AJ37" s="613"/>
      <c r="AK37" s="475"/>
      <c r="AL37" s="610"/>
      <c r="AM37" s="472"/>
      <c r="AN37" s="612"/>
      <c r="AO37" s="475"/>
      <c r="AP37" s="610"/>
      <c r="AQ37" s="476"/>
    </row>
    <row r="38" spans="1:43" s="514" customFormat="1">
      <c r="A38" s="588" t="s">
        <v>516</v>
      </c>
      <c r="B38" s="588" t="s">
        <v>518</v>
      </c>
      <c r="C38" s="559" t="s">
        <v>390</v>
      </c>
      <c r="D38" s="468">
        <v>56.11</v>
      </c>
      <c r="E38" s="427">
        <v>11203</v>
      </c>
      <c r="F38" s="446">
        <v>1.12E-2</v>
      </c>
      <c r="G38" s="111">
        <v>0.6</v>
      </c>
      <c r="H38" s="437">
        <v>57.9</v>
      </c>
      <c r="I38" s="427">
        <v>25776</v>
      </c>
      <c r="J38" s="446">
        <v>1.0500000000000001E-2</v>
      </c>
      <c r="K38" s="121">
        <v>0.62</v>
      </c>
      <c r="L38" s="468">
        <v>66.459999999999994</v>
      </c>
      <c r="M38" s="427" t="s">
        <v>494</v>
      </c>
      <c r="N38" s="446">
        <v>9.2999999999999992E-3</v>
      </c>
      <c r="O38" s="111">
        <v>0.71</v>
      </c>
      <c r="P38" s="437">
        <v>64.69</v>
      </c>
      <c r="Q38" s="427"/>
      <c r="R38" s="446">
        <v>9.1000000000000004E-3</v>
      </c>
      <c r="S38" s="121">
        <v>0.69</v>
      </c>
      <c r="T38" s="468"/>
      <c r="U38" s="427"/>
      <c r="V38" s="446"/>
      <c r="W38" s="111"/>
      <c r="X38" s="437"/>
      <c r="Y38" s="427"/>
      <c r="Z38" s="446"/>
      <c r="AA38" s="121"/>
      <c r="AB38" s="468"/>
      <c r="AC38" s="427"/>
      <c r="AD38" s="446"/>
      <c r="AE38" s="111"/>
      <c r="AF38" s="437"/>
      <c r="AG38" s="427"/>
      <c r="AH38" s="446"/>
      <c r="AI38" s="121"/>
      <c r="AJ38" s="468"/>
      <c r="AK38" s="427"/>
      <c r="AL38" s="446"/>
      <c r="AM38" s="111"/>
      <c r="AN38" s="437"/>
      <c r="AO38" s="427"/>
      <c r="AP38" s="446"/>
      <c r="AQ38" s="121"/>
    </row>
    <row r="39" spans="1:43" s="514" customFormat="1">
      <c r="A39" s="588" t="s">
        <v>526</v>
      </c>
      <c r="B39" s="588" t="s">
        <v>525</v>
      </c>
      <c r="C39" s="559" t="s">
        <v>391</v>
      </c>
      <c r="D39" s="468">
        <v>106</v>
      </c>
      <c r="E39" s="427">
        <v>10045</v>
      </c>
      <c r="F39" s="446">
        <v>0.01</v>
      </c>
      <c r="G39" s="111">
        <v>0.81</v>
      </c>
      <c r="H39" s="437">
        <v>113.5</v>
      </c>
      <c r="I39" s="427">
        <v>12568</v>
      </c>
      <c r="J39" s="446">
        <v>9.2999999999999992E-3</v>
      </c>
      <c r="K39" s="121">
        <v>0.91</v>
      </c>
      <c r="L39" s="468">
        <v>115.98</v>
      </c>
      <c r="M39" s="427" t="s">
        <v>491</v>
      </c>
      <c r="N39" s="446">
        <v>8.8000000000000005E-3</v>
      </c>
      <c r="O39" s="111">
        <v>0.93</v>
      </c>
      <c r="P39" s="437">
        <v>122.85</v>
      </c>
      <c r="Q39" s="427"/>
      <c r="R39" s="446">
        <v>8.5000000000000006E-3</v>
      </c>
      <c r="S39" s="121">
        <v>0.99</v>
      </c>
      <c r="T39" s="468"/>
      <c r="U39" s="427"/>
      <c r="V39" s="446"/>
      <c r="W39" s="111"/>
      <c r="X39" s="437"/>
      <c r="Y39" s="427"/>
      <c r="Z39" s="446"/>
      <c r="AA39" s="121"/>
      <c r="AB39" s="468"/>
      <c r="AC39" s="427"/>
      <c r="AD39" s="446"/>
      <c r="AE39" s="111"/>
      <c r="AF39" s="437"/>
      <c r="AG39" s="427"/>
      <c r="AH39" s="446"/>
      <c r="AI39" s="121"/>
      <c r="AJ39" s="468"/>
      <c r="AK39" s="427"/>
      <c r="AL39" s="446"/>
      <c r="AM39" s="111"/>
      <c r="AN39" s="437"/>
      <c r="AO39" s="427"/>
      <c r="AP39" s="446"/>
      <c r="AQ39" s="121"/>
    </row>
    <row r="40" spans="1:43" s="514" customFormat="1" ht="15.75" thickBot="1">
      <c r="A40" s="588"/>
      <c r="B40" s="515"/>
      <c r="C40" s="561"/>
      <c r="D40" s="471"/>
      <c r="E40" s="428"/>
      <c r="F40" s="447"/>
      <c r="G40" s="517"/>
      <c r="H40" s="439"/>
      <c r="I40" s="428"/>
      <c r="J40" s="447"/>
      <c r="K40" s="429"/>
      <c r="L40" s="471"/>
      <c r="M40" s="428"/>
      <c r="N40" s="447"/>
      <c r="O40" s="517"/>
      <c r="P40" s="439"/>
      <c r="Q40" s="428"/>
      <c r="R40" s="447"/>
      <c r="S40" s="429"/>
      <c r="T40" s="471"/>
      <c r="U40" s="428"/>
      <c r="V40" s="447"/>
      <c r="W40" s="517"/>
      <c r="X40" s="439"/>
      <c r="Y40" s="428"/>
      <c r="Z40" s="447"/>
      <c r="AA40" s="429"/>
      <c r="AB40" s="471"/>
      <c r="AC40" s="428"/>
      <c r="AD40" s="447"/>
      <c r="AE40" s="517"/>
      <c r="AF40" s="439"/>
      <c r="AG40" s="428"/>
      <c r="AH40" s="447"/>
      <c r="AI40" s="429"/>
      <c r="AJ40" s="471"/>
      <c r="AK40" s="428"/>
      <c r="AL40" s="447"/>
      <c r="AM40" s="517"/>
      <c r="AN40" s="439"/>
      <c r="AO40" s="428"/>
      <c r="AP40" s="447"/>
      <c r="AQ40" s="429"/>
    </row>
    <row r="41" spans="1:43">
      <c r="F41" s="473">
        <f>SUM(F25:F36)/12</f>
        <v>1.0983333333333333E-2</v>
      </c>
      <c r="J41" s="473">
        <f>SUM(J25:J36)/12</f>
        <v>1.0816666666666667E-2</v>
      </c>
      <c r="N41" s="473">
        <f>SUM(N25:N36)/12</f>
        <v>1.0566666666666667E-2</v>
      </c>
      <c r="R41" s="473">
        <f>SUM(R25:R36)/12</f>
        <v>1.0116666666666666E-2</v>
      </c>
      <c r="V41" s="473">
        <f>SUM(V25:V36)/12</f>
        <v>0</v>
      </c>
      <c r="Z41" s="473">
        <f>SUM(Z25:Z36)/12</f>
        <v>0</v>
      </c>
      <c r="AD41" s="473">
        <f>SUM(AD25:AD36)/12</f>
        <v>0</v>
      </c>
      <c r="AH41" s="473">
        <f>SUM(AH25:AH36)/12</f>
        <v>0</v>
      </c>
      <c r="AL41" s="473">
        <f>SUM(AL25:AL36)/12</f>
        <v>0</v>
      </c>
      <c r="AP41" s="473">
        <f>SUM(AP25:AP36)/12</f>
        <v>0</v>
      </c>
    </row>
    <row r="42" spans="1:43">
      <c r="C42" s="445" t="s">
        <v>559</v>
      </c>
      <c r="F42" s="441"/>
    </row>
    <row r="43" spans="1:43">
      <c r="C43" s="445" t="s">
        <v>290</v>
      </c>
      <c r="D43" s="386">
        <v>67.989999999999995</v>
      </c>
      <c r="E43" s="386">
        <v>5937</v>
      </c>
      <c r="F43" s="441">
        <v>8.8999999999999996E-2</v>
      </c>
      <c r="G43" s="386">
        <v>1.78</v>
      </c>
      <c r="H43" s="530"/>
      <c r="J43" s="441"/>
      <c r="L43" s="530"/>
      <c r="M43" s="523"/>
      <c r="N43" s="441"/>
      <c r="O43" s="523"/>
      <c r="P43" s="530"/>
      <c r="Q43" s="523"/>
      <c r="R43" s="441"/>
      <c r="S43" s="523"/>
      <c r="T43" s="530"/>
      <c r="U43" s="523"/>
      <c r="V43" s="441"/>
      <c r="W43" s="523"/>
      <c r="X43" s="530"/>
      <c r="Y43" s="523"/>
      <c r="Z43" s="441"/>
      <c r="AA43" s="523"/>
      <c r="AB43" s="530"/>
      <c r="AC43" s="523"/>
      <c r="AD43" s="441"/>
      <c r="AE43" s="523"/>
      <c r="AF43" s="530"/>
      <c r="AG43" s="523"/>
      <c r="AH43" s="441"/>
      <c r="AI43" s="523"/>
      <c r="AJ43" s="530"/>
      <c r="AK43" s="523"/>
      <c r="AL43" s="441"/>
      <c r="AM43" s="523"/>
      <c r="AN43" s="530"/>
      <c r="AO43" s="523"/>
      <c r="AP43" s="441"/>
      <c r="AQ43" s="523"/>
    </row>
    <row r="44" spans="1:43">
      <c r="C44" s="445" t="s">
        <v>291</v>
      </c>
      <c r="D44" s="386">
        <v>10.210000000000001</v>
      </c>
      <c r="E44" s="386">
        <v>1723</v>
      </c>
      <c r="F44" s="442">
        <v>1.9099999999999999E-2</v>
      </c>
      <c r="G44" s="386">
        <v>2.5499999999999998</v>
      </c>
      <c r="H44" s="530"/>
      <c r="J44" s="441"/>
      <c r="L44" s="530"/>
      <c r="M44" s="523"/>
      <c r="N44" s="441"/>
      <c r="O44" s="523"/>
      <c r="P44" s="530"/>
      <c r="Q44" s="523"/>
      <c r="R44" s="441"/>
      <c r="S44" s="523"/>
      <c r="T44" s="530"/>
      <c r="U44" s="523"/>
      <c r="V44" s="441"/>
      <c r="W44" s="523"/>
      <c r="X44" s="530"/>
      <c r="Y44" s="523"/>
      <c r="Z44" s="441"/>
      <c r="AA44" s="523"/>
      <c r="AB44" s="530"/>
      <c r="AC44" s="523"/>
      <c r="AD44" s="441"/>
      <c r="AE44" s="523"/>
      <c r="AF44" s="530"/>
      <c r="AG44" s="523"/>
      <c r="AH44" s="441"/>
      <c r="AI44" s="523"/>
      <c r="AJ44" s="530"/>
      <c r="AK44" s="523"/>
      <c r="AL44" s="441"/>
      <c r="AM44" s="523"/>
      <c r="AN44" s="530"/>
      <c r="AO44" s="523"/>
      <c r="AP44" s="441"/>
      <c r="AQ44" s="523"/>
    </row>
    <row r="45" spans="1:43">
      <c r="C45" s="523" t="s">
        <v>403</v>
      </c>
      <c r="F45" s="441"/>
      <c r="H45" s="530">
        <v>99.09</v>
      </c>
      <c r="I45" s="386">
        <v>34992</v>
      </c>
      <c r="J45" s="441">
        <v>8.0999999999999996E-3</v>
      </c>
      <c r="K45" s="529">
        <v>1</v>
      </c>
      <c r="L45" s="530"/>
      <c r="M45" s="523"/>
      <c r="N45" s="441"/>
      <c r="O45" s="529"/>
      <c r="P45" s="530"/>
      <c r="Q45" s="523"/>
      <c r="R45" s="441"/>
      <c r="S45" s="529"/>
      <c r="T45" s="530"/>
      <c r="U45" s="523"/>
      <c r="V45" s="441"/>
      <c r="W45" s="529"/>
      <c r="X45" s="530"/>
      <c r="Y45" s="523"/>
      <c r="Z45" s="441"/>
      <c r="AA45" s="529"/>
      <c r="AB45" s="530"/>
      <c r="AC45" s="523"/>
      <c r="AD45" s="441"/>
      <c r="AE45" s="529"/>
      <c r="AF45" s="530"/>
      <c r="AG45" s="523"/>
      <c r="AH45" s="441"/>
      <c r="AI45" s="529"/>
      <c r="AJ45" s="530"/>
      <c r="AK45" s="523"/>
      <c r="AL45" s="441"/>
      <c r="AM45" s="529"/>
      <c r="AN45" s="530"/>
      <c r="AO45" s="523"/>
      <c r="AP45" s="441"/>
      <c r="AQ45" s="529"/>
    </row>
    <row r="46" spans="1:43">
      <c r="C46" s="523" t="s">
        <v>404</v>
      </c>
      <c r="F46" s="441"/>
      <c r="H46" s="530">
        <v>143</v>
      </c>
      <c r="I46" s="386">
        <v>20990</v>
      </c>
      <c r="J46" s="441">
        <v>8.8999999999999999E-3</v>
      </c>
      <c r="K46" s="529">
        <v>0.89</v>
      </c>
      <c r="L46" s="530"/>
      <c r="M46" s="523"/>
      <c r="N46" s="441"/>
      <c r="O46" s="529"/>
      <c r="P46" s="530"/>
      <c r="Q46" s="523"/>
      <c r="R46" s="441"/>
      <c r="S46" s="529"/>
      <c r="T46" s="530"/>
      <c r="U46" s="614" t="s">
        <v>560</v>
      </c>
      <c r="V46" s="441"/>
      <c r="W46" s="529"/>
      <c r="X46" s="530"/>
      <c r="Y46" s="523"/>
      <c r="Z46" s="441"/>
      <c r="AA46" s="529"/>
      <c r="AB46" s="530"/>
      <c r="AC46" s="523"/>
      <c r="AD46" s="441"/>
      <c r="AE46" s="529"/>
      <c r="AF46" s="530"/>
      <c r="AG46" s="523"/>
      <c r="AH46" s="441"/>
      <c r="AI46" s="529"/>
      <c r="AJ46" s="530"/>
      <c r="AK46" s="523"/>
      <c r="AL46" s="441"/>
      <c r="AM46" s="529"/>
      <c r="AN46" s="530"/>
      <c r="AO46" s="523"/>
      <c r="AP46" s="441"/>
      <c r="AQ46" s="529"/>
    </row>
    <row r="47" spans="1:43" s="514" customFormat="1">
      <c r="A47" s="588"/>
      <c r="B47" s="515"/>
      <c r="C47" s="443"/>
      <c r="F47" s="441"/>
      <c r="H47" s="530"/>
      <c r="J47" s="441"/>
      <c r="L47" s="530"/>
      <c r="M47" s="523"/>
      <c r="N47" s="441"/>
      <c r="O47" s="523"/>
      <c r="P47" s="530"/>
      <c r="Q47" s="523"/>
      <c r="R47" s="441"/>
      <c r="S47" s="1173" t="s">
        <v>555</v>
      </c>
      <c r="T47" s="600" t="s">
        <v>548</v>
      </c>
      <c r="U47" s="523"/>
      <c r="V47" s="441"/>
      <c r="W47" s="523"/>
      <c r="X47" s="530"/>
      <c r="Y47" s="523"/>
      <c r="Z47" s="441"/>
      <c r="AA47" s="523"/>
      <c r="AB47" s="530"/>
      <c r="AC47" s="523"/>
      <c r="AD47" s="441"/>
      <c r="AE47" s="523"/>
      <c r="AF47" s="530"/>
      <c r="AG47" s="523"/>
      <c r="AH47" s="441"/>
      <c r="AI47" s="523"/>
      <c r="AJ47" s="530"/>
      <c r="AK47" s="523"/>
      <c r="AL47" s="441"/>
      <c r="AM47" s="523"/>
      <c r="AN47" s="530"/>
      <c r="AO47" s="523"/>
      <c r="AP47" s="441"/>
      <c r="AQ47" s="523"/>
    </row>
    <row r="48" spans="1:43">
      <c r="D48" s="443"/>
      <c r="E48" s="444" t="s">
        <v>305</v>
      </c>
      <c r="R48" s="593"/>
      <c r="S48" s="1173"/>
      <c r="T48" s="427" t="s">
        <v>549</v>
      </c>
      <c r="V48" s="473">
        <f>U50/215</f>
        <v>1.3906976744186048E-2</v>
      </c>
    </row>
    <row r="49" spans="2:23">
      <c r="D49" s="445"/>
      <c r="E49" s="444" t="s">
        <v>293</v>
      </c>
      <c r="R49" s="593"/>
      <c r="S49" s="1173"/>
      <c r="T49" s="427" t="s">
        <v>550</v>
      </c>
      <c r="W49" s="441">
        <f>12*V48</f>
        <v>0.16688372093023257</v>
      </c>
    </row>
    <row r="50" spans="2:23">
      <c r="B50" s="590" t="s">
        <v>503</v>
      </c>
      <c r="R50" s="593"/>
      <c r="S50" s="1173"/>
      <c r="T50" s="427" t="s">
        <v>551</v>
      </c>
      <c r="U50" s="386">
        <v>2.99</v>
      </c>
    </row>
    <row r="51" spans="2:23">
      <c r="B51" s="590" t="s">
        <v>566</v>
      </c>
      <c r="R51" s="593"/>
      <c r="S51" s="1173" t="s">
        <v>554</v>
      </c>
      <c r="T51" s="427" t="s">
        <v>552</v>
      </c>
    </row>
    <row r="52" spans="2:23">
      <c r="B52" s="590" t="s">
        <v>504</v>
      </c>
      <c r="R52" s="593"/>
      <c r="S52" s="1173"/>
      <c r="T52" s="427" t="s">
        <v>553</v>
      </c>
    </row>
    <row r="53" spans="2:23">
      <c r="B53" s="590" t="s">
        <v>505</v>
      </c>
      <c r="R53" s="593"/>
      <c r="S53" s="1173"/>
      <c r="T53" s="427" t="s">
        <v>558</v>
      </c>
    </row>
    <row r="54" spans="2:23">
      <c r="B54" s="590" t="s">
        <v>506</v>
      </c>
      <c r="N54" s="589"/>
      <c r="T54" s="386">
        <f>SUM(T48:T53)</f>
        <v>0</v>
      </c>
    </row>
    <row r="55" spans="2:23">
      <c r="B55" s="590" t="s">
        <v>507</v>
      </c>
      <c r="N55" s="589"/>
    </row>
    <row r="56" spans="2:23">
      <c r="B56" s="590"/>
      <c r="N56" s="589"/>
      <c r="T56" s="386">
        <f>370-T54</f>
        <v>370</v>
      </c>
    </row>
    <row r="57" spans="2:23">
      <c r="B57" s="590" t="s">
        <v>512</v>
      </c>
      <c r="N57" s="589"/>
    </row>
    <row r="58" spans="2:23">
      <c r="B58" s="590" t="s">
        <v>508</v>
      </c>
      <c r="N58" s="589"/>
    </row>
    <row r="59" spans="2:23">
      <c r="B59" s="590" t="s">
        <v>567</v>
      </c>
      <c r="N59" s="589"/>
      <c r="O59" s="386" t="s">
        <v>563</v>
      </c>
      <c r="P59" s="386">
        <v>9.3000000000000007</v>
      </c>
      <c r="Q59" s="386">
        <v>1.04</v>
      </c>
      <c r="R59" s="441">
        <v>0.1699</v>
      </c>
    </row>
    <row r="60" spans="2:23">
      <c r="B60" s="592"/>
      <c r="N60" s="589"/>
      <c r="O60" s="386" t="s">
        <v>564</v>
      </c>
      <c r="P60" s="386">
        <v>88</v>
      </c>
      <c r="Q60" s="386">
        <v>0.95</v>
      </c>
      <c r="R60" s="441">
        <v>0.18379999999999999</v>
      </c>
    </row>
    <row r="61" spans="2:23">
      <c r="B61" s="590" t="s">
        <v>509</v>
      </c>
      <c r="M61" s="386" t="s">
        <v>568</v>
      </c>
      <c r="N61" s="589" t="s">
        <v>569</v>
      </c>
      <c r="O61" s="386" t="s">
        <v>565</v>
      </c>
      <c r="P61" s="386">
        <v>9.4</v>
      </c>
      <c r="Q61" s="386">
        <v>1</v>
      </c>
      <c r="R61" s="441">
        <v>0.18720000000000001</v>
      </c>
    </row>
    <row r="62" spans="2:23">
      <c r="B62" s="590" t="s">
        <v>510</v>
      </c>
      <c r="M62" s="386" t="s">
        <v>572</v>
      </c>
      <c r="N62" s="589" t="s">
        <v>571</v>
      </c>
      <c r="O62" s="386" t="s">
        <v>570</v>
      </c>
      <c r="P62" s="386">
        <v>8.59</v>
      </c>
      <c r="Q62" s="386">
        <v>0.89</v>
      </c>
      <c r="R62" s="441">
        <v>0.1653</v>
      </c>
    </row>
    <row r="63" spans="2:23">
      <c r="B63" s="590" t="s">
        <v>511</v>
      </c>
      <c r="N63" s="589"/>
    </row>
    <row r="64" spans="2:23">
      <c r="B64" s="590"/>
      <c r="N64" s="589"/>
    </row>
    <row r="65" spans="14:23">
      <c r="N65" s="589"/>
    </row>
    <row r="66" spans="14:23">
      <c r="N66" s="589"/>
    </row>
    <row r="67" spans="14:23">
      <c r="N67" s="589"/>
    </row>
    <row r="68" spans="14:23">
      <c r="N68" s="589"/>
    </row>
    <row r="71" spans="14:23">
      <c r="V71" s="598" t="s">
        <v>547</v>
      </c>
    </row>
    <row r="74" spans="14:23">
      <c r="P74" s="598" t="s">
        <v>540</v>
      </c>
      <c r="Q74" s="598" t="s">
        <v>275</v>
      </c>
      <c r="R74" s="598" t="s">
        <v>541</v>
      </c>
      <c r="S74" s="598" t="s">
        <v>542</v>
      </c>
      <c r="T74" s="598" t="s">
        <v>544</v>
      </c>
      <c r="U74" s="598" t="s">
        <v>543</v>
      </c>
      <c r="V74" s="598" t="s">
        <v>545</v>
      </c>
    </row>
    <row r="75" spans="14:23">
      <c r="P75" s="598" t="s">
        <v>243</v>
      </c>
      <c r="Q75" s="441">
        <v>0.1232</v>
      </c>
      <c r="R75" s="530">
        <v>178.89999999999998</v>
      </c>
      <c r="S75" s="386">
        <v>18</v>
      </c>
      <c r="T75" s="603">
        <f>R75/S75</f>
        <v>9.9388888888888882</v>
      </c>
      <c r="U75" s="507">
        <v>10.9</v>
      </c>
      <c r="V75" s="386" t="str">
        <f>IF(U75&gt;T75,"VENDER",IF(U75&lt;T75,"COMPRAR",0))</f>
        <v>VENDER</v>
      </c>
    </row>
    <row r="76" spans="14:23">
      <c r="P76" s="598" t="s">
        <v>242</v>
      </c>
      <c r="Q76" s="605">
        <v>0.1028</v>
      </c>
      <c r="R76" s="530">
        <v>115.37</v>
      </c>
      <c r="S76" s="386">
        <v>15</v>
      </c>
      <c r="T76" s="603">
        <f t="shared" ref="T76:T88" si="0">R76/S76</f>
        <v>7.6913333333333336</v>
      </c>
      <c r="U76" s="604">
        <v>8.5</v>
      </c>
      <c r="V76" s="443" t="str">
        <f t="shared" ref="V76:V88" si="1">IF(U76&gt;T76,"VENDER",IF(U76&lt;T76,"COMPRAR",0))</f>
        <v>VENDER</v>
      </c>
      <c r="W76" s="386">
        <v>8.67</v>
      </c>
    </row>
    <row r="77" spans="14:23">
      <c r="P77" s="598" t="s">
        <v>241</v>
      </c>
      <c r="Q77" s="607">
        <v>0.1779</v>
      </c>
      <c r="R77" s="530">
        <v>2172.8899999999994</v>
      </c>
      <c r="S77" s="386">
        <v>23</v>
      </c>
      <c r="T77" s="603">
        <f t="shared" si="0"/>
        <v>94.473478260869541</v>
      </c>
      <c r="U77" s="507">
        <v>95.49</v>
      </c>
      <c r="V77" s="598" t="str">
        <f t="shared" si="1"/>
        <v>VENDER</v>
      </c>
    </row>
    <row r="78" spans="14:23">
      <c r="P78" s="598" t="s">
        <v>240</v>
      </c>
      <c r="Q78" s="441">
        <v>0.13170000000000001</v>
      </c>
      <c r="R78" s="530">
        <v>170.07999999999998</v>
      </c>
      <c r="S78" s="386">
        <v>18</v>
      </c>
      <c r="T78" s="603">
        <f t="shared" si="0"/>
        <v>9.448888888888888</v>
      </c>
      <c r="U78" s="507">
        <v>9.58</v>
      </c>
      <c r="V78" s="598" t="str">
        <f t="shared" si="1"/>
        <v>VENDER</v>
      </c>
    </row>
    <row r="79" spans="14:23">
      <c r="P79" s="598" t="s">
        <v>237</v>
      </c>
      <c r="Q79" s="441">
        <v>0.13</v>
      </c>
      <c r="R79" s="530">
        <v>103.33</v>
      </c>
      <c r="S79" s="386">
        <v>1</v>
      </c>
      <c r="T79" s="603">
        <f t="shared" si="0"/>
        <v>103.33</v>
      </c>
      <c r="U79" s="507">
        <v>87.91</v>
      </c>
      <c r="V79" s="606" t="str">
        <f t="shared" si="1"/>
        <v>COMPRAR</v>
      </c>
    </row>
    <row r="80" spans="14:23">
      <c r="P80" s="598" t="s">
        <v>236</v>
      </c>
      <c r="Q80" s="441">
        <v>0.1376</v>
      </c>
      <c r="R80" s="530">
        <v>863.09999999999991</v>
      </c>
      <c r="S80" s="386">
        <v>111</v>
      </c>
      <c r="T80" s="603">
        <f t="shared" si="0"/>
        <v>7.7756756756756751</v>
      </c>
      <c r="U80" s="507">
        <v>7.9</v>
      </c>
      <c r="V80" s="598" t="str">
        <f t="shared" si="1"/>
        <v>VENDER</v>
      </c>
    </row>
    <row r="81" spans="16:24">
      <c r="P81" s="598" t="s">
        <v>235</v>
      </c>
      <c r="Q81" s="605">
        <v>0.11310000000000001</v>
      </c>
      <c r="R81" s="530">
        <v>396.89</v>
      </c>
      <c r="S81" s="386">
        <v>5</v>
      </c>
      <c r="T81" s="603">
        <f t="shared" si="0"/>
        <v>79.378</v>
      </c>
      <c r="U81" s="507">
        <v>81.87</v>
      </c>
      <c r="V81" s="606" t="str">
        <f t="shared" si="1"/>
        <v>VENDER</v>
      </c>
      <c r="W81" s="444" t="s">
        <v>546</v>
      </c>
    </row>
    <row r="82" spans="16:24">
      <c r="P82" s="598" t="s">
        <v>234</v>
      </c>
      <c r="Q82" s="607">
        <v>0.15890000000000001</v>
      </c>
      <c r="R82" s="530">
        <v>1798.6499999999999</v>
      </c>
      <c r="S82" s="386">
        <v>19</v>
      </c>
      <c r="T82" s="603">
        <f t="shared" si="0"/>
        <v>94.6657894736842</v>
      </c>
      <c r="U82" s="507">
        <v>98.17</v>
      </c>
      <c r="V82" s="598" t="str">
        <f t="shared" si="1"/>
        <v>VENDER</v>
      </c>
    </row>
    <row r="83" spans="16:24">
      <c r="P83" s="598" t="s">
        <v>342</v>
      </c>
      <c r="Q83" s="441">
        <v>0.12520000000000001</v>
      </c>
      <c r="R83" s="530">
        <v>943.94</v>
      </c>
      <c r="S83" s="386">
        <v>15</v>
      </c>
      <c r="T83" s="603">
        <f t="shared" si="0"/>
        <v>62.929333333333339</v>
      </c>
      <c r="U83" s="507">
        <v>70.849999999999994</v>
      </c>
      <c r="V83" s="598" t="str">
        <f t="shared" si="1"/>
        <v>VENDER</v>
      </c>
    </row>
    <row r="84" spans="16:24">
      <c r="P84" s="598" t="s">
        <v>238</v>
      </c>
      <c r="Q84" s="605">
        <v>0.11169999999999999</v>
      </c>
      <c r="R84" s="530">
        <v>176.57999999999998</v>
      </c>
      <c r="S84" s="386">
        <v>2</v>
      </c>
      <c r="T84" s="603">
        <f t="shared" si="0"/>
        <v>88.289999999999992</v>
      </c>
      <c r="U84" s="507">
        <v>98.69</v>
      </c>
      <c r="V84" s="443" t="str">
        <f t="shared" si="1"/>
        <v>VENDER</v>
      </c>
      <c r="W84" s="386">
        <v>97.44</v>
      </c>
    </row>
    <row r="85" spans="16:24">
      <c r="P85" s="598" t="s">
        <v>292</v>
      </c>
      <c r="Q85" s="607">
        <v>0.1401</v>
      </c>
      <c r="R85" s="530">
        <v>712.24</v>
      </c>
      <c r="S85" s="598">
        <v>6</v>
      </c>
      <c r="T85" s="603">
        <f t="shared" si="0"/>
        <v>118.70666666666666</v>
      </c>
      <c r="U85" s="507">
        <v>121.71</v>
      </c>
      <c r="V85" s="598" t="str">
        <f t="shared" si="1"/>
        <v>VENDER</v>
      </c>
    </row>
    <row r="86" spans="16:24">
      <c r="P86" s="598" t="s">
        <v>345</v>
      </c>
      <c r="Q86" s="607">
        <v>0.16550000000000001</v>
      </c>
      <c r="R86" s="530">
        <v>1314.5600000000002</v>
      </c>
      <c r="S86" s="598">
        <v>135</v>
      </c>
      <c r="T86" s="603">
        <f t="shared" si="0"/>
        <v>9.737481481481483</v>
      </c>
      <c r="U86" s="507">
        <v>9.5299999999999994</v>
      </c>
      <c r="V86" s="598" t="str">
        <f t="shared" si="1"/>
        <v>COMPRAR</v>
      </c>
    </row>
    <row r="87" spans="16:24">
      <c r="P87" s="598" t="s">
        <v>390</v>
      </c>
      <c r="Q87" s="605">
        <v>0.1172</v>
      </c>
      <c r="R87" s="530">
        <v>288.81</v>
      </c>
      <c r="S87" s="598">
        <v>5</v>
      </c>
      <c r="T87" s="603">
        <f t="shared" si="0"/>
        <v>57.762</v>
      </c>
      <c r="U87" s="507">
        <v>64.69</v>
      </c>
      <c r="V87" s="598" t="str">
        <f t="shared" si="1"/>
        <v>VENDER</v>
      </c>
      <c r="W87" s="386">
        <v>62.97</v>
      </c>
      <c r="X87" s="386">
        <v>314</v>
      </c>
    </row>
    <row r="88" spans="16:24">
      <c r="P88" s="598" t="s">
        <v>391</v>
      </c>
      <c r="Q88" s="605">
        <v>9.6199999999999994E-2</v>
      </c>
      <c r="R88" s="530">
        <v>100.49</v>
      </c>
      <c r="S88" s="598">
        <v>1</v>
      </c>
      <c r="T88" s="603">
        <f t="shared" si="0"/>
        <v>100.49</v>
      </c>
      <c r="U88" s="507">
        <v>122.85</v>
      </c>
      <c r="V88" s="443" t="str">
        <f t="shared" si="1"/>
        <v>VENDER</v>
      </c>
      <c r="W88" s="529">
        <v>123.33</v>
      </c>
    </row>
    <row r="89" spans="16:24">
      <c r="Q89" s="441"/>
      <c r="U89" s="598"/>
    </row>
    <row r="90" spans="16:24">
      <c r="Q90" s="441"/>
    </row>
    <row r="91" spans="16:24">
      <c r="Q91" s="441"/>
    </row>
  </sheetData>
  <sortState ref="C3:F13">
    <sortCondition ref="C3"/>
  </sortState>
  <mergeCells count="26">
    <mergeCell ref="S47:S50"/>
    <mergeCell ref="D22:F22"/>
    <mergeCell ref="G22:I22"/>
    <mergeCell ref="V1:X1"/>
    <mergeCell ref="S51:S53"/>
    <mergeCell ref="Y1:AA1"/>
    <mergeCell ref="AB1:AD1"/>
    <mergeCell ref="AE1:AG1"/>
    <mergeCell ref="C1:C2"/>
    <mergeCell ref="D1:F1"/>
    <mergeCell ref="G1:I1"/>
    <mergeCell ref="J1:L1"/>
    <mergeCell ref="M1:O1"/>
    <mergeCell ref="P1:R1"/>
    <mergeCell ref="S1:U1"/>
    <mergeCell ref="AJ23:AM23"/>
    <mergeCell ref="AN23:AQ23"/>
    <mergeCell ref="C23:C24"/>
    <mergeCell ref="D23:G23"/>
    <mergeCell ref="H23:K23"/>
    <mergeCell ref="X23:AA23"/>
    <mergeCell ref="AB23:AE23"/>
    <mergeCell ref="AF23:AI23"/>
    <mergeCell ref="L23:O23"/>
    <mergeCell ref="P23:S23"/>
    <mergeCell ref="T23:W23"/>
  </mergeCells>
  <hyperlinks>
    <hyperlink ref="B50" r:id="rId1"/>
    <hyperlink ref="B52" r:id="rId2"/>
    <hyperlink ref="B53" r:id="rId3"/>
    <hyperlink ref="B54" r:id="rId4"/>
    <hyperlink ref="B55" r:id="rId5"/>
    <hyperlink ref="B57" r:id="rId6"/>
    <hyperlink ref="B58" r:id="rId7"/>
    <hyperlink ref="B61" r:id="rId8"/>
    <hyperlink ref="B62" r:id="rId9"/>
    <hyperlink ref="B63" r:id="rId10"/>
    <hyperlink ref="B51" r:id="rId11"/>
    <hyperlink ref="B59" r:id="rId12"/>
  </hyperlinks>
  <pageMargins left="0.511811024" right="0.511811024" top="0.78740157499999996" bottom="0.78740157499999996" header="0.31496062000000002" footer="0.31496062000000002"/>
  <pageSetup paperSize="9" orientation="portrait" r:id="rId1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P240"/>
  <sheetViews>
    <sheetView topLeftCell="G1" workbookViewId="0">
      <selection activeCell="U5" sqref="U5"/>
    </sheetView>
  </sheetViews>
  <sheetFormatPr defaultRowHeight="15"/>
  <cols>
    <col min="1" max="1" width="5" hidden="1" customWidth="1"/>
    <col min="2" max="2" width="9.140625" hidden="1" customWidth="1"/>
    <col min="3" max="4" width="9.140625" style="1" hidden="1" customWidth="1"/>
    <col min="5" max="5" width="2.85546875" style="1" customWidth="1"/>
    <col min="6" max="6" width="16.5703125" bestFit="1" customWidth="1"/>
    <col min="7" max="7" width="5.140625" bestFit="1" customWidth="1"/>
    <col min="8" max="8" width="13.140625" bestFit="1" customWidth="1"/>
    <col min="9" max="9" width="13.140625" customWidth="1"/>
    <col min="10" max="10" width="9.7109375" bestFit="1" customWidth="1"/>
    <col min="12" max="12" width="8.5703125" bestFit="1" customWidth="1"/>
    <col min="13" max="13" width="9.85546875" bestFit="1" customWidth="1"/>
    <col min="14" max="14" width="13.140625" bestFit="1" customWidth="1"/>
    <col min="15" max="15" width="7" bestFit="1" customWidth="1"/>
    <col min="16" max="16" width="14.7109375" bestFit="1" customWidth="1"/>
    <col min="17" max="17" width="13.28515625" bestFit="1" customWidth="1"/>
    <col min="18" max="18" width="12.140625" bestFit="1" customWidth="1"/>
    <col min="19" max="19" width="10.5703125" bestFit="1" customWidth="1"/>
    <col min="20" max="20" width="12.140625" bestFit="1" customWidth="1"/>
    <col min="21" max="21" width="13.28515625" bestFit="1" customWidth="1"/>
    <col min="23" max="23" width="11.140625" bestFit="1" customWidth="1"/>
    <col min="24" max="24" width="9.28515625" bestFit="1" customWidth="1"/>
    <col min="25" max="25" width="11" bestFit="1" customWidth="1"/>
    <col min="26" max="26" width="8.42578125" bestFit="1" customWidth="1"/>
    <col min="27" max="42" width="9.140625" style="1"/>
  </cols>
  <sheetData>
    <row r="1" spans="2:26" s="1" customFormat="1"/>
    <row r="2" spans="2:26">
      <c r="F2" s="1177" t="s">
        <v>329</v>
      </c>
      <c r="G2" s="1177"/>
      <c r="H2" s="1177"/>
      <c r="I2" s="1177"/>
      <c r="J2" s="1177"/>
      <c r="K2" s="1177"/>
      <c r="L2" s="1177"/>
      <c r="M2" s="1177" t="s">
        <v>330</v>
      </c>
      <c r="N2" s="1177"/>
      <c r="O2" s="1177"/>
      <c r="P2" s="1175" t="s">
        <v>331</v>
      </c>
      <c r="Q2" s="903"/>
      <c r="R2" s="903"/>
      <c r="S2" s="903"/>
      <c r="T2" s="903"/>
      <c r="U2" s="903"/>
      <c r="V2" s="903"/>
      <c r="W2" s="903"/>
      <c r="X2" s="903"/>
      <c r="Y2" s="903"/>
      <c r="Z2" s="903"/>
    </row>
    <row r="3" spans="2:26">
      <c r="F3" s="1177"/>
      <c r="G3" s="1177"/>
      <c r="H3" s="1177"/>
      <c r="I3" s="1177"/>
      <c r="J3" s="1177"/>
      <c r="K3" s="1177"/>
      <c r="L3" s="1177"/>
      <c r="M3" s="1177"/>
      <c r="N3" s="1177"/>
      <c r="O3" s="1178"/>
      <c r="P3" s="460"/>
      <c r="Q3" s="1176" t="s">
        <v>328</v>
      </c>
      <c r="R3" s="903"/>
      <c r="S3" s="903"/>
      <c r="T3" s="903"/>
      <c r="U3" s="903"/>
      <c r="V3" s="903" t="s">
        <v>327</v>
      </c>
      <c r="W3" s="903"/>
      <c r="X3" s="903"/>
      <c r="Y3" s="903"/>
      <c r="Z3" s="903"/>
    </row>
    <row r="4" spans="2:26">
      <c r="F4" s="459" t="s">
        <v>317</v>
      </c>
      <c r="G4" s="459" t="s">
        <v>315</v>
      </c>
      <c r="H4" s="459" t="s">
        <v>316</v>
      </c>
      <c r="I4" s="459" t="s">
        <v>337</v>
      </c>
      <c r="J4" s="459" t="s">
        <v>163</v>
      </c>
      <c r="K4" s="459" t="s">
        <v>332</v>
      </c>
      <c r="L4" s="459" t="s">
        <v>322</v>
      </c>
      <c r="M4" s="459" t="s">
        <v>318</v>
      </c>
      <c r="N4" s="459" t="s">
        <v>319</v>
      </c>
      <c r="O4" s="459" t="s">
        <v>321</v>
      </c>
      <c r="P4" s="460" t="s">
        <v>325</v>
      </c>
      <c r="Q4" s="459" t="s">
        <v>324</v>
      </c>
      <c r="R4" s="459" t="s">
        <v>333</v>
      </c>
      <c r="S4" s="459" t="s">
        <v>323</v>
      </c>
      <c r="T4" s="459" t="s">
        <v>334</v>
      </c>
      <c r="U4" s="459" t="s">
        <v>326</v>
      </c>
      <c r="V4" s="459" t="s">
        <v>324</v>
      </c>
      <c r="W4" s="459" t="s">
        <v>333</v>
      </c>
      <c r="X4" s="459" t="s">
        <v>323</v>
      </c>
      <c r="Y4" s="459" t="s">
        <v>334</v>
      </c>
      <c r="Z4" s="459" t="s">
        <v>326</v>
      </c>
    </row>
    <row r="5" spans="2:26">
      <c r="B5" s="896" t="s">
        <v>162</v>
      </c>
      <c r="C5" s="896"/>
      <c r="D5" s="1" t="s">
        <v>177</v>
      </c>
      <c r="F5" s="461" t="s">
        <v>320</v>
      </c>
      <c r="G5" s="461" t="s">
        <v>177</v>
      </c>
      <c r="H5" s="461" t="s">
        <v>310</v>
      </c>
      <c r="I5" s="462">
        <v>1.25</v>
      </c>
      <c r="J5" s="462">
        <v>0.13650000000000001</v>
      </c>
      <c r="K5" s="462">
        <v>0.14649999999999999</v>
      </c>
      <c r="L5" s="210">
        <f>IF(G5="CDB",IF(O5&lt;181,0.225,IF(O5&lt;361,0.2,IF(O5&lt;721,0.175,0.15))),0)</f>
        <v>0.2</v>
      </c>
      <c r="M5" s="463">
        <v>44928</v>
      </c>
      <c r="N5" s="463">
        <v>45288</v>
      </c>
      <c r="O5" s="459">
        <f>N5-M5</f>
        <v>360</v>
      </c>
      <c r="P5" s="464">
        <v>1001.62</v>
      </c>
      <c r="Q5" s="465">
        <f>IF(H5="PÓS",P5*(1+(I5*J5))^(O5/360),P5*(1+K5)^(O5/360))</f>
        <v>1148.35733</v>
      </c>
      <c r="R5" s="465">
        <f>Q5-P5</f>
        <v>146.73733000000004</v>
      </c>
      <c r="S5" s="465">
        <f>(Q5-P5)*L5</f>
        <v>29.347466000000011</v>
      </c>
      <c r="T5" s="465">
        <f>R5-S5</f>
        <v>117.38986400000003</v>
      </c>
      <c r="U5" s="465">
        <f>T5+P5</f>
        <v>1119.0098640000001</v>
      </c>
      <c r="V5" s="464"/>
      <c r="W5" s="464"/>
      <c r="X5" s="464"/>
      <c r="Y5" s="464"/>
      <c r="Z5" s="464"/>
    </row>
    <row r="6" spans="2:26" s="1" customFormat="1">
      <c r="B6" s="449">
        <v>180</v>
      </c>
      <c r="C6" s="457">
        <v>0.22500000000000001</v>
      </c>
      <c r="D6" s="1" t="s">
        <v>311</v>
      </c>
      <c r="F6" s="461" t="s">
        <v>320</v>
      </c>
      <c r="G6" s="461" t="s">
        <v>177</v>
      </c>
      <c r="H6" s="461" t="s">
        <v>310</v>
      </c>
      <c r="I6" s="462"/>
      <c r="J6" s="462"/>
      <c r="K6" s="462">
        <v>0.14549999999999999</v>
      </c>
      <c r="L6" s="210">
        <f>IF(G6="CDB",IF(O6&lt;181,0.225,IF(O6&lt;361,0.2,IF(O6&lt;721,0.175,0.15))),0)</f>
        <v>0.17499999999999999</v>
      </c>
      <c r="M6" s="463">
        <v>44949</v>
      </c>
      <c r="N6" s="463">
        <v>45314</v>
      </c>
      <c r="O6" s="459">
        <f>N6-M6</f>
        <v>365</v>
      </c>
      <c r="P6" s="464">
        <v>1000</v>
      </c>
      <c r="Q6" s="465">
        <f t="shared" ref="Q6:Q14" si="0">IF(H6="PÓS",P6*(1+(I6*J6))^(O6/360),P6*(1+K6)^(O6/360))</f>
        <v>1147.6632361523057</v>
      </c>
      <c r="R6" s="465">
        <f>Q6-P6</f>
        <v>147.66323615230567</v>
      </c>
      <c r="S6" s="465">
        <f>(Q6-P6)*L6</f>
        <v>25.84106632665349</v>
      </c>
      <c r="T6" s="465">
        <f>R6-S6</f>
        <v>121.82216982565218</v>
      </c>
      <c r="U6" s="465">
        <f>T6+P6</f>
        <v>1121.8221698256523</v>
      </c>
      <c r="V6" s="464"/>
      <c r="W6" s="464"/>
      <c r="X6" s="464"/>
      <c r="Y6" s="464"/>
      <c r="Z6" s="464"/>
    </row>
    <row r="7" spans="2:26" s="1" customFormat="1">
      <c r="B7" s="449" t="s">
        <v>170</v>
      </c>
      <c r="C7" s="457">
        <v>0.2</v>
      </c>
      <c r="D7" s="1" t="s">
        <v>312</v>
      </c>
      <c r="F7" s="461" t="s">
        <v>320</v>
      </c>
      <c r="G7" s="461" t="s">
        <v>177</v>
      </c>
      <c r="H7" s="461" t="s">
        <v>310</v>
      </c>
      <c r="I7" s="462"/>
      <c r="J7" s="462"/>
      <c r="K7" s="462">
        <v>0.14649999999999999</v>
      </c>
      <c r="L7" s="210">
        <f>IF(G7="CDB",IF(O7&lt;181,0.225,IF(O7&lt;361,0.2,IF(O7&lt;721,0.175,0.15))),0)</f>
        <v>0.2</v>
      </c>
      <c r="M7" s="463">
        <v>44928</v>
      </c>
      <c r="N7" s="463">
        <v>45288</v>
      </c>
      <c r="O7" s="459">
        <f>N7-M7</f>
        <v>360</v>
      </c>
      <c r="P7" s="464">
        <v>1001.62</v>
      </c>
      <c r="Q7" s="465">
        <f t="shared" si="0"/>
        <v>1148.35733</v>
      </c>
      <c r="R7" s="465">
        <f>Q7-P7</f>
        <v>146.73733000000004</v>
      </c>
      <c r="S7" s="465">
        <f>(Q7-P7)*L7</f>
        <v>29.347466000000011</v>
      </c>
      <c r="T7" s="465">
        <f>R7-S7</f>
        <v>117.38986400000003</v>
      </c>
      <c r="U7" s="465">
        <f>T7+P7</f>
        <v>1119.0098640000001</v>
      </c>
      <c r="V7" s="464"/>
      <c r="W7" s="464"/>
      <c r="X7" s="464"/>
      <c r="Y7" s="464"/>
      <c r="Z7" s="464"/>
    </row>
    <row r="8" spans="2:26" s="1" customFormat="1">
      <c r="B8" s="449" t="s">
        <v>172</v>
      </c>
      <c r="C8" s="457">
        <v>0.17499999999999999</v>
      </c>
      <c r="D8" s="1" t="s">
        <v>313</v>
      </c>
      <c r="F8" s="461" t="s">
        <v>338</v>
      </c>
      <c r="G8" s="461" t="s">
        <v>311</v>
      </c>
      <c r="H8" s="461"/>
      <c r="I8" s="462"/>
      <c r="J8" s="462"/>
      <c r="K8" s="462">
        <v>0.12</v>
      </c>
      <c r="L8" s="210">
        <f>IF(G8="CDB",IF(O8&lt;181,0.225,IF(O8&lt;361,0.2,IF(O8&lt;721,0.175,0.15))),0)</f>
        <v>0</v>
      </c>
      <c r="M8" s="463">
        <v>45001</v>
      </c>
      <c r="N8" s="463">
        <v>45331</v>
      </c>
      <c r="O8" s="459">
        <f>N8-M8</f>
        <v>330</v>
      </c>
      <c r="P8" s="464">
        <v>2000</v>
      </c>
      <c r="Q8" s="465">
        <f t="shared" si="0"/>
        <v>2218.9448913923275</v>
      </c>
      <c r="R8" s="465">
        <f>Q8-P8</f>
        <v>218.94489139232746</v>
      </c>
      <c r="S8" s="465">
        <f>(Q8-P8)*L8</f>
        <v>0</v>
      </c>
      <c r="T8" s="465">
        <f>R8-S8</f>
        <v>218.94489139232746</v>
      </c>
      <c r="U8" s="465">
        <f>T8+P8</f>
        <v>2218.9448913923275</v>
      </c>
      <c r="V8" s="464"/>
      <c r="W8" s="464"/>
      <c r="X8" s="464"/>
      <c r="Y8" s="464"/>
      <c r="Z8" s="464"/>
    </row>
    <row r="9" spans="2:26" s="1" customFormat="1">
      <c r="B9" s="449">
        <v>720</v>
      </c>
      <c r="C9" s="457">
        <v>0.15</v>
      </c>
      <c r="F9" s="461" t="s">
        <v>344</v>
      </c>
      <c r="G9" s="461" t="s">
        <v>177</v>
      </c>
      <c r="H9" s="461" t="s">
        <v>314</v>
      </c>
      <c r="I9" s="462">
        <v>1.0900000000000001</v>
      </c>
      <c r="J9" s="462">
        <v>0.13650000000000001</v>
      </c>
      <c r="K9" s="198"/>
      <c r="L9" s="210">
        <f>IF(G9="CDB",IF(O9&lt;181,0.225,IF(O9&lt;361,0.2,IF(O9&lt;721,0.175,0.15))),0)</f>
        <v>0.2</v>
      </c>
      <c r="M9" s="463">
        <v>45019</v>
      </c>
      <c r="N9" s="463">
        <v>45376</v>
      </c>
      <c r="O9" s="459">
        <f>N9-M9</f>
        <v>357</v>
      </c>
      <c r="P9" s="464">
        <v>3000</v>
      </c>
      <c r="Q9" s="465">
        <f t="shared" si="0"/>
        <v>3442.3737497289376</v>
      </c>
      <c r="R9" s="465">
        <f>Q9-P9</f>
        <v>442.37374972893758</v>
      </c>
      <c r="S9" s="465">
        <f>(Q9-P9)*L9</f>
        <v>88.474749945787522</v>
      </c>
      <c r="T9" s="465">
        <f>R9-S9</f>
        <v>353.89899978315009</v>
      </c>
      <c r="U9" s="465">
        <f>T9+P9</f>
        <v>3353.89899978315</v>
      </c>
      <c r="V9" s="464"/>
      <c r="W9" s="464"/>
      <c r="X9" s="464"/>
      <c r="Y9" s="464"/>
      <c r="Z9" s="464"/>
    </row>
    <row r="10" spans="2:26" s="1" customFormat="1">
      <c r="F10" s="461" t="s">
        <v>496</v>
      </c>
      <c r="G10" s="461" t="s">
        <v>311</v>
      </c>
      <c r="H10" s="461"/>
      <c r="I10" s="462"/>
      <c r="J10" s="462"/>
      <c r="K10" s="198">
        <v>0.11</v>
      </c>
      <c r="L10" s="210">
        <f t="shared" ref="L10:L14" si="1">IF(G10="CDB",IF(O10&lt;181,0.225,IF(O10&lt;361,0.2,IF(O10&lt;721,0.175,0.15))),0)</f>
        <v>0</v>
      </c>
      <c r="M10" s="463">
        <v>45079</v>
      </c>
      <c r="N10" s="463">
        <v>45439</v>
      </c>
      <c r="O10" s="459">
        <f t="shared" ref="O10:O14" si="2">N10-M10</f>
        <v>360</v>
      </c>
      <c r="P10" s="464">
        <v>1000</v>
      </c>
      <c r="Q10" s="465">
        <f t="shared" si="0"/>
        <v>1110</v>
      </c>
      <c r="R10" s="465">
        <f t="shared" ref="R10:R14" si="3">Q10-P10</f>
        <v>110</v>
      </c>
      <c r="S10" s="465">
        <f t="shared" ref="S10:S14" si="4">(Q10-P10)*L10</f>
        <v>0</v>
      </c>
      <c r="T10" s="465">
        <f t="shared" ref="T10:T14" si="5">R10-S10</f>
        <v>110</v>
      </c>
      <c r="U10" s="465">
        <f t="shared" ref="U10:U14" si="6">T10+P10</f>
        <v>1110</v>
      </c>
      <c r="V10" s="464"/>
      <c r="W10" s="464"/>
      <c r="X10" s="464"/>
      <c r="Y10" s="464"/>
      <c r="Z10" s="464"/>
    </row>
    <row r="11" spans="2:26" s="1" customFormat="1">
      <c r="D11" s="1" t="s">
        <v>310</v>
      </c>
      <c r="F11" s="461" t="s">
        <v>497</v>
      </c>
      <c r="G11" s="461" t="s">
        <v>311</v>
      </c>
      <c r="H11" s="461"/>
      <c r="I11" s="462"/>
      <c r="J11" s="462"/>
      <c r="K11" s="198">
        <v>0.11</v>
      </c>
      <c r="L11" s="210">
        <f t="shared" si="1"/>
        <v>0</v>
      </c>
      <c r="M11" s="463">
        <v>45079</v>
      </c>
      <c r="N11" s="463">
        <v>45425</v>
      </c>
      <c r="O11" s="459">
        <f t="shared" si="2"/>
        <v>346</v>
      </c>
      <c r="P11" s="464">
        <v>1004.14</v>
      </c>
      <c r="Q11" s="465">
        <f t="shared" si="0"/>
        <v>1110.0810426587338</v>
      </c>
      <c r="R11" s="465">
        <f t="shared" si="3"/>
        <v>105.94104265873386</v>
      </c>
      <c r="S11" s="465">
        <f t="shared" si="4"/>
        <v>0</v>
      </c>
      <c r="T11" s="465">
        <f t="shared" si="5"/>
        <v>105.94104265873386</v>
      </c>
      <c r="U11" s="465">
        <f t="shared" si="6"/>
        <v>1110.0810426587338</v>
      </c>
      <c r="V11" s="464"/>
      <c r="W11" s="464"/>
      <c r="X11" s="464"/>
      <c r="Y11" s="464"/>
      <c r="Z11" s="464"/>
    </row>
    <row r="12" spans="2:26" s="1" customFormat="1">
      <c r="D12" s="1" t="s">
        <v>314</v>
      </c>
      <c r="F12" s="461" t="s">
        <v>496</v>
      </c>
      <c r="G12" s="461" t="s">
        <v>311</v>
      </c>
      <c r="H12" s="461"/>
      <c r="I12" s="462"/>
      <c r="J12" s="462"/>
      <c r="K12" s="198">
        <v>0.11</v>
      </c>
      <c r="L12" s="210">
        <f t="shared" si="1"/>
        <v>0</v>
      </c>
      <c r="M12" s="463">
        <v>45083</v>
      </c>
      <c r="N12" s="463">
        <v>45443</v>
      </c>
      <c r="O12" s="459">
        <f t="shared" si="2"/>
        <v>360</v>
      </c>
      <c r="P12" s="464">
        <v>1000</v>
      </c>
      <c r="Q12" s="465">
        <f t="shared" si="0"/>
        <v>1110</v>
      </c>
      <c r="R12" s="465">
        <f t="shared" si="3"/>
        <v>110</v>
      </c>
      <c r="S12" s="465">
        <f t="shared" si="4"/>
        <v>0</v>
      </c>
      <c r="T12" s="465">
        <f t="shared" si="5"/>
        <v>110</v>
      </c>
      <c r="U12" s="465">
        <f t="shared" si="6"/>
        <v>1110</v>
      </c>
      <c r="V12" s="464"/>
      <c r="W12" s="464"/>
      <c r="X12" s="464"/>
      <c r="Y12" s="464"/>
      <c r="Z12" s="464"/>
    </row>
    <row r="13" spans="2:26" s="1" customFormat="1">
      <c r="F13" s="461"/>
      <c r="G13" s="461"/>
      <c r="H13" s="461"/>
      <c r="I13" s="462"/>
      <c r="J13" s="462"/>
      <c r="K13" s="198"/>
      <c r="L13" s="210">
        <f t="shared" si="1"/>
        <v>0</v>
      </c>
      <c r="M13" s="463"/>
      <c r="N13" s="463"/>
      <c r="O13" s="459">
        <f t="shared" si="2"/>
        <v>0</v>
      </c>
      <c r="P13" s="464"/>
      <c r="Q13" s="465">
        <f t="shared" si="0"/>
        <v>0</v>
      </c>
      <c r="R13" s="465">
        <f t="shared" si="3"/>
        <v>0</v>
      </c>
      <c r="S13" s="465">
        <f t="shared" si="4"/>
        <v>0</v>
      </c>
      <c r="T13" s="465">
        <f t="shared" si="5"/>
        <v>0</v>
      </c>
      <c r="U13" s="465">
        <f t="shared" si="6"/>
        <v>0</v>
      </c>
      <c r="V13" s="464"/>
      <c r="W13" s="464"/>
      <c r="X13" s="464"/>
      <c r="Y13" s="464"/>
      <c r="Z13" s="464"/>
    </row>
    <row r="14" spans="2:26" s="1" customFormat="1">
      <c r="F14" s="461"/>
      <c r="G14" s="461"/>
      <c r="H14" s="461"/>
      <c r="I14" s="462"/>
      <c r="J14" s="462"/>
      <c r="K14" s="198"/>
      <c r="L14" s="210">
        <f t="shared" si="1"/>
        <v>0</v>
      </c>
      <c r="M14" s="463"/>
      <c r="N14" s="463"/>
      <c r="O14" s="459">
        <f t="shared" si="2"/>
        <v>0</v>
      </c>
      <c r="P14" s="464"/>
      <c r="Q14" s="465">
        <f t="shared" si="0"/>
        <v>0</v>
      </c>
      <c r="R14" s="465">
        <f t="shared" si="3"/>
        <v>0</v>
      </c>
      <c r="S14" s="465">
        <f t="shared" si="4"/>
        <v>0</v>
      </c>
      <c r="T14" s="465">
        <f t="shared" si="5"/>
        <v>0</v>
      </c>
      <c r="U14" s="465">
        <f t="shared" si="6"/>
        <v>0</v>
      </c>
      <c r="V14" s="464"/>
      <c r="W14" s="464"/>
      <c r="X14" s="464"/>
      <c r="Y14" s="464"/>
      <c r="Z14" s="464"/>
    </row>
    <row r="15" spans="2:26" s="1" customFormat="1">
      <c r="P15" s="2">
        <f t="shared" ref="P15:U15" si="7">SUM(P5:P14)</f>
        <v>11007.38</v>
      </c>
      <c r="Q15" s="2">
        <f t="shared" si="7"/>
        <v>12435.777579932306</v>
      </c>
      <c r="R15" s="2">
        <f t="shared" si="7"/>
        <v>1428.3975799323048</v>
      </c>
      <c r="S15" s="2">
        <f t="shared" si="7"/>
        <v>173.01074827244105</v>
      </c>
      <c r="T15" s="2">
        <f t="shared" si="7"/>
        <v>1255.3868316598637</v>
      </c>
      <c r="U15" s="2">
        <f t="shared" si="7"/>
        <v>12262.766831659865</v>
      </c>
    </row>
    <row r="16" spans="2:26" s="1" customFormat="1"/>
    <row r="17" spans="17:24" s="1" customFormat="1">
      <c r="R17" s="458">
        <f>T15/P15</f>
        <v>0.11404955871968296</v>
      </c>
    </row>
    <row r="18" spans="17:24" s="1" customFormat="1"/>
    <row r="19" spans="17:24" s="1" customFormat="1"/>
    <row r="20" spans="17:24" s="1" customFormat="1"/>
    <row r="21" spans="17:24" s="1" customFormat="1">
      <c r="X21" s="1">
        <f>117.39/1001.62</f>
        <v>0.11720013578003634</v>
      </c>
    </row>
    <row r="22" spans="17:24" s="1" customFormat="1">
      <c r="X22" s="1">
        <f>X21*100</f>
        <v>11.720013578003634</v>
      </c>
    </row>
    <row r="23" spans="17:24" s="1" customFormat="1"/>
    <row r="24" spans="17:24" s="1" customFormat="1">
      <c r="R24" s="2">
        <f>R15/12</f>
        <v>119.03313166102539</v>
      </c>
    </row>
    <row r="25" spans="17:24" s="1" customFormat="1"/>
    <row r="26" spans="17:24" s="1" customFormat="1"/>
    <row r="27" spans="17:24" s="1" customFormat="1"/>
    <row r="28" spans="17:24" s="1" customFormat="1"/>
    <row r="29" spans="17:24" s="1" customFormat="1">
      <c r="Q29" s="458"/>
      <c r="R29" s="2"/>
    </row>
    <row r="30" spans="17:24" s="1" customFormat="1">
      <c r="Q30" s="458"/>
      <c r="R30" s="2"/>
    </row>
    <row r="31" spans="17:24" s="1" customFormat="1"/>
    <row r="32" spans="17:24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</sheetData>
  <mergeCells count="6">
    <mergeCell ref="P2:Z2"/>
    <mergeCell ref="V3:Z3"/>
    <mergeCell ref="B5:C5"/>
    <mergeCell ref="Q3:U3"/>
    <mergeCell ref="M2:O3"/>
    <mergeCell ref="F2:L3"/>
  </mergeCells>
  <conditionalFormatting sqref="L5 L7 L10 L13:L14 R14">
    <cfRule type="expression" dxfId="75" priority="21">
      <formula>$G5="LCI"</formula>
    </cfRule>
  </conditionalFormatting>
  <conditionalFormatting sqref="R5 R7 R10 R13">
    <cfRule type="expression" dxfId="74" priority="20">
      <formula>$G5="LCI"</formula>
    </cfRule>
  </conditionalFormatting>
  <conditionalFormatting sqref="H6 H8:H9 H11:H12 H14">
    <cfRule type="expression" dxfId="73" priority="8">
      <formula>$G6="LCI"</formula>
    </cfRule>
  </conditionalFormatting>
  <conditionalFormatting sqref="L6 L8:L9 L11:L12">
    <cfRule type="expression" dxfId="72" priority="14">
      <formula>$G6="LCI"</formula>
    </cfRule>
  </conditionalFormatting>
  <conditionalFormatting sqref="R6 R8:R9 R11:R12">
    <cfRule type="expression" dxfId="71" priority="13">
      <formula>$G6="LCI"</formula>
    </cfRule>
  </conditionalFormatting>
  <conditionalFormatting sqref="I6 I8:I9 I11:I12 I14:J14">
    <cfRule type="expression" dxfId="70" priority="11">
      <formula>$G6="LCI"</formula>
    </cfRule>
    <cfRule type="expression" dxfId="69" priority="12">
      <formula>$H6="PRÉ"</formula>
    </cfRule>
  </conditionalFormatting>
  <conditionalFormatting sqref="J6 J8:J9 J11:J12">
    <cfRule type="expression" dxfId="68" priority="9">
      <formula>$G6="LCI"</formula>
    </cfRule>
    <cfRule type="expression" dxfId="67" priority="10">
      <formula>$H6="PRÉ"</formula>
    </cfRule>
  </conditionalFormatting>
  <conditionalFormatting sqref="L6 L8:L9 L11:L12">
    <cfRule type="expression" dxfId="66" priority="7">
      <formula>$G6="LCI"</formula>
    </cfRule>
  </conditionalFormatting>
  <conditionalFormatting sqref="R6 R8:R9 R11:R12">
    <cfRule type="expression" dxfId="65" priority="6">
      <formula>$G6="LCI"</formula>
    </cfRule>
  </conditionalFormatting>
  <conditionalFormatting sqref="H5 H7 H10 H13">
    <cfRule type="expression" dxfId="64" priority="5">
      <formula>$G5="LCI"</formula>
    </cfRule>
  </conditionalFormatting>
  <conditionalFormatting sqref="I5 I7 I10 I13">
    <cfRule type="expression" dxfId="63" priority="24">
      <formula>$G5="LCI"</formula>
    </cfRule>
    <cfRule type="expression" dxfId="62" priority="27">
      <formula>$H5="PRÉ"</formula>
    </cfRule>
  </conditionalFormatting>
  <conditionalFormatting sqref="J5 J7 J10 J13">
    <cfRule type="expression" dxfId="61" priority="22">
      <formula>$G5="LCI"</formula>
    </cfRule>
    <cfRule type="expression" dxfId="60" priority="26">
      <formula>$H5="PRÉ"</formula>
    </cfRule>
  </conditionalFormatting>
  <conditionalFormatting sqref="K9:K14">
    <cfRule type="expression" dxfId="59" priority="1">
      <formula>$H9="PÓS"</formula>
    </cfRule>
  </conditionalFormatting>
  <dataValidations count="2">
    <dataValidation type="list" allowBlank="1" showInputMessage="1" showErrorMessage="1" sqref="G5:G14">
      <formula1>$D$5:$D$6</formula1>
    </dataValidation>
    <dataValidation type="list" allowBlank="1" showInputMessage="1" showErrorMessage="1" sqref="H5:H14">
      <formula1>$D$11:$D$12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D154"/>
  <sheetViews>
    <sheetView workbookViewId="0">
      <selection activeCell="H13" sqref="E13:H13"/>
    </sheetView>
  </sheetViews>
  <sheetFormatPr defaultRowHeight="15"/>
  <cols>
    <col min="1" max="1" width="2" style="1" customWidth="1"/>
    <col min="2" max="2" width="17.28515625" bestFit="1" customWidth="1"/>
    <col min="3" max="7" width="10.7109375" bestFit="1" customWidth="1"/>
    <col min="8" max="8" width="12.140625" bestFit="1" customWidth="1"/>
    <col min="9" max="9" width="10.5703125" bestFit="1" customWidth="1"/>
    <col min="23" max="23" width="10.5703125" style="1" bestFit="1" customWidth="1"/>
    <col min="24" max="28" width="9.140625" style="1"/>
    <col min="29" max="29" width="9.5703125" style="1" bestFit="1" customWidth="1"/>
    <col min="30" max="30" width="10.7109375" style="1" bestFit="1" customWidth="1"/>
    <col min="31" max="31" width="12" style="1" bestFit="1" customWidth="1"/>
    <col min="32" max="32" width="9.140625" style="1"/>
    <col min="33" max="33" width="11.7109375" style="1" bestFit="1" customWidth="1"/>
    <col min="34" max="35" width="11.7109375" style="1" customWidth="1"/>
    <col min="36" max="36" width="10.7109375" style="1" customWidth="1"/>
    <col min="37" max="37" width="9.5703125" style="1" bestFit="1" customWidth="1"/>
    <col min="38" max="39" width="9.140625" style="1"/>
    <col min="40" max="40" width="11.42578125" style="1" bestFit="1" customWidth="1"/>
    <col min="41" max="41" width="11.28515625" style="1" bestFit="1" customWidth="1"/>
    <col min="42" max="42" width="10.7109375" style="1" bestFit="1" customWidth="1"/>
    <col min="43" max="43" width="10.42578125" style="1" bestFit="1" customWidth="1"/>
    <col min="44" max="44" width="8" style="1" bestFit="1" customWidth="1"/>
    <col min="45" max="45" width="11.7109375" style="1" bestFit="1" customWidth="1"/>
    <col min="46" max="46" width="7" style="1" customWidth="1"/>
    <col min="47" max="47" width="8" style="1" customWidth="1"/>
    <col min="48" max="48" width="6.7109375" style="1" bestFit="1" customWidth="1"/>
    <col min="49" max="49" width="9.140625" style="1"/>
    <col min="50" max="82" width="9.140625" style="761"/>
  </cols>
  <sheetData>
    <row r="1" spans="2:82" s="1" customFormat="1">
      <c r="AX1" s="761"/>
      <c r="AY1" s="761"/>
      <c r="AZ1" s="761"/>
      <c r="BA1" s="761"/>
      <c r="BB1" s="761"/>
      <c r="BC1" s="761"/>
      <c r="BD1" s="761"/>
      <c r="BE1" s="761"/>
      <c r="BF1" s="761"/>
      <c r="BG1" s="761"/>
      <c r="BH1" s="761"/>
      <c r="BI1" s="761"/>
      <c r="BJ1" s="761"/>
      <c r="BK1" s="761"/>
      <c r="BL1" s="761"/>
      <c r="BM1" s="761"/>
      <c r="BN1" s="761"/>
      <c r="BO1" s="761"/>
      <c r="BP1" s="761"/>
      <c r="BQ1" s="761"/>
      <c r="BR1" s="761"/>
      <c r="BS1" s="761"/>
      <c r="BT1" s="761"/>
      <c r="BU1" s="761"/>
      <c r="BV1" s="761"/>
      <c r="BW1" s="761"/>
      <c r="BX1" s="761"/>
      <c r="BY1" s="761"/>
      <c r="BZ1" s="761"/>
      <c r="CA1" s="761"/>
      <c r="CB1" s="761"/>
      <c r="CC1" s="761"/>
      <c r="CD1" s="761"/>
    </row>
    <row r="2" spans="2:82" s="1" customFormat="1">
      <c r="B2" s="1182"/>
      <c r="C2" s="1182"/>
      <c r="D2" s="1182"/>
      <c r="E2" s="1182"/>
      <c r="F2" s="1182"/>
      <c r="G2" s="1182"/>
      <c r="H2" s="1182"/>
      <c r="I2" s="1182"/>
      <c r="J2" s="1182"/>
      <c r="K2" s="1182"/>
      <c r="L2" s="1182"/>
      <c r="M2" s="1182"/>
      <c r="N2" s="1182"/>
      <c r="O2" s="1182"/>
      <c r="P2" s="1182"/>
      <c r="Q2" s="1182"/>
      <c r="R2" s="1182"/>
      <c r="S2" s="1182"/>
      <c r="T2" s="1182"/>
      <c r="U2" s="1182"/>
      <c r="V2" s="1182"/>
      <c r="AX2" s="761"/>
      <c r="AY2" s="761"/>
      <c r="AZ2" s="761"/>
      <c r="BA2" s="761"/>
      <c r="BB2" s="761"/>
      <c r="BC2" s="761"/>
      <c r="BD2" s="761"/>
      <c r="BE2" s="761"/>
      <c r="BF2" s="761"/>
      <c r="BG2" s="761"/>
      <c r="BH2" s="761"/>
      <c r="BI2" s="761"/>
      <c r="BJ2" s="761"/>
      <c r="BK2" s="761"/>
      <c r="BL2" s="761"/>
      <c r="BM2" s="761"/>
      <c r="BN2" s="761"/>
      <c r="BO2" s="761"/>
      <c r="BP2" s="761"/>
      <c r="BQ2" s="761"/>
      <c r="BR2" s="761"/>
      <c r="BS2" s="761"/>
      <c r="BT2" s="761"/>
      <c r="BU2" s="761"/>
      <c r="BV2" s="761"/>
      <c r="BW2" s="761"/>
      <c r="BX2" s="761"/>
      <c r="BY2" s="761"/>
      <c r="BZ2" s="761"/>
      <c r="CA2" s="761"/>
      <c r="CB2" s="761"/>
      <c r="CC2" s="761"/>
      <c r="CD2" s="761"/>
    </row>
    <row r="3" spans="2:82">
      <c r="B3" s="524">
        <f>SUM(C13:V13)</f>
        <v>460</v>
      </c>
      <c r="C3" s="1184">
        <f>SUM(C12:V12)</f>
        <v>2316.6680000000001</v>
      </c>
      <c r="D3" s="1185"/>
      <c r="E3" s="1189" t="s">
        <v>437</v>
      </c>
      <c r="F3" s="1190"/>
      <c r="G3" s="1190"/>
      <c r="H3" s="1190"/>
      <c r="I3" s="1190"/>
      <c r="J3" s="1190"/>
      <c r="K3" s="1190"/>
      <c r="L3" s="1190"/>
      <c r="M3" s="1190"/>
      <c r="N3" s="1190"/>
      <c r="O3" s="1190"/>
      <c r="P3" s="1190"/>
      <c r="Q3" s="1190"/>
      <c r="R3" s="1190"/>
      <c r="S3" s="1190"/>
      <c r="T3" s="1190"/>
      <c r="U3" s="1190"/>
      <c r="V3" s="1185"/>
      <c r="W3" s="540"/>
    </row>
    <row r="4" spans="2:82">
      <c r="B4" s="528" t="s">
        <v>1</v>
      </c>
      <c r="C4" s="525">
        <v>45027</v>
      </c>
      <c r="D4" s="525">
        <v>45043</v>
      </c>
      <c r="E4" s="525">
        <v>45056</v>
      </c>
      <c r="F4" s="525">
        <v>45062</v>
      </c>
      <c r="G4" s="525">
        <v>45147</v>
      </c>
      <c r="H4" s="525">
        <v>45156</v>
      </c>
      <c r="I4" s="461"/>
      <c r="J4" s="461"/>
      <c r="K4" s="461"/>
      <c r="L4" s="461"/>
      <c r="M4" s="461"/>
      <c r="N4" s="461"/>
      <c r="O4" s="461"/>
      <c r="P4" s="461"/>
      <c r="Q4" s="461"/>
      <c r="R4" s="461"/>
      <c r="S4" s="461"/>
      <c r="T4" s="461"/>
      <c r="U4" s="461"/>
      <c r="V4" s="461"/>
      <c r="W4" s="540"/>
    </row>
    <row r="5" spans="2:82">
      <c r="B5" s="528" t="s">
        <v>395</v>
      </c>
      <c r="C5" s="526">
        <v>5.0220000000000002</v>
      </c>
      <c r="D5" s="526">
        <v>4.9800000000000004</v>
      </c>
      <c r="E5" s="526">
        <v>4.96</v>
      </c>
      <c r="F5" s="526">
        <v>4.9390000000000001</v>
      </c>
      <c r="G5" s="526">
        <v>4.8996000000000004</v>
      </c>
      <c r="H5" s="526">
        <v>4.9649999999999999</v>
      </c>
      <c r="I5" s="526"/>
      <c r="J5" s="526"/>
      <c r="K5" s="526"/>
      <c r="L5" s="526"/>
      <c r="M5" s="526"/>
      <c r="N5" s="526"/>
      <c r="O5" s="526"/>
      <c r="P5" s="526"/>
      <c r="Q5" s="526"/>
      <c r="R5" s="526"/>
      <c r="S5" s="526"/>
      <c r="T5" s="526"/>
      <c r="U5" s="526"/>
      <c r="V5" s="526"/>
      <c r="W5" s="169"/>
    </row>
    <row r="6" spans="2:82">
      <c r="B6" s="528" t="s">
        <v>396</v>
      </c>
      <c r="C6" s="462">
        <v>9.9000000000000008E-3</v>
      </c>
      <c r="D6" s="462">
        <v>9.9000000000000008E-3</v>
      </c>
      <c r="E6" s="462">
        <v>9.9000000000000008E-3</v>
      </c>
      <c r="F6" s="462">
        <v>9.9000000000000008E-3</v>
      </c>
      <c r="G6" s="462">
        <v>1.4999999999999999E-2</v>
      </c>
      <c r="H6" s="462">
        <v>1.4999999999999999E-2</v>
      </c>
      <c r="I6" s="462"/>
      <c r="J6" s="462"/>
      <c r="K6" s="462"/>
      <c r="L6" s="462"/>
      <c r="M6" s="462"/>
      <c r="N6" s="462"/>
      <c r="O6" s="462"/>
      <c r="P6" s="462"/>
      <c r="Q6" s="462"/>
      <c r="R6" s="462"/>
      <c r="S6" s="462"/>
      <c r="T6" s="462"/>
      <c r="U6" s="462"/>
      <c r="V6" s="462"/>
      <c r="W6" s="540"/>
      <c r="AC6" s="1187" t="s">
        <v>437</v>
      </c>
      <c r="AD6" s="1187"/>
      <c r="AE6" s="1187"/>
      <c r="AF6" s="1188" t="s">
        <v>458</v>
      </c>
      <c r="AG6" s="1188"/>
      <c r="AH6" s="1186" t="s">
        <v>630</v>
      </c>
      <c r="AI6" s="1186"/>
      <c r="AJ6" s="1183" t="s">
        <v>459</v>
      </c>
      <c r="AK6" s="1183"/>
      <c r="AL6" s="1183"/>
      <c r="AM6" s="1183"/>
      <c r="AN6" s="1183"/>
      <c r="AO6" s="1183"/>
      <c r="AP6" s="1183"/>
      <c r="AQ6" s="1183"/>
      <c r="AR6" s="1183"/>
      <c r="AS6" s="599"/>
    </row>
    <row r="7" spans="2:82">
      <c r="B7" s="528" t="s">
        <v>395</v>
      </c>
      <c r="C7" s="526">
        <v>5.0716999999999999</v>
      </c>
      <c r="D7" s="526">
        <v>5.0293000000000001</v>
      </c>
      <c r="E7" s="526">
        <v>5.0091000000000001</v>
      </c>
      <c r="F7" s="526">
        <v>4.9878999999999998</v>
      </c>
      <c r="G7" s="526">
        <v>4.9730999999999996</v>
      </c>
      <c r="H7" s="526">
        <v>5.0395000000000003</v>
      </c>
      <c r="I7" s="526"/>
      <c r="J7" s="526"/>
      <c r="K7" s="526"/>
      <c r="L7" s="526"/>
      <c r="M7" s="526"/>
      <c r="N7" s="526"/>
      <c r="O7" s="526"/>
      <c r="P7" s="526"/>
      <c r="Q7" s="526"/>
      <c r="R7" s="526"/>
      <c r="S7" s="526"/>
      <c r="T7" s="526"/>
      <c r="U7" s="526"/>
      <c r="V7" s="526"/>
      <c r="W7" s="540"/>
      <c r="AA7" s="188" t="s">
        <v>443</v>
      </c>
      <c r="AB7" s="188" t="s">
        <v>1</v>
      </c>
      <c r="AC7" s="744" t="s">
        <v>444</v>
      </c>
      <c r="AD7" s="744" t="s">
        <v>445</v>
      </c>
      <c r="AE7" s="744" t="s">
        <v>446</v>
      </c>
      <c r="AF7" s="191" t="s">
        <v>228</v>
      </c>
      <c r="AG7" s="191" t="s">
        <v>454</v>
      </c>
      <c r="AH7" s="753" t="s">
        <v>437</v>
      </c>
      <c r="AI7" s="753" t="s">
        <v>228</v>
      </c>
      <c r="AJ7" s="747" t="s">
        <v>1</v>
      </c>
      <c r="AK7" s="747" t="s">
        <v>444</v>
      </c>
      <c r="AL7" s="747" t="s">
        <v>455</v>
      </c>
      <c r="AM7" s="747" t="s">
        <v>628</v>
      </c>
      <c r="AN7" s="749" t="s">
        <v>456</v>
      </c>
      <c r="AO7" s="747" t="s">
        <v>625</v>
      </c>
      <c r="AP7" s="747" t="s">
        <v>626</v>
      </c>
      <c r="AQ7" s="749" t="s">
        <v>627</v>
      </c>
      <c r="AR7" s="747" t="s">
        <v>457</v>
      </c>
      <c r="AS7" s="599" t="s">
        <v>189</v>
      </c>
      <c r="AU7" s="1182" t="s">
        <v>437</v>
      </c>
      <c r="AV7" s="1182"/>
    </row>
    <row r="8" spans="2:82">
      <c r="B8" s="528" t="s">
        <v>397</v>
      </c>
      <c r="C8" s="556">
        <f>C13*C7</f>
        <v>101.434</v>
      </c>
      <c r="D8" s="556">
        <f>D13*D7</f>
        <v>100.586</v>
      </c>
      <c r="E8" s="556">
        <f t="shared" ref="E8:V8" si="0">E13*E7</f>
        <v>500.91</v>
      </c>
      <c r="F8" s="556">
        <f t="shared" si="0"/>
        <v>99.757999999999996</v>
      </c>
      <c r="G8" s="556">
        <f t="shared" si="0"/>
        <v>497.30999999999995</v>
      </c>
      <c r="H8" s="556">
        <f t="shared" si="0"/>
        <v>1007.9000000000001</v>
      </c>
      <c r="I8" s="556">
        <f t="shared" si="0"/>
        <v>0</v>
      </c>
      <c r="J8" s="556">
        <f t="shared" si="0"/>
        <v>0</v>
      </c>
      <c r="K8" s="556">
        <f t="shared" si="0"/>
        <v>0</v>
      </c>
      <c r="L8" s="556">
        <f t="shared" si="0"/>
        <v>0</v>
      </c>
      <c r="M8" s="556">
        <f t="shared" si="0"/>
        <v>0</v>
      </c>
      <c r="N8" s="556">
        <f t="shared" si="0"/>
        <v>0</v>
      </c>
      <c r="O8" s="556">
        <f t="shared" si="0"/>
        <v>0</v>
      </c>
      <c r="P8" s="556">
        <f t="shared" si="0"/>
        <v>0</v>
      </c>
      <c r="Q8" s="556">
        <f t="shared" si="0"/>
        <v>0</v>
      </c>
      <c r="R8" s="556">
        <f t="shared" si="0"/>
        <v>0</v>
      </c>
      <c r="S8" s="556">
        <f t="shared" si="0"/>
        <v>0</v>
      </c>
      <c r="T8" s="556">
        <f t="shared" si="0"/>
        <v>0</v>
      </c>
      <c r="U8" s="556">
        <f t="shared" si="0"/>
        <v>0</v>
      </c>
      <c r="V8" s="556">
        <f t="shared" si="0"/>
        <v>0</v>
      </c>
      <c r="W8" s="540"/>
      <c r="Z8" s="112" t="s">
        <v>450</v>
      </c>
      <c r="AA8" s="186" t="s">
        <v>448</v>
      </c>
      <c r="AB8" s="563">
        <v>45029</v>
      </c>
      <c r="AC8" s="564">
        <v>4.9743500000000003</v>
      </c>
      <c r="AD8" s="565">
        <v>1.95</v>
      </c>
      <c r="AE8" s="745">
        <f>AD8*AC8</f>
        <v>9.6999825000000008</v>
      </c>
      <c r="AF8" s="565">
        <v>3.5</v>
      </c>
      <c r="AG8" s="746">
        <f>AF8*AC8-AE8</f>
        <v>7.7102424999999997</v>
      </c>
      <c r="AH8" s="754">
        <f>AE8</f>
        <v>9.6999825000000008</v>
      </c>
      <c r="AI8" s="754">
        <f>AM8</f>
        <v>19.449708500000003</v>
      </c>
      <c r="AJ8" s="563">
        <v>45050</v>
      </c>
      <c r="AK8" s="751">
        <f>AC8</f>
        <v>4.9743500000000003</v>
      </c>
      <c r="AL8" s="565">
        <v>3.91</v>
      </c>
      <c r="AM8" s="566">
        <f t="shared" ref="AM8:AM10" si="1">AL8*AK8</f>
        <v>19.449708500000003</v>
      </c>
      <c r="AN8" s="741">
        <f>AM8-AE8</f>
        <v>9.7497260000000026</v>
      </c>
      <c r="AO8" s="571">
        <f>AN8/AS8</f>
        <v>9.7497260000000026</v>
      </c>
      <c r="AP8" s="743">
        <f t="shared" ref="AP8:AP10" si="2">AO8/AE8</f>
        <v>1.0051282051282053</v>
      </c>
      <c r="AQ8" s="750">
        <f t="shared" ref="AQ8:AQ26" si="3">AN8/AE8</f>
        <v>1.0051282051282053</v>
      </c>
      <c r="AR8" s="748">
        <f>AJ8-AB8</f>
        <v>21</v>
      </c>
      <c r="AS8" s="599">
        <v>1</v>
      </c>
      <c r="AU8" s="762" t="s">
        <v>637</v>
      </c>
      <c r="AV8" s="763">
        <v>1.6</v>
      </c>
      <c r="AW8" s="1" t="s">
        <v>636</v>
      </c>
    </row>
    <row r="9" spans="2:82">
      <c r="B9" s="528" t="s">
        <v>398</v>
      </c>
      <c r="C9" s="464">
        <v>0.39</v>
      </c>
      <c r="D9" s="464">
        <v>0.38</v>
      </c>
      <c r="E9" s="464">
        <v>1.9</v>
      </c>
      <c r="F9" s="464">
        <v>0.38</v>
      </c>
      <c r="G9" s="464">
        <v>1.89</v>
      </c>
      <c r="H9" s="464">
        <v>3.83</v>
      </c>
      <c r="I9" s="464"/>
      <c r="J9" s="464"/>
      <c r="K9" s="464"/>
      <c r="L9" s="464"/>
      <c r="M9" s="464"/>
      <c r="N9" s="464"/>
      <c r="O9" s="464"/>
      <c r="P9" s="464"/>
      <c r="Q9" s="464"/>
      <c r="R9" s="464"/>
      <c r="S9" s="464"/>
      <c r="T9" s="464"/>
      <c r="U9" s="464"/>
      <c r="V9" s="464"/>
      <c r="W9" s="169">
        <f t="shared" ref="W9:W12" si="4">SUM(C9:V9)</f>
        <v>8.77</v>
      </c>
      <c r="Z9" s="112" t="s">
        <v>460</v>
      </c>
      <c r="AA9" s="186" t="s">
        <v>453</v>
      </c>
      <c r="AB9" s="563">
        <v>45043</v>
      </c>
      <c r="AC9" s="564">
        <v>1</v>
      </c>
      <c r="AD9" s="565">
        <v>26.78</v>
      </c>
      <c r="AE9" s="745">
        <f t="shared" ref="AE9:AE26" si="5">AD9*AC9</f>
        <v>26.78</v>
      </c>
      <c r="AF9" s="565">
        <v>30</v>
      </c>
      <c r="AG9" s="746">
        <f t="shared" ref="AG9:AG26" si="6">AF9*AC9-AE9</f>
        <v>3.2199999999999989</v>
      </c>
      <c r="AH9" s="754">
        <f>AE9</f>
        <v>26.78</v>
      </c>
      <c r="AI9" s="754">
        <f>AM9</f>
        <v>28.57</v>
      </c>
      <c r="AJ9" s="563">
        <v>45050</v>
      </c>
      <c r="AK9" s="751">
        <f t="shared" ref="AK9:AK26" si="7">AC9</f>
        <v>1</v>
      </c>
      <c r="AL9" s="565">
        <v>28.57</v>
      </c>
      <c r="AM9" s="566">
        <f t="shared" si="1"/>
        <v>28.57</v>
      </c>
      <c r="AN9" s="741">
        <f t="shared" ref="AN9:AN26" si="8">AM9-AE9</f>
        <v>1.7899999999999991</v>
      </c>
      <c r="AO9" s="571">
        <f t="shared" ref="AO9:AO26" si="9">AN9/AS9</f>
        <v>1.7899999999999991</v>
      </c>
      <c r="AP9" s="743">
        <f t="shared" si="2"/>
        <v>6.6840926064226994E-2</v>
      </c>
      <c r="AQ9" s="750">
        <f t="shared" si="3"/>
        <v>6.6840926064226994E-2</v>
      </c>
      <c r="AR9" s="748">
        <f t="shared" ref="AR9:AR26" si="10">AJ9-AB9</f>
        <v>7</v>
      </c>
      <c r="AS9" s="599">
        <v>1</v>
      </c>
      <c r="AU9" s="764" t="s">
        <v>633</v>
      </c>
      <c r="AV9" s="765">
        <v>0.25</v>
      </c>
      <c r="AW9" s="1" t="s">
        <v>636</v>
      </c>
    </row>
    <row r="10" spans="2:82">
      <c r="B10" s="528" t="s">
        <v>399</v>
      </c>
      <c r="C10" s="464">
        <v>0</v>
      </c>
      <c r="D10" s="464">
        <v>0</v>
      </c>
      <c r="E10" s="464">
        <v>0</v>
      </c>
      <c r="F10" s="464">
        <v>0</v>
      </c>
      <c r="G10" s="464">
        <v>0</v>
      </c>
      <c r="H10" s="464">
        <v>0</v>
      </c>
      <c r="I10" s="464"/>
      <c r="J10" s="464"/>
      <c r="K10" s="464"/>
      <c r="L10" s="464"/>
      <c r="M10" s="464"/>
      <c r="N10" s="464"/>
      <c r="O10" s="464"/>
      <c r="P10" s="464"/>
      <c r="Q10" s="464"/>
      <c r="R10" s="464"/>
      <c r="S10" s="464"/>
      <c r="T10" s="464"/>
      <c r="U10" s="464"/>
      <c r="V10" s="464"/>
      <c r="W10" s="540"/>
      <c r="Z10" s="112" t="s">
        <v>450</v>
      </c>
      <c r="AA10" s="646" t="s">
        <v>448</v>
      </c>
      <c r="AB10" s="563">
        <v>45057</v>
      </c>
      <c r="AC10" s="564">
        <v>8.7008899999999993</v>
      </c>
      <c r="AD10" s="565">
        <v>2.99</v>
      </c>
      <c r="AE10" s="745">
        <f>AD10*AC10</f>
        <v>26.015661099999999</v>
      </c>
      <c r="AF10" s="565">
        <v>6</v>
      </c>
      <c r="AG10" s="746">
        <f>AF10*AC10-AE10</f>
        <v>26.189678899999993</v>
      </c>
      <c r="AH10" s="754"/>
      <c r="AI10" s="754"/>
      <c r="AJ10" s="563"/>
      <c r="AK10" s="751">
        <f t="shared" si="7"/>
        <v>8.7008899999999993</v>
      </c>
      <c r="AL10" s="565"/>
      <c r="AM10" s="566">
        <f t="shared" si="1"/>
        <v>0</v>
      </c>
      <c r="AN10" s="741">
        <f t="shared" si="8"/>
        <v>-26.015661099999999</v>
      </c>
      <c r="AO10" s="571">
        <f t="shared" si="9"/>
        <v>1.7321833078101069E-2</v>
      </c>
      <c r="AP10" s="743">
        <f t="shared" si="2"/>
        <v>6.6582329049870155E-4</v>
      </c>
      <c r="AQ10" s="750">
        <f t="shared" si="3"/>
        <v>-1</v>
      </c>
      <c r="AR10" s="748">
        <f t="shared" si="10"/>
        <v>-45057</v>
      </c>
      <c r="AS10" s="599">
        <f t="shared" ref="AS10:AS26" si="11">AR10/30</f>
        <v>-1501.9</v>
      </c>
      <c r="AU10" s="764" t="s">
        <v>448</v>
      </c>
      <c r="AV10" s="765">
        <v>2</v>
      </c>
      <c r="AW10" s="1" t="s">
        <v>541</v>
      </c>
    </row>
    <row r="11" spans="2:82">
      <c r="B11" s="528" t="s">
        <v>400</v>
      </c>
      <c r="C11" s="464">
        <v>5.09</v>
      </c>
      <c r="D11" s="464">
        <v>5.05</v>
      </c>
      <c r="E11" s="464">
        <v>5.03</v>
      </c>
      <c r="F11" s="464">
        <v>5.01</v>
      </c>
      <c r="G11" s="464">
        <v>4.99</v>
      </c>
      <c r="H11" s="464">
        <v>5.0599999999999996</v>
      </c>
      <c r="I11" s="464"/>
      <c r="J11" s="464"/>
      <c r="K11" s="464"/>
      <c r="L11" s="464"/>
      <c r="M11" s="464"/>
      <c r="N11" s="464"/>
      <c r="O11" s="464"/>
      <c r="P11" s="464"/>
      <c r="Q11" s="464"/>
      <c r="R11" s="464"/>
      <c r="S11" s="464"/>
      <c r="T11" s="464"/>
      <c r="U11" s="464"/>
      <c r="V11" s="464"/>
      <c r="W11" s="540"/>
      <c r="Z11" s="112" t="s">
        <v>451</v>
      </c>
      <c r="AA11" s="186" t="s">
        <v>447</v>
      </c>
      <c r="AB11" s="563">
        <v>45056</v>
      </c>
      <c r="AC11" s="564">
        <v>2</v>
      </c>
      <c r="AD11" s="565">
        <v>14.67</v>
      </c>
      <c r="AE11" s="745">
        <f t="shared" ref="AE11:AE12" si="12">AD11*AC11</f>
        <v>29.34</v>
      </c>
      <c r="AF11" s="565">
        <v>18</v>
      </c>
      <c r="AG11" s="746">
        <f t="shared" ref="AG11:AG12" si="13">AF11*AC11-AE11</f>
        <v>6.66</v>
      </c>
      <c r="AH11" s="754">
        <f>AE11</f>
        <v>29.34</v>
      </c>
      <c r="AI11" s="754">
        <f>AM11</f>
        <v>34.04</v>
      </c>
      <c r="AJ11" s="563">
        <v>45134</v>
      </c>
      <c r="AK11" s="751">
        <f t="shared" si="7"/>
        <v>2</v>
      </c>
      <c r="AL11" s="565">
        <v>17.02</v>
      </c>
      <c r="AM11" s="566">
        <f>AL11*AK11</f>
        <v>34.04</v>
      </c>
      <c r="AN11" s="741">
        <f t="shared" si="8"/>
        <v>4.6999999999999993</v>
      </c>
      <c r="AO11" s="571">
        <f t="shared" si="9"/>
        <v>1.8076923076923073</v>
      </c>
      <c r="AP11" s="743">
        <f>AO11/AE11</f>
        <v>6.1611871427822332E-2</v>
      </c>
      <c r="AQ11" s="750">
        <f t="shared" si="3"/>
        <v>0.16019086571233809</v>
      </c>
      <c r="AR11" s="748">
        <f t="shared" si="10"/>
        <v>78</v>
      </c>
      <c r="AS11" s="599">
        <f t="shared" si="11"/>
        <v>2.6</v>
      </c>
      <c r="AU11" s="764" t="s">
        <v>634</v>
      </c>
      <c r="AV11" s="765">
        <v>1.35</v>
      </c>
      <c r="AW11" s="1" t="s">
        <v>636</v>
      </c>
    </row>
    <row r="12" spans="2:82">
      <c r="B12" s="528" t="s">
        <v>401</v>
      </c>
      <c r="C12" s="556">
        <f>C9+C8</f>
        <v>101.824</v>
      </c>
      <c r="D12" s="556">
        <f>D9+D8</f>
        <v>100.96599999999999</v>
      </c>
      <c r="E12" s="556">
        <f t="shared" ref="E12:V12" si="14">E9+E8</f>
        <v>502.81</v>
      </c>
      <c r="F12" s="556">
        <f t="shared" si="14"/>
        <v>100.13799999999999</v>
      </c>
      <c r="G12" s="556">
        <f t="shared" si="14"/>
        <v>499.19999999999993</v>
      </c>
      <c r="H12" s="556">
        <f t="shared" si="14"/>
        <v>1011.7300000000001</v>
      </c>
      <c r="I12" s="556">
        <f t="shared" si="14"/>
        <v>0</v>
      </c>
      <c r="J12" s="556">
        <f t="shared" si="14"/>
        <v>0</v>
      </c>
      <c r="K12" s="556">
        <f t="shared" si="14"/>
        <v>0</v>
      </c>
      <c r="L12" s="556">
        <f t="shared" si="14"/>
        <v>0</v>
      </c>
      <c r="M12" s="556">
        <f t="shared" si="14"/>
        <v>0</v>
      </c>
      <c r="N12" s="556">
        <f t="shared" si="14"/>
        <v>0</v>
      </c>
      <c r="O12" s="556">
        <f t="shared" si="14"/>
        <v>0</v>
      </c>
      <c r="P12" s="556">
        <f t="shared" si="14"/>
        <v>0</v>
      </c>
      <c r="Q12" s="556">
        <f t="shared" si="14"/>
        <v>0</v>
      </c>
      <c r="R12" s="556">
        <f t="shared" si="14"/>
        <v>0</v>
      </c>
      <c r="S12" s="556">
        <f t="shared" si="14"/>
        <v>0</v>
      </c>
      <c r="T12" s="556">
        <f t="shared" si="14"/>
        <v>0</v>
      </c>
      <c r="U12" s="556">
        <f t="shared" si="14"/>
        <v>0</v>
      </c>
      <c r="V12" s="556">
        <f t="shared" si="14"/>
        <v>0</v>
      </c>
      <c r="W12" s="169">
        <f t="shared" si="4"/>
        <v>2316.6680000000001</v>
      </c>
      <c r="Z12" s="112" t="s">
        <v>452</v>
      </c>
      <c r="AA12" s="186" t="s">
        <v>449</v>
      </c>
      <c r="AB12" s="563">
        <v>45056</v>
      </c>
      <c r="AC12" s="564">
        <v>6</v>
      </c>
      <c r="AD12" s="565">
        <v>8.44</v>
      </c>
      <c r="AE12" s="745">
        <f t="shared" si="12"/>
        <v>50.64</v>
      </c>
      <c r="AF12" s="565">
        <v>11</v>
      </c>
      <c r="AG12" s="746">
        <f t="shared" si="13"/>
        <v>15.36</v>
      </c>
      <c r="AH12" s="754">
        <f>AE12</f>
        <v>50.64</v>
      </c>
      <c r="AI12" s="754">
        <f>AM12</f>
        <v>54.300000000000004</v>
      </c>
      <c r="AJ12" s="563">
        <v>45139</v>
      </c>
      <c r="AK12" s="751">
        <f t="shared" si="7"/>
        <v>6</v>
      </c>
      <c r="AL12" s="565">
        <v>9.0500000000000007</v>
      </c>
      <c r="AM12" s="566">
        <f t="shared" ref="AM12:AM26" si="15">AL12*AK12</f>
        <v>54.300000000000004</v>
      </c>
      <c r="AN12" s="741">
        <f t="shared" si="8"/>
        <v>3.6600000000000037</v>
      </c>
      <c r="AO12" s="571">
        <f t="shared" si="9"/>
        <v>1.3228915662650615</v>
      </c>
      <c r="AP12" s="743">
        <f t="shared" ref="AP12:AP26" si="16">AO12/AE12</f>
        <v>2.6123451150573886E-2</v>
      </c>
      <c r="AQ12" s="750">
        <f t="shared" si="3"/>
        <v>7.2274881516587744E-2</v>
      </c>
      <c r="AR12" s="748">
        <f t="shared" si="10"/>
        <v>83</v>
      </c>
      <c r="AS12" s="599">
        <f t="shared" si="11"/>
        <v>2.7666666666666666</v>
      </c>
      <c r="AT12" s="742"/>
      <c r="AU12" s="764" t="s">
        <v>635</v>
      </c>
      <c r="AV12" s="765">
        <v>0.1</v>
      </c>
      <c r="AW12" s="1" t="s">
        <v>636</v>
      </c>
    </row>
    <row r="13" spans="2:82">
      <c r="B13" s="528" t="s">
        <v>402</v>
      </c>
      <c r="C13" s="527">
        <v>20</v>
      </c>
      <c r="D13" s="527">
        <v>20</v>
      </c>
      <c r="E13" s="527">
        <v>100</v>
      </c>
      <c r="F13" s="527">
        <v>20</v>
      </c>
      <c r="G13" s="527">
        <v>100</v>
      </c>
      <c r="H13" s="527">
        <v>200</v>
      </c>
      <c r="I13" s="527"/>
      <c r="J13" s="527"/>
      <c r="K13" s="527"/>
      <c r="L13" s="527"/>
      <c r="M13" s="527"/>
      <c r="N13" s="527"/>
      <c r="O13" s="527"/>
      <c r="P13" s="527"/>
      <c r="Q13" s="527"/>
      <c r="R13" s="527"/>
      <c r="S13" s="527"/>
      <c r="T13" s="527"/>
      <c r="U13" s="527"/>
      <c r="V13" s="527"/>
      <c r="W13" s="540">
        <f>SUM(C13:V13)</f>
        <v>460</v>
      </c>
      <c r="Z13" s="112" t="s">
        <v>472</v>
      </c>
      <c r="AA13" s="646" t="s">
        <v>471</v>
      </c>
      <c r="AB13" s="563">
        <v>45063</v>
      </c>
      <c r="AC13" s="564">
        <v>48.966149999999999</v>
      </c>
      <c r="AD13" s="565">
        <v>0.28999999999999998</v>
      </c>
      <c r="AE13" s="745">
        <f t="shared" si="5"/>
        <v>14.200183499999998</v>
      </c>
      <c r="AF13" s="565">
        <v>1</v>
      </c>
      <c r="AG13" s="746">
        <f t="shared" si="6"/>
        <v>34.765966500000005</v>
      </c>
      <c r="AH13" s="754"/>
      <c r="AI13" s="754"/>
      <c r="AJ13" s="563"/>
      <c r="AK13" s="751">
        <f t="shared" si="7"/>
        <v>48.966149999999999</v>
      </c>
      <c r="AL13" s="565"/>
      <c r="AM13" s="566">
        <f t="shared" si="15"/>
        <v>0</v>
      </c>
      <c r="AN13" s="741">
        <f t="shared" si="8"/>
        <v>-14.200183499999998</v>
      </c>
      <c r="AO13" s="571">
        <f t="shared" si="9"/>
        <v>9.4535540243658872E-3</v>
      </c>
      <c r="AP13" s="743">
        <f t="shared" si="16"/>
        <v>6.6573463817322419E-4</v>
      </c>
      <c r="AQ13" s="750">
        <f t="shared" si="3"/>
        <v>-1</v>
      </c>
      <c r="AR13" s="748">
        <f t="shared" si="10"/>
        <v>-45063</v>
      </c>
      <c r="AS13" s="599">
        <f t="shared" si="11"/>
        <v>-1502.1</v>
      </c>
      <c r="AT13" s="458"/>
      <c r="AU13" s="764" t="s">
        <v>471</v>
      </c>
      <c r="AV13" s="765">
        <v>0.16</v>
      </c>
      <c r="AW13" s="1" t="s">
        <v>541</v>
      </c>
    </row>
    <row r="14" spans="2:82" s="1" customFormat="1" ht="15" customHeight="1">
      <c r="B14" s="572"/>
      <c r="C14" s="573"/>
      <c r="D14" s="573"/>
      <c r="E14" s="573"/>
      <c r="F14" s="573"/>
      <c r="G14" s="573"/>
      <c r="H14" s="789">
        <v>2113.88</v>
      </c>
      <c r="I14" s="1191"/>
      <c r="J14" s="1191"/>
      <c r="K14" s="1191"/>
      <c r="L14" s="1191"/>
      <c r="M14" s="1191"/>
      <c r="N14" s="1191"/>
      <c r="O14" s="1191"/>
      <c r="P14" s="1191"/>
      <c r="Q14" s="573"/>
      <c r="R14" s="573"/>
      <c r="S14" s="573"/>
      <c r="T14" s="573"/>
      <c r="U14" s="573"/>
      <c r="V14" s="573"/>
      <c r="Z14" s="112"/>
      <c r="AA14" s="188" t="s">
        <v>634</v>
      </c>
      <c r="AB14" s="563">
        <v>45139</v>
      </c>
      <c r="AC14" s="564">
        <v>15</v>
      </c>
      <c r="AD14" s="565">
        <v>1.5449999999999999</v>
      </c>
      <c r="AE14" s="745">
        <f t="shared" si="5"/>
        <v>23.174999999999997</v>
      </c>
      <c r="AF14" s="565">
        <v>2</v>
      </c>
      <c r="AG14" s="746">
        <f t="shared" si="6"/>
        <v>6.8250000000000028</v>
      </c>
      <c r="AH14" s="754"/>
      <c r="AI14" s="754"/>
      <c r="AJ14" s="188"/>
      <c r="AK14" s="751">
        <f t="shared" si="7"/>
        <v>15</v>
      </c>
      <c r="AL14" s="565"/>
      <c r="AM14" s="566">
        <f t="shared" si="15"/>
        <v>0</v>
      </c>
      <c r="AN14" s="741">
        <f t="shared" si="8"/>
        <v>-23.174999999999997</v>
      </c>
      <c r="AO14" s="571">
        <f t="shared" si="9"/>
        <v>1.5402423624803383E-2</v>
      </c>
      <c r="AP14" s="743">
        <f t="shared" si="16"/>
        <v>6.6461374864308024E-4</v>
      </c>
      <c r="AQ14" s="750">
        <f t="shared" si="3"/>
        <v>-1</v>
      </c>
      <c r="AR14" s="748">
        <f t="shared" si="10"/>
        <v>-45139</v>
      </c>
      <c r="AS14" s="599">
        <f t="shared" si="11"/>
        <v>-1504.6333333333334</v>
      </c>
      <c r="AX14" s="761"/>
      <c r="AY14" s="761"/>
      <c r="AZ14" s="761"/>
      <c r="BA14" s="761"/>
      <c r="BB14" s="761"/>
      <c r="BC14" s="761"/>
      <c r="BD14" s="761"/>
      <c r="BE14" s="761"/>
      <c r="BF14" s="761"/>
      <c r="BG14" s="761"/>
      <c r="BH14" s="761"/>
      <c r="BI14" s="761"/>
      <c r="BJ14" s="761"/>
      <c r="BK14" s="761"/>
      <c r="BL14" s="761"/>
      <c r="BM14" s="761"/>
      <c r="BN14" s="761"/>
      <c r="BO14" s="761"/>
      <c r="BP14" s="761"/>
      <c r="BQ14" s="761"/>
      <c r="BR14" s="761"/>
      <c r="BS14" s="761"/>
      <c r="BT14" s="761"/>
      <c r="BU14" s="761"/>
      <c r="BV14" s="761"/>
      <c r="BW14" s="761"/>
      <c r="BX14" s="761"/>
      <c r="BY14" s="761"/>
      <c r="BZ14" s="761"/>
      <c r="CA14" s="761"/>
      <c r="CB14" s="761"/>
      <c r="CC14" s="761"/>
      <c r="CD14" s="761"/>
    </row>
    <row r="15" spans="2:82" s="1" customFormat="1" ht="15" customHeight="1">
      <c r="B15" s="574"/>
      <c r="C15" s="574"/>
      <c r="D15" s="574"/>
      <c r="E15" s="574"/>
      <c r="F15" s="574"/>
      <c r="G15" s="574"/>
      <c r="H15" s="574"/>
      <c r="I15" s="1192"/>
      <c r="J15" s="1192"/>
      <c r="K15" s="1192"/>
      <c r="L15" s="1192"/>
      <c r="M15" s="1192"/>
      <c r="N15" s="1192"/>
      <c r="O15" s="1192"/>
      <c r="P15" s="1192"/>
      <c r="Q15" s="574"/>
      <c r="R15" s="574"/>
      <c r="S15" s="574"/>
      <c r="T15" s="574"/>
      <c r="U15" s="574"/>
      <c r="V15" s="574"/>
      <c r="Z15" s="112"/>
      <c r="AA15" s="188" t="s">
        <v>448</v>
      </c>
      <c r="AB15" s="563">
        <v>45139</v>
      </c>
      <c r="AC15" s="564">
        <f>12.60694-AC10</f>
        <v>3.9060500000000005</v>
      </c>
      <c r="AD15" s="565">
        <v>2.0455000000000001</v>
      </c>
      <c r="AE15" s="745">
        <f t="shared" si="5"/>
        <v>7.9898252750000012</v>
      </c>
      <c r="AF15" s="565">
        <v>5.5</v>
      </c>
      <c r="AG15" s="746">
        <f t="shared" si="6"/>
        <v>13.493449725000001</v>
      </c>
      <c r="AH15" s="754"/>
      <c r="AI15" s="754"/>
      <c r="AJ15" s="188"/>
      <c r="AK15" s="751">
        <f t="shared" si="7"/>
        <v>3.9060500000000005</v>
      </c>
      <c r="AL15" s="565"/>
      <c r="AM15" s="566">
        <f t="shared" si="15"/>
        <v>0</v>
      </c>
      <c r="AN15" s="741">
        <f t="shared" si="8"/>
        <v>-7.9898252750000012</v>
      </c>
      <c r="AO15" s="571">
        <f t="shared" si="9"/>
        <v>5.3101477270209802E-3</v>
      </c>
      <c r="AP15" s="743">
        <f t="shared" si="16"/>
        <v>6.6461374864308024E-4</v>
      </c>
      <c r="AQ15" s="750">
        <f t="shared" si="3"/>
        <v>-1</v>
      </c>
      <c r="AR15" s="748">
        <f t="shared" si="10"/>
        <v>-45139</v>
      </c>
      <c r="AS15" s="599">
        <f t="shared" si="11"/>
        <v>-1504.6333333333334</v>
      </c>
      <c r="AX15" s="761"/>
      <c r="AY15" s="761"/>
      <c r="AZ15" s="761"/>
      <c r="BA15" s="761"/>
      <c r="BB15" s="761"/>
      <c r="BC15" s="761"/>
      <c r="BD15" s="761"/>
      <c r="BE15" s="761"/>
      <c r="BF15" s="761"/>
      <c r="BG15" s="761"/>
      <c r="BH15" s="761"/>
      <c r="BI15" s="761"/>
      <c r="BJ15" s="761"/>
      <c r="BK15" s="761"/>
      <c r="BL15" s="761"/>
      <c r="BM15" s="761"/>
      <c r="BN15" s="761"/>
      <c r="BO15" s="761"/>
      <c r="BP15" s="761"/>
      <c r="BQ15" s="761"/>
      <c r="BR15" s="761"/>
      <c r="BS15" s="761"/>
      <c r="BT15" s="761"/>
      <c r="BU15" s="761"/>
      <c r="BV15" s="761"/>
      <c r="BW15" s="761"/>
      <c r="BX15" s="761"/>
      <c r="BY15" s="761"/>
      <c r="BZ15" s="761"/>
      <c r="CA15" s="761"/>
      <c r="CB15" s="761"/>
      <c r="CC15" s="761"/>
      <c r="CD15" s="761"/>
    </row>
    <row r="16" spans="2:82">
      <c r="B16" s="524">
        <f>SUM(C26:V26)</f>
        <v>51.55</v>
      </c>
      <c r="C16" s="1184">
        <f>SUM(C25:V25)</f>
        <v>252.19689499999996</v>
      </c>
      <c r="D16" s="1185"/>
      <c r="E16" s="1189" t="s">
        <v>228</v>
      </c>
      <c r="F16" s="1190"/>
      <c r="G16" s="1190"/>
      <c r="H16" s="1190"/>
      <c r="I16" s="1190"/>
      <c r="J16" s="1190"/>
      <c r="K16" s="1190"/>
      <c r="L16" s="1190"/>
      <c r="M16" s="1190"/>
      <c r="N16" s="1190"/>
      <c r="O16" s="1190"/>
      <c r="P16" s="1190"/>
      <c r="Q16" s="1190"/>
      <c r="R16" s="1190"/>
      <c r="S16" s="1190"/>
      <c r="T16" s="1190"/>
      <c r="U16" s="1190"/>
      <c r="V16" s="1185"/>
      <c r="W16" s="540"/>
      <c r="Z16" s="112"/>
      <c r="AA16" s="188" t="s">
        <v>635</v>
      </c>
      <c r="AB16" s="563">
        <v>45140</v>
      </c>
      <c r="AC16" s="564">
        <v>33</v>
      </c>
      <c r="AD16" s="565">
        <v>0.16</v>
      </c>
      <c r="AE16" s="745">
        <f t="shared" si="5"/>
        <v>5.28</v>
      </c>
      <c r="AF16" s="565">
        <v>1</v>
      </c>
      <c r="AG16" s="746">
        <f t="shared" si="6"/>
        <v>27.72</v>
      </c>
      <c r="AH16" s="754">
        <f>30*AD16</f>
        <v>4.8</v>
      </c>
      <c r="AI16" s="754">
        <v>15.95</v>
      </c>
      <c r="AJ16" s="563">
        <v>45153</v>
      </c>
      <c r="AK16" s="751">
        <v>30</v>
      </c>
      <c r="AL16" s="565">
        <v>0.53180000000000005</v>
      </c>
      <c r="AM16" s="566">
        <f t="shared" si="15"/>
        <v>15.954000000000001</v>
      </c>
      <c r="AN16" s="741">
        <f t="shared" si="8"/>
        <v>10.673999999999999</v>
      </c>
      <c r="AO16" s="571">
        <f t="shared" si="9"/>
        <v>10.673999999999999</v>
      </c>
      <c r="AP16" s="743">
        <f t="shared" si="16"/>
        <v>2.021590909090909</v>
      </c>
      <c r="AQ16" s="750">
        <f t="shared" si="3"/>
        <v>2.021590909090909</v>
      </c>
      <c r="AR16" s="748">
        <f t="shared" si="10"/>
        <v>13</v>
      </c>
      <c r="AS16" s="599">
        <v>1</v>
      </c>
    </row>
    <row r="17" spans="2:82">
      <c r="B17" s="528" t="s">
        <v>1</v>
      </c>
      <c r="C17" s="525">
        <v>45054</v>
      </c>
      <c r="D17" s="525"/>
      <c r="E17" s="461"/>
      <c r="F17" s="461"/>
      <c r="G17" s="461"/>
      <c r="H17" s="461"/>
      <c r="I17" s="461"/>
      <c r="J17" s="461"/>
      <c r="K17" s="461"/>
      <c r="L17" s="461"/>
      <c r="M17" s="461"/>
      <c r="N17" s="461"/>
      <c r="O17" s="461"/>
      <c r="P17" s="461"/>
      <c r="Q17" s="461"/>
      <c r="R17" s="461"/>
      <c r="S17" s="461"/>
      <c r="T17" s="461"/>
      <c r="U17" s="461"/>
      <c r="V17" s="461"/>
      <c r="W17" s="540"/>
      <c r="Z17" s="112"/>
      <c r="AA17" s="188" t="s">
        <v>633</v>
      </c>
      <c r="AB17" s="563">
        <v>45140</v>
      </c>
      <c r="AC17" s="564">
        <v>16</v>
      </c>
      <c r="AD17" s="565">
        <v>0.33</v>
      </c>
      <c r="AE17" s="745">
        <f t="shared" si="5"/>
        <v>5.28</v>
      </c>
      <c r="AF17" s="565">
        <v>2</v>
      </c>
      <c r="AG17" s="746">
        <f t="shared" si="6"/>
        <v>26.72</v>
      </c>
      <c r="AH17" s="754"/>
      <c r="AI17" s="754"/>
      <c r="AJ17" s="188"/>
      <c r="AK17" s="751">
        <f t="shared" si="7"/>
        <v>16</v>
      </c>
      <c r="AL17" s="565"/>
      <c r="AM17" s="566">
        <f t="shared" si="15"/>
        <v>0</v>
      </c>
      <c r="AN17" s="741">
        <f t="shared" si="8"/>
        <v>-5.28</v>
      </c>
      <c r="AO17" s="571">
        <f t="shared" si="9"/>
        <v>3.5090828533451486E-3</v>
      </c>
      <c r="AP17" s="743">
        <f t="shared" si="16"/>
        <v>6.64599025254763E-4</v>
      </c>
      <c r="AQ17" s="750">
        <f t="shared" si="3"/>
        <v>-1</v>
      </c>
      <c r="AR17" s="748">
        <f t="shared" si="10"/>
        <v>-45140</v>
      </c>
      <c r="AS17" s="599">
        <f t="shared" si="11"/>
        <v>-1504.6666666666667</v>
      </c>
    </row>
    <row r="18" spans="2:82">
      <c r="B18" s="528" t="s">
        <v>395</v>
      </c>
      <c r="C18" s="526">
        <v>4.96</v>
      </c>
      <c r="D18" s="526"/>
      <c r="E18" s="526"/>
      <c r="F18" s="526"/>
      <c r="G18" s="526"/>
      <c r="H18" s="526"/>
      <c r="I18" s="526"/>
      <c r="J18" s="526"/>
      <c r="K18" s="526"/>
      <c r="L18" s="526"/>
      <c r="M18" s="526"/>
      <c r="N18" s="526"/>
      <c r="O18" s="526"/>
      <c r="P18" s="526"/>
      <c r="Q18" s="526"/>
      <c r="R18" s="526"/>
      <c r="S18" s="526"/>
      <c r="T18" s="526"/>
      <c r="U18" s="526"/>
      <c r="V18" s="526"/>
      <c r="W18" s="169"/>
      <c r="Z18" s="112"/>
      <c r="AA18" s="188" t="s">
        <v>637</v>
      </c>
      <c r="AB18" s="563">
        <v>45140</v>
      </c>
      <c r="AC18" s="564">
        <v>3</v>
      </c>
      <c r="AD18" s="565">
        <v>2.0299999999999998</v>
      </c>
      <c r="AE18" s="745">
        <f t="shared" si="5"/>
        <v>6.09</v>
      </c>
      <c r="AF18" s="565"/>
      <c r="AG18" s="746">
        <f t="shared" si="6"/>
        <v>-6.09</v>
      </c>
      <c r="AH18" s="754"/>
      <c r="AI18" s="754"/>
      <c r="AJ18" s="188"/>
      <c r="AK18" s="751">
        <f t="shared" si="7"/>
        <v>3</v>
      </c>
      <c r="AL18" s="565"/>
      <c r="AM18" s="566">
        <f t="shared" si="15"/>
        <v>0</v>
      </c>
      <c r="AN18" s="741">
        <f t="shared" si="8"/>
        <v>-6.09</v>
      </c>
      <c r="AO18" s="571">
        <f t="shared" si="9"/>
        <v>4.0474080638015063E-3</v>
      </c>
      <c r="AP18" s="743">
        <f t="shared" si="16"/>
        <v>6.64599025254763E-4</v>
      </c>
      <c r="AQ18" s="750">
        <f t="shared" si="3"/>
        <v>-1</v>
      </c>
      <c r="AR18" s="748">
        <f t="shared" si="10"/>
        <v>-45140</v>
      </c>
      <c r="AS18" s="599">
        <f t="shared" si="11"/>
        <v>-1504.6666666666667</v>
      </c>
    </row>
    <row r="19" spans="2:82">
      <c r="B19" s="528" t="s">
        <v>396</v>
      </c>
      <c r="C19" s="462">
        <v>9.9000000000000008E-3</v>
      </c>
      <c r="D19" s="462"/>
      <c r="E19" s="462"/>
      <c r="F19" s="462"/>
      <c r="G19" s="462"/>
      <c r="H19" s="462"/>
      <c r="I19" s="462"/>
      <c r="J19" s="462"/>
      <c r="K19" s="462"/>
      <c r="L19" s="462"/>
      <c r="M19" s="462"/>
      <c r="N19" s="462"/>
      <c r="O19" s="462"/>
      <c r="P19" s="462"/>
      <c r="Q19" s="462"/>
      <c r="R19" s="462"/>
      <c r="S19" s="462"/>
      <c r="T19" s="462"/>
      <c r="U19" s="462"/>
      <c r="V19" s="462"/>
      <c r="W19" s="540"/>
      <c r="Z19" s="112"/>
      <c r="AA19" s="766" t="s">
        <v>448</v>
      </c>
      <c r="AB19" s="563">
        <v>45140</v>
      </c>
      <c r="AC19" s="564">
        <v>22.127559999999999</v>
      </c>
      <c r="AD19" s="565">
        <v>1.8779999999999999</v>
      </c>
      <c r="AE19" s="745">
        <f t="shared" si="5"/>
        <v>41.555557679999993</v>
      </c>
      <c r="AF19" s="565">
        <v>3</v>
      </c>
      <c r="AG19" s="746">
        <f t="shared" si="6"/>
        <v>24.827122320000001</v>
      </c>
      <c r="AH19" s="754"/>
      <c r="AI19" s="754"/>
      <c r="AJ19" s="188"/>
      <c r="AK19" s="751">
        <f t="shared" si="7"/>
        <v>22.127559999999999</v>
      </c>
      <c r="AL19" s="565"/>
      <c r="AM19" s="566">
        <f t="shared" si="15"/>
        <v>0</v>
      </c>
      <c r="AN19" s="741">
        <f t="shared" si="8"/>
        <v>-41.555557679999993</v>
      </c>
      <c r="AO19" s="571">
        <f t="shared" si="9"/>
        <v>2.7617783128046074E-2</v>
      </c>
      <c r="AP19" s="743">
        <f t="shared" si="16"/>
        <v>6.64599025254763E-4</v>
      </c>
      <c r="AQ19" s="750">
        <f t="shared" si="3"/>
        <v>-1</v>
      </c>
      <c r="AR19" s="748">
        <f t="shared" si="10"/>
        <v>-45140</v>
      </c>
      <c r="AS19" s="599">
        <f t="shared" si="11"/>
        <v>-1504.6666666666667</v>
      </c>
    </row>
    <row r="20" spans="2:82">
      <c r="B20" s="528" t="s">
        <v>395</v>
      </c>
      <c r="C20" s="526">
        <v>4.9108999999999998</v>
      </c>
      <c r="D20" s="526"/>
      <c r="E20" s="526"/>
      <c r="F20" s="526"/>
      <c r="G20" s="526"/>
      <c r="H20" s="526"/>
      <c r="I20" s="526"/>
      <c r="J20" s="526"/>
      <c r="K20" s="526"/>
      <c r="L20" s="526"/>
      <c r="M20" s="526"/>
      <c r="N20" s="526"/>
      <c r="O20" s="526"/>
      <c r="P20" s="526"/>
      <c r="Q20" s="526"/>
      <c r="R20" s="526"/>
      <c r="S20" s="526"/>
      <c r="T20" s="526"/>
      <c r="U20" s="526"/>
      <c r="V20" s="526"/>
      <c r="W20" s="540"/>
      <c r="Z20" s="112"/>
      <c r="AA20" s="188" t="s">
        <v>448</v>
      </c>
      <c r="AB20" s="563">
        <v>45147</v>
      </c>
      <c r="AC20" s="564">
        <v>35.126739999999998</v>
      </c>
      <c r="AD20" s="565">
        <v>1.708</v>
      </c>
      <c r="AE20" s="745">
        <f t="shared" si="5"/>
        <v>59.996471919999998</v>
      </c>
      <c r="AF20" s="565"/>
      <c r="AG20" s="746">
        <f t="shared" si="6"/>
        <v>-59.996471919999998</v>
      </c>
      <c r="AH20" s="754"/>
      <c r="AI20" s="754"/>
      <c r="AJ20" s="188"/>
      <c r="AK20" s="751">
        <f t="shared" si="7"/>
        <v>35.126739999999998</v>
      </c>
      <c r="AL20" s="565"/>
      <c r="AM20" s="566">
        <f t="shared" si="15"/>
        <v>0</v>
      </c>
      <c r="AN20" s="741">
        <f t="shared" si="8"/>
        <v>-59.996471919999998</v>
      </c>
      <c r="AO20" s="571">
        <f t="shared" si="9"/>
        <v>3.9867414392982921E-2</v>
      </c>
      <c r="AP20" s="743">
        <f t="shared" si="16"/>
        <v>6.6449597979932216E-4</v>
      </c>
      <c r="AQ20" s="750">
        <f t="shared" si="3"/>
        <v>-1</v>
      </c>
      <c r="AR20" s="748">
        <f t="shared" si="10"/>
        <v>-45147</v>
      </c>
      <c r="AS20" s="599">
        <f t="shared" si="11"/>
        <v>-1504.9</v>
      </c>
    </row>
    <row r="21" spans="2:82">
      <c r="B21" s="528" t="s">
        <v>397</v>
      </c>
      <c r="C21" s="555">
        <f>C26*C20</f>
        <v>253.15689499999996</v>
      </c>
      <c r="D21" s="555">
        <f t="shared" ref="D21:V21" si="17">D26*D20</f>
        <v>0</v>
      </c>
      <c r="E21" s="555">
        <f t="shared" si="17"/>
        <v>0</v>
      </c>
      <c r="F21" s="555">
        <f t="shared" si="17"/>
        <v>0</v>
      </c>
      <c r="G21" s="555">
        <f t="shared" si="17"/>
        <v>0</v>
      </c>
      <c r="H21" s="555">
        <f t="shared" si="17"/>
        <v>0</v>
      </c>
      <c r="I21" s="555">
        <f t="shared" si="17"/>
        <v>0</v>
      </c>
      <c r="J21" s="555">
        <f t="shared" si="17"/>
        <v>0</v>
      </c>
      <c r="K21" s="555">
        <f t="shared" si="17"/>
        <v>0</v>
      </c>
      <c r="L21" s="555">
        <f t="shared" si="17"/>
        <v>0</v>
      </c>
      <c r="M21" s="555">
        <f t="shared" si="17"/>
        <v>0</v>
      </c>
      <c r="N21" s="555">
        <f t="shared" si="17"/>
        <v>0</v>
      </c>
      <c r="O21" s="555">
        <f t="shared" si="17"/>
        <v>0</v>
      </c>
      <c r="P21" s="555">
        <f t="shared" si="17"/>
        <v>0</v>
      </c>
      <c r="Q21" s="555">
        <f t="shared" si="17"/>
        <v>0</v>
      </c>
      <c r="R21" s="555">
        <f t="shared" si="17"/>
        <v>0</v>
      </c>
      <c r="S21" s="555">
        <f t="shared" si="17"/>
        <v>0</v>
      </c>
      <c r="T21" s="555">
        <f t="shared" si="17"/>
        <v>0</v>
      </c>
      <c r="U21" s="555">
        <f t="shared" si="17"/>
        <v>0</v>
      </c>
      <c r="V21" s="555">
        <f t="shared" si="17"/>
        <v>0</v>
      </c>
      <c r="W21" s="540"/>
      <c r="Z21" s="112"/>
      <c r="AA21" s="188" t="s">
        <v>471</v>
      </c>
      <c r="AB21" s="563">
        <v>45147</v>
      </c>
      <c r="AC21" s="564">
        <v>299.19067999999999</v>
      </c>
      <c r="AD21" s="565">
        <v>0.13370000000000001</v>
      </c>
      <c r="AE21" s="745">
        <f t="shared" si="5"/>
        <v>40.001793916000004</v>
      </c>
      <c r="AF21" s="565"/>
      <c r="AG21" s="746">
        <f t="shared" si="6"/>
        <v>-40.001793916000004</v>
      </c>
      <c r="AH21" s="754"/>
      <c r="AI21" s="754"/>
      <c r="AJ21" s="188"/>
      <c r="AK21" s="751">
        <f t="shared" si="7"/>
        <v>299.19067999999999</v>
      </c>
      <c r="AL21" s="565"/>
      <c r="AM21" s="566">
        <f t="shared" si="15"/>
        <v>0</v>
      </c>
      <c r="AN21" s="741">
        <f t="shared" si="8"/>
        <v>-40.001793916000004</v>
      </c>
      <c r="AO21" s="571">
        <f t="shared" si="9"/>
        <v>2.6581031241942988E-2</v>
      </c>
      <c r="AP21" s="743">
        <f t="shared" si="16"/>
        <v>6.6449597979932216E-4</v>
      </c>
      <c r="AQ21" s="750">
        <f t="shared" si="3"/>
        <v>-1</v>
      </c>
      <c r="AR21" s="748">
        <f t="shared" si="10"/>
        <v>-45147</v>
      </c>
      <c r="AS21" s="599">
        <f t="shared" si="11"/>
        <v>-1504.9</v>
      </c>
    </row>
    <row r="22" spans="2:82">
      <c r="B22" s="528" t="s">
        <v>398</v>
      </c>
      <c r="C22" s="464">
        <v>0.96</v>
      </c>
      <c r="D22" s="464"/>
      <c r="E22" s="464"/>
      <c r="F22" s="464"/>
      <c r="G22" s="464"/>
      <c r="H22" s="464"/>
      <c r="I22" s="464"/>
      <c r="J22" s="464"/>
      <c r="K22" s="464"/>
      <c r="L22" s="464"/>
      <c r="M22" s="464"/>
      <c r="N22" s="464"/>
      <c r="O22" s="464"/>
      <c r="P22" s="464"/>
      <c r="Q22" s="464"/>
      <c r="R22" s="464"/>
      <c r="S22" s="464"/>
      <c r="T22" s="464"/>
      <c r="U22" s="464"/>
      <c r="V22" s="464"/>
      <c r="W22" s="169">
        <f t="shared" ref="W22" si="18">SUM(C22:V22)</f>
        <v>0.96</v>
      </c>
      <c r="Z22" s="112"/>
      <c r="AA22" s="188" t="s">
        <v>448</v>
      </c>
      <c r="AB22" s="563">
        <v>45160</v>
      </c>
      <c r="AC22" s="564">
        <v>10</v>
      </c>
      <c r="AD22" s="565">
        <v>1.6850000000000001</v>
      </c>
      <c r="AE22" s="745">
        <f t="shared" si="5"/>
        <v>16.850000000000001</v>
      </c>
      <c r="AF22" s="565"/>
      <c r="AG22" s="746">
        <f t="shared" si="6"/>
        <v>-16.850000000000001</v>
      </c>
      <c r="AH22" s="754"/>
      <c r="AI22" s="754"/>
      <c r="AJ22" s="188"/>
      <c r="AK22" s="751">
        <f t="shared" si="7"/>
        <v>10</v>
      </c>
      <c r="AL22" s="565"/>
      <c r="AM22" s="566">
        <f t="shared" si="15"/>
        <v>0</v>
      </c>
      <c r="AN22" s="741">
        <f t="shared" si="8"/>
        <v>-16.850000000000001</v>
      </c>
      <c r="AO22" s="571">
        <f t="shared" si="9"/>
        <v>1.1193534100974315E-2</v>
      </c>
      <c r="AP22" s="743">
        <f t="shared" si="16"/>
        <v>6.6430469441984064E-4</v>
      </c>
      <c r="AQ22" s="750">
        <f t="shared" si="3"/>
        <v>-1</v>
      </c>
      <c r="AR22" s="748">
        <f t="shared" si="10"/>
        <v>-45160</v>
      </c>
      <c r="AS22" s="599">
        <f t="shared" si="11"/>
        <v>-1505.3333333333333</v>
      </c>
    </row>
    <row r="23" spans="2:82">
      <c r="B23" s="528" t="s">
        <v>399</v>
      </c>
      <c r="C23" s="464">
        <v>0</v>
      </c>
      <c r="D23" s="464"/>
      <c r="E23" s="464"/>
      <c r="F23" s="464"/>
      <c r="G23" s="464"/>
      <c r="H23" s="464"/>
      <c r="I23" s="464"/>
      <c r="J23" s="464"/>
      <c r="K23" s="464"/>
      <c r="L23" s="464"/>
      <c r="M23" s="464"/>
      <c r="N23" s="464"/>
      <c r="O23" s="464"/>
      <c r="P23" s="464"/>
      <c r="Q23" s="464"/>
      <c r="R23" s="464"/>
      <c r="S23" s="464"/>
      <c r="T23" s="464"/>
      <c r="U23" s="464"/>
      <c r="V23" s="464"/>
      <c r="W23" s="540"/>
      <c r="Z23" s="112"/>
      <c r="AA23" s="188" t="s">
        <v>634</v>
      </c>
      <c r="AB23" s="563">
        <v>45160</v>
      </c>
      <c r="AC23" s="564">
        <v>20</v>
      </c>
      <c r="AD23" s="565">
        <v>1.22</v>
      </c>
      <c r="AE23" s="745">
        <f t="shared" si="5"/>
        <v>24.4</v>
      </c>
      <c r="AF23" s="565"/>
      <c r="AG23" s="746">
        <f t="shared" si="6"/>
        <v>-24.4</v>
      </c>
      <c r="AH23" s="754"/>
      <c r="AI23" s="754"/>
      <c r="AJ23" s="188"/>
      <c r="AK23" s="751">
        <f t="shared" si="7"/>
        <v>20</v>
      </c>
      <c r="AL23" s="565"/>
      <c r="AM23" s="566">
        <f t="shared" si="15"/>
        <v>0</v>
      </c>
      <c r="AN23" s="741">
        <f t="shared" si="8"/>
        <v>-24.4</v>
      </c>
      <c r="AO23" s="571">
        <f t="shared" si="9"/>
        <v>1.6209034543844109E-2</v>
      </c>
      <c r="AP23" s="743">
        <f t="shared" si="16"/>
        <v>6.6430469441984053E-4</v>
      </c>
      <c r="AQ23" s="750">
        <f t="shared" si="3"/>
        <v>-1</v>
      </c>
      <c r="AR23" s="748">
        <f t="shared" si="10"/>
        <v>-45160</v>
      </c>
      <c r="AS23" s="599">
        <f t="shared" si="11"/>
        <v>-1505.3333333333333</v>
      </c>
    </row>
    <row r="24" spans="2:82">
      <c r="B24" s="528" t="s">
        <v>400</v>
      </c>
      <c r="C24" s="464">
        <v>4.8899999999999997</v>
      </c>
      <c r="D24" s="464"/>
      <c r="E24" s="464"/>
      <c r="F24" s="464"/>
      <c r="G24" s="464"/>
      <c r="H24" s="464"/>
      <c r="I24" s="464"/>
      <c r="J24" s="464"/>
      <c r="K24" s="464"/>
      <c r="L24" s="464"/>
      <c r="M24" s="464"/>
      <c r="N24" s="464"/>
      <c r="O24" s="464"/>
      <c r="P24" s="464"/>
      <c r="Q24" s="464"/>
      <c r="R24" s="464"/>
      <c r="S24" s="464"/>
      <c r="T24" s="464"/>
      <c r="U24" s="464"/>
      <c r="V24" s="464"/>
      <c r="W24" s="540"/>
      <c r="AA24" s="188" t="s">
        <v>637</v>
      </c>
      <c r="AB24" s="563">
        <v>45160</v>
      </c>
      <c r="AC24" s="564">
        <v>10</v>
      </c>
      <c r="AD24" s="565">
        <v>1.56</v>
      </c>
      <c r="AE24" s="745">
        <f t="shared" si="5"/>
        <v>15.600000000000001</v>
      </c>
      <c r="AF24" s="565"/>
      <c r="AG24" s="746">
        <f t="shared" si="6"/>
        <v>-15.600000000000001</v>
      </c>
      <c r="AH24" s="754"/>
      <c r="AI24" s="754"/>
      <c r="AJ24" s="188"/>
      <c r="AK24" s="751">
        <f t="shared" si="7"/>
        <v>10</v>
      </c>
      <c r="AL24" s="565"/>
      <c r="AM24" s="566">
        <f t="shared" si="15"/>
        <v>0</v>
      </c>
      <c r="AN24" s="741">
        <f t="shared" si="8"/>
        <v>-15.600000000000001</v>
      </c>
      <c r="AO24" s="571">
        <f t="shared" si="9"/>
        <v>1.0363153232949514E-2</v>
      </c>
      <c r="AP24" s="743">
        <f t="shared" si="16"/>
        <v>6.6430469441984053E-4</v>
      </c>
      <c r="AQ24" s="750">
        <f t="shared" si="3"/>
        <v>-1</v>
      </c>
      <c r="AR24" s="748">
        <f t="shared" si="10"/>
        <v>-45160</v>
      </c>
      <c r="AS24" s="599">
        <f t="shared" si="11"/>
        <v>-1505.3333333333333</v>
      </c>
    </row>
    <row r="25" spans="2:82">
      <c r="B25" s="528" t="s">
        <v>401</v>
      </c>
      <c r="C25" s="555">
        <f>C21-C22</f>
        <v>252.19689499999996</v>
      </c>
      <c r="D25" s="555">
        <f t="shared" ref="D25:V25" si="19">D21-D22</f>
        <v>0</v>
      </c>
      <c r="E25" s="555">
        <f t="shared" si="19"/>
        <v>0</v>
      </c>
      <c r="F25" s="555">
        <f t="shared" si="19"/>
        <v>0</v>
      </c>
      <c r="G25" s="555">
        <f t="shared" si="19"/>
        <v>0</v>
      </c>
      <c r="H25" s="555">
        <f t="shared" si="19"/>
        <v>0</v>
      </c>
      <c r="I25" s="555">
        <f t="shared" si="19"/>
        <v>0</v>
      </c>
      <c r="J25" s="555">
        <f t="shared" si="19"/>
        <v>0</v>
      </c>
      <c r="K25" s="555">
        <f t="shared" si="19"/>
        <v>0</v>
      </c>
      <c r="L25" s="555">
        <f t="shared" si="19"/>
        <v>0</v>
      </c>
      <c r="M25" s="555">
        <f t="shared" si="19"/>
        <v>0</v>
      </c>
      <c r="N25" s="555">
        <f t="shared" si="19"/>
        <v>0</v>
      </c>
      <c r="O25" s="555">
        <f t="shared" si="19"/>
        <v>0</v>
      </c>
      <c r="P25" s="555">
        <f t="shared" si="19"/>
        <v>0</v>
      </c>
      <c r="Q25" s="555">
        <f t="shared" si="19"/>
        <v>0</v>
      </c>
      <c r="R25" s="555">
        <f t="shared" si="19"/>
        <v>0</v>
      </c>
      <c r="S25" s="555">
        <f t="shared" si="19"/>
        <v>0</v>
      </c>
      <c r="T25" s="555">
        <f t="shared" si="19"/>
        <v>0</v>
      </c>
      <c r="U25" s="555">
        <f t="shared" si="19"/>
        <v>0</v>
      </c>
      <c r="V25" s="555">
        <f t="shared" si="19"/>
        <v>0</v>
      </c>
      <c r="W25" s="169">
        <f t="shared" ref="W25" si="20">SUM(C25:V25)</f>
        <v>252.19689499999996</v>
      </c>
      <c r="AA25" s="188" t="s">
        <v>633</v>
      </c>
      <c r="AB25" s="563">
        <v>45160</v>
      </c>
      <c r="AC25" s="564">
        <v>500</v>
      </c>
      <c r="AD25" s="565">
        <v>0.18909999999999999</v>
      </c>
      <c r="AE25" s="745">
        <f t="shared" si="5"/>
        <v>94.55</v>
      </c>
      <c r="AF25" s="565"/>
      <c r="AG25" s="746">
        <f t="shared" si="6"/>
        <v>-94.55</v>
      </c>
      <c r="AH25" s="754"/>
      <c r="AI25" s="754"/>
      <c r="AJ25" s="188"/>
      <c r="AK25" s="751">
        <f t="shared" si="7"/>
        <v>500</v>
      </c>
      <c r="AL25" s="565"/>
      <c r="AM25" s="566">
        <f t="shared" si="15"/>
        <v>0</v>
      </c>
      <c r="AN25" s="741">
        <f t="shared" si="8"/>
        <v>-94.55</v>
      </c>
      <c r="AO25" s="571">
        <f t="shared" si="9"/>
        <v>6.2810008857395933E-2</v>
      </c>
      <c r="AP25" s="743">
        <f t="shared" si="16"/>
        <v>6.6430469441984064E-4</v>
      </c>
      <c r="AQ25" s="750">
        <f t="shared" si="3"/>
        <v>-1</v>
      </c>
      <c r="AR25" s="748">
        <f t="shared" si="10"/>
        <v>-45160</v>
      </c>
      <c r="AS25" s="599">
        <f t="shared" si="11"/>
        <v>-1505.3333333333333</v>
      </c>
    </row>
    <row r="26" spans="2:82">
      <c r="B26" s="528" t="s">
        <v>402</v>
      </c>
      <c r="C26" s="527">
        <v>51.55</v>
      </c>
      <c r="D26" s="527"/>
      <c r="E26" s="527"/>
      <c r="F26" s="527"/>
      <c r="G26" s="527"/>
      <c r="H26" s="527"/>
      <c r="I26" s="527"/>
      <c r="J26" s="527"/>
      <c r="K26" s="527"/>
      <c r="L26" s="527"/>
      <c r="M26" s="527"/>
      <c r="N26" s="527"/>
      <c r="O26" s="527"/>
      <c r="P26" s="527"/>
      <c r="Q26" s="527"/>
      <c r="R26" s="527"/>
      <c r="S26" s="527"/>
      <c r="T26" s="527"/>
      <c r="U26" s="527"/>
      <c r="V26" s="527"/>
      <c r="W26" s="540">
        <f>SUM(C26:V26)</f>
        <v>51.55</v>
      </c>
      <c r="AA26" s="188"/>
      <c r="AB26" s="188"/>
      <c r="AC26" s="564"/>
      <c r="AD26" s="565"/>
      <c r="AE26" s="745">
        <f t="shared" si="5"/>
        <v>0</v>
      </c>
      <c r="AF26" s="565"/>
      <c r="AG26" s="746">
        <f t="shared" si="6"/>
        <v>0</v>
      </c>
      <c r="AH26" s="754"/>
      <c r="AI26" s="754"/>
      <c r="AJ26" s="188"/>
      <c r="AK26" s="751">
        <f t="shared" si="7"/>
        <v>0</v>
      </c>
      <c r="AL26" s="565"/>
      <c r="AM26" s="566">
        <f t="shared" si="15"/>
        <v>0</v>
      </c>
      <c r="AN26" s="741">
        <f t="shared" si="8"/>
        <v>0</v>
      </c>
      <c r="AO26" s="571" t="e">
        <f t="shared" si="9"/>
        <v>#DIV/0!</v>
      </c>
      <c r="AP26" s="743" t="e">
        <f t="shared" si="16"/>
        <v>#DIV/0!</v>
      </c>
      <c r="AQ26" s="750" t="e">
        <f t="shared" si="3"/>
        <v>#DIV/0!</v>
      </c>
      <c r="AR26" s="748">
        <f t="shared" si="10"/>
        <v>0</v>
      </c>
      <c r="AS26" s="599">
        <f t="shared" si="11"/>
        <v>0</v>
      </c>
    </row>
    <row r="27" spans="2:82" s="1" customFormat="1">
      <c r="AA27" s="46"/>
      <c r="AB27" s="46"/>
      <c r="AC27" s="46"/>
      <c r="AD27" s="46"/>
      <c r="AE27" s="745">
        <f>SUM(AE8:AE26)</f>
        <v>497.44447589100002</v>
      </c>
      <c r="AF27" s="567"/>
      <c r="AG27" s="756">
        <f t="shared" ref="AG27:AN27" si="21">SUM(AG8:AG26)</f>
        <v>-63.996805890999994</v>
      </c>
      <c r="AH27" s="755">
        <f>SUM(AH8:AH26)</f>
        <v>121.25998250000001</v>
      </c>
      <c r="AI27" s="755">
        <f>SUM(AI8:AI26)</f>
        <v>152.3097085</v>
      </c>
      <c r="AJ27" s="567"/>
      <c r="AK27" s="566">
        <f t="shared" si="21"/>
        <v>1035.99242</v>
      </c>
      <c r="AL27" s="565"/>
      <c r="AM27" s="565"/>
      <c r="AN27" s="566">
        <f t="shared" si="21"/>
        <v>-345.13076739099995</v>
      </c>
      <c r="AO27" s="46"/>
      <c r="AP27" s="46"/>
      <c r="AQ27" s="46"/>
      <c r="AR27" s="46"/>
      <c r="AX27" s="761"/>
      <c r="AY27" s="761"/>
      <c r="AZ27" s="761"/>
      <c r="BA27" s="761"/>
      <c r="BB27" s="761"/>
      <c r="BC27" s="761"/>
      <c r="BD27" s="761"/>
      <c r="BE27" s="761"/>
      <c r="BF27" s="761"/>
      <c r="BG27" s="761"/>
      <c r="BH27" s="761"/>
      <c r="BI27" s="761"/>
      <c r="BJ27" s="761"/>
      <c r="BK27" s="761"/>
      <c r="BL27" s="761"/>
      <c r="BM27" s="761"/>
      <c r="BN27" s="761"/>
      <c r="BO27" s="761"/>
      <c r="BP27" s="761"/>
      <c r="BQ27" s="761"/>
      <c r="BR27" s="761"/>
      <c r="BS27" s="761"/>
      <c r="BT27" s="761"/>
      <c r="BU27" s="761"/>
      <c r="BV27" s="761"/>
      <c r="BW27" s="761"/>
      <c r="BX27" s="761"/>
      <c r="BY27" s="761"/>
      <c r="BZ27" s="761"/>
      <c r="CA27" s="761"/>
      <c r="CB27" s="761"/>
      <c r="CC27" s="761"/>
      <c r="CD27" s="761"/>
    </row>
    <row r="28" spans="2:82" s="1" customFormat="1">
      <c r="AH28" s="1179">
        <f>AI27-AH27</f>
        <v>31.049725999999993</v>
      </c>
      <c r="AI28" s="1180"/>
      <c r="AX28" s="761"/>
      <c r="AY28" s="761"/>
      <c r="AZ28" s="761"/>
      <c r="BA28" s="761"/>
      <c r="BB28" s="761"/>
      <c r="BC28" s="761"/>
      <c r="BD28" s="761"/>
      <c r="BE28" s="761"/>
      <c r="BF28" s="761"/>
      <c r="BG28" s="761"/>
      <c r="BH28" s="761"/>
      <c r="BI28" s="761"/>
      <c r="BJ28" s="761"/>
      <c r="BK28" s="761"/>
      <c r="BL28" s="761"/>
      <c r="BM28" s="761"/>
      <c r="BN28" s="761"/>
      <c r="BO28" s="761"/>
      <c r="BP28" s="761"/>
      <c r="BQ28" s="761"/>
      <c r="BR28" s="761"/>
      <c r="BS28" s="761"/>
      <c r="BT28" s="761"/>
      <c r="BU28" s="761"/>
      <c r="BV28" s="761"/>
      <c r="BW28" s="761"/>
      <c r="BX28" s="761"/>
      <c r="BY28" s="761"/>
      <c r="BZ28" s="761"/>
      <c r="CA28" s="761"/>
      <c r="CB28" s="761"/>
      <c r="CC28" s="761"/>
      <c r="CD28" s="761"/>
    </row>
    <row r="29" spans="2:82" s="1" customFormat="1">
      <c r="AG29" s="645"/>
      <c r="AH29" s="1181">
        <f>AH28/AH27</f>
        <v>0.25605913311095846</v>
      </c>
      <c r="AI29" s="1181"/>
      <c r="AJ29" s="645"/>
      <c r="AK29" s="645"/>
      <c r="AL29" s="645"/>
      <c r="AX29" s="761"/>
      <c r="AY29" s="761"/>
      <c r="AZ29" s="761"/>
      <c r="BA29" s="761"/>
      <c r="BB29" s="761"/>
      <c r="BC29" s="761"/>
      <c r="BD29" s="761"/>
      <c r="BE29" s="761"/>
      <c r="BF29" s="761"/>
      <c r="BG29" s="761"/>
      <c r="BH29" s="761"/>
      <c r="BI29" s="761"/>
      <c r="BJ29" s="761"/>
      <c r="BK29" s="761"/>
      <c r="BL29" s="761"/>
      <c r="BM29" s="761"/>
      <c r="BN29" s="761"/>
      <c r="BO29" s="761"/>
      <c r="BP29" s="761"/>
      <c r="BQ29" s="761"/>
      <c r="BR29" s="761"/>
      <c r="BS29" s="761"/>
      <c r="BT29" s="761"/>
      <c r="BU29" s="761"/>
      <c r="BV29" s="761"/>
      <c r="BW29" s="761"/>
      <c r="BX29" s="761"/>
      <c r="BY29" s="761"/>
      <c r="BZ29" s="761"/>
      <c r="CA29" s="761"/>
      <c r="CB29" s="761"/>
      <c r="CC29" s="761"/>
      <c r="CD29" s="761"/>
    </row>
    <row r="30" spans="2:82" s="1" customFormat="1">
      <c r="AH30" s="1182" t="s">
        <v>629</v>
      </c>
      <c r="AI30" s="1182"/>
      <c r="AJ30" s="906"/>
      <c r="AK30" s="906"/>
      <c r="AL30" s="906"/>
      <c r="AX30" s="761"/>
      <c r="AY30" s="761"/>
      <c r="AZ30" s="761"/>
      <c r="BA30" s="761"/>
      <c r="BB30" s="761"/>
      <c r="BC30" s="761"/>
      <c r="BD30" s="761"/>
      <c r="BE30" s="761"/>
      <c r="BF30" s="761"/>
      <c r="BG30" s="761"/>
      <c r="BH30" s="761"/>
      <c r="BI30" s="761"/>
      <c r="BJ30" s="761"/>
      <c r="BK30" s="761"/>
      <c r="BL30" s="761"/>
      <c r="BM30" s="761"/>
      <c r="BN30" s="761"/>
      <c r="BO30" s="761"/>
      <c r="BP30" s="761"/>
      <c r="BQ30" s="761"/>
      <c r="BR30" s="761"/>
      <c r="BS30" s="761"/>
      <c r="BT30" s="761"/>
      <c r="BU30" s="761"/>
      <c r="BV30" s="761"/>
      <c r="BW30" s="761"/>
      <c r="BX30" s="761"/>
      <c r="BY30" s="761"/>
      <c r="BZ30" s="761"/>
      <c r="CA30" s="761"/>
      <c r="CB30" s="761"/>
      <c r="CC30" s="761"/>
      <c r="CD30" s="761"/>
    </row>
    <row r="31" spans="2:82" s="1" customFormat="1">
      <c r="AE31" s="169">
        <v>4.9800000000000004</v>
      </c>
      <c r="AJ31" s="906"/>
      <c r="AK31" s="906"/>
      <c r="AL31" s="906"/>
      <c r="AX31" s="761"/>
      <c r="AY31" s="761"/>
      <c r="AZ31" s="761"/>
      <c r="BA31" s="761"/>
      <c r="BB31" s="761"/>
      <c r="BC31" s="761"/>
      <c r="BD31" s="761"/>
      <c r="BE31" s="761"/>
      <c r="BF31" s="761"/>
      <c r="BG31" s="761"/>
      <c r="BH31" s="761"/>
      <c r="BI31" s="761"/>
      <c r="BJ31" s="761"/>
      <c r="BK31" s="761"/>
      <c r="BL31" s="761"/>
      <c r="BM31" s="761"/>
      <c r="BN31" s="761"/>
      <c r="BO31" s="761"/>
      <c r="BP31" s="761"/>
      <c r="BQ31" s="761"/>
      <c r="BR31" s="761"/>
      <c r="BS31" s="761"/>
      <c r="BT31" s="761"/>
      <c r="BU31" s="761"/>
      <c r="BV31" s="761"/>
      <c r="BW31" s="761"/>
      <c r="BX31" s="761"/>
      <c r="BY31" s="761"/>
      <c r="BZ31" s="761"/>
      <c r="CA31" s="761"/>
      <c r="CB31" s="761"/>
      <c r="CC31" s="761"/>
      <c r="CD31" s="761"/>
    </row>
    <row r="32" spans="2:82" s="1" customFormat="1">
      <c r="J32" s="787">
        <v>45027</v>
      </c>
      <c r="K32" s="1" t="s">
        <v>659</v>
      </c>
      <c r="L32" s="1">
        <v>20</v>
      </c>
      <c r="O32" s="1">
        <v>40</v>
      </c>
      <c r="AJ32" s="906"/>
      <c r="AK32" s="906"/>
      <c r="AL32" s="906"/>
      <c r="AM32" s="458"/>
      <c r="AN32" s="1" t="s">
        <v>448</v>
      </c>
      <c r="AO32" s="773">
        <f>AC20+AC19+AC15+AC10</f>
        <v>69.861239999999995</v>
      </c>
      <c r="AP32" s="540">
        <f>AE20+AE19+AE15+AE10</f>
        <v>135.557515975</v>
      </c>
      <c r="AQ32" s="742">
        <f>AP32/AO32</f>
        <v>1.9403823346822933</v>
      </c>
      <c r="AX32" s="761"/>
      <c r="AY32" s="761"/>
      <c r="AZ32" s="761"/>
      <c r="BA32" s="761"/>
      <c r="BB32" s="761"/>
      <c r="BC32" s="761"/>
      <c r="BD32" s="761"/>
      <c r="BE32" s="761"/>
      <c r="BF32" s="761"/>
      <c r="BG32" s="761"/>
      <c r="BH32" s="761"/>
      <c r="BI32" s="761"/>
      <c r="BJ32" s="761"/>
      <c r="BK32" s="761"/>
      <c r="BL32" s="761"/>
      <c r="BM32" s="761"/>
      <c r="BN32" s="761"/>
      <c r="BO32" s="761"/>
      <c r="BP32" s="761"/>
      <c r="BQ32" s="761"/>
      <c r="BR32" s="761"/>
      <c r="BS32" s="761"/>
      <c r="BT32" s="761"/>
      <c r="BU32" s="761"/>
      <c r="BV32" s="761"/>
      <c r="BW32" s="761"/>
      <c r="BX32" s="761"/>
      <c r="BY32" s="761"/>
      <c r="BZ32" s="761"/>
      <c r="CA32" s="761"/>
      <c r="CB32" s="761"/>
      <c r="CC32" s="761"/>
      <c r="CD32" s="761"/>
    </row>
    <row r="33" spans="9:82" s="1" customFormat="1">
      <c r="J33" s="787">
        <v>45029</v>
      </c>
      <c r="K33" s="1" t="s">
        <v>660</v>
      </c>
      <c r="L33" s="1">
        <v>9.6999999999999993</v>
      </c>
      <c r="M33" s="1" t="s">
        <v>441</v>
      </c>
      <c r="O33" s="1">
        <f>O32-L33-L35</f>
        <v>3.5199999999999996</v>
      </c>
      <c r="AD33" s="773">
        <v>1</v>
      </c>
      <c r="AM33" s="458"/>
      <c r="AN33" s="1" t="s">
        <v>645</v>
      </c>
      <c r="AO33" s="773">
        <f>AC21+AC13</f>
        <v>348.15683000000001</v>
      </c>
      <c r="AP33" s="540">
        <f>AE21+AE13</f>
        <v>54.201977416000005</v>
      </c>
      <c r="AQ33" s="742">
        <f>AP33/AO33</f>
        <v>0.15568264858110065</v>
      </c>
      <c r="AS33" s="742">
        <f>AO33*0.32</f>
        <v>111.41018560000001</v>
      </c>
      <c r="AX33" s="761"/>
      <c r="AY33" s="761"/>
      <c r="AZ33" s="761"/>
      <c r="BA33" s="761"/>
      <c r="BB33" s="761"/>
      <c r="BC33" s="761"/>
      <c r="BD33" s="761"/>
      <c r="BE33" s="761"/>
      <c r="BF33" s="761"/>
      <c r="BG33" s="761"/>
      <c r="BH33" s="761"/>
      <c r="BI33" s="761"/>
      <c r="BJ33" s="761"/>
      <c r="BK33" s="761"/>
      <c r="BL33" s="761"/>
      <c r="BM33" s="761"/>
      <c r="BN33" s="761"/>
      <c r="BO33" s="761"/>
      <c r="BP33" s="761"/>
      <c r="BQ33" s="761"/>
      <c r="BR33" s="761"/>
      <c r="BS33" s="761"/>
      <c r="BT33" s="761"/>
      <c r="BU33" s="761"/>
      <c r="BV33" s="761"/>
      <c r="BW33" s="761"/>
      <c r="BX33" s="761"/>
      <c r="BY33" s="761"/>
      <c r="BZ33" s="761"/>
      <c r="CA33" s="761"/>
      <c r="CB33" s="761"/>
      <c r="CC33" s="761"/>
      <c r="CD33" s="761"/>
    </row>
    <row r="34" spans="9:82" s="1" customFormat="1">
      <c r="J34" s="787">
        <v>45044</v>
      </c>
      <c r="K34" s="1" t="s">
        <v>659</v>
      </c>
      <c r="L34" s="1">
        <v>20</v>
      </c>
      <c r="O34" s="1">
        <f>L36+L37</f>
        <v>48.03</v>
      </c>
      <c r="AD34" s="774">
        <v>0.01</v>
      </c>
      <c r="AF34" s="54">
        <v>63.95</v>
      </c>
      <c r="AX34" s="761"/>
      <c r="AY34" s="761"/>
      <c r="AZ34" s="761"/>
      <c r="BA34" s="761"/>
      <c r="BB34" s="761"/>
      <c r="BC34" s="761"/>
      <c r="BD34" s="761"/>
      <c r="BE34" s="761"/>
      <c r="BF34" s="761"/>
      <c r="BG34" s="761"/>
      <c r="BH34" s="761"/>
      <c r="BI34" s="761"/>
      <c r="BJ34" s="761"/>
      <c r="BK34" s="761"/>
      <c r="BL34" s="761"/>
      <c r="BM34" s="761"/>
      <c r="BN34" s="761"/>
      <c r="BO34" s="761"/>
      <c r="BP34" s="761"/>
      <c r="BQ34" s="761"/>
      <c r="BR34" s="761"/>
      <c r="BS34" s="761"/>
      <c r="BT34" s="761"/>
      <c r="BU34" s="761"/>
      <c r="BV34" s="761"/>
      <c r="BW34" s="761"/>
      <c r="BX34" s="761"/>
      <c r="BY34" s="761"/>
      <c r="BZ34" s="761"/>
      <c r="CA34" s="761"/>
      <c r="CB34" s="761"/>
      <c r="CC34" s="761"/>
      <c r="CD34" s="761"/>
    </row>
    <row r="35" spans="9:82" s="1" customFormat="1">
      <c r="J35" s="787">
        <v>45044</v>
      </c>
      <c r="K35" s="1" t="s">
        <v>660</v>
      </c>
      <c r="L35" s="1">
        <v>26.78</v>
      </c>
      <c r="M35" s="1" t="s">
        <v>662</v>
      </c>
      <c r="O35" s="1">
        <f>O34+O33</f>
        <v>51.55</v>
      </c>
      <c r="AX35" s="761"/>
      <c r="AY35" s="761"/>
      <c r="AZ35" s="761"/>
      <c r="BA35" s="761"/>
      <c r="BB35" s="761"/>
      <c r="BC35" s="761"/>
      <c r="BD35" s="761"/>
      <c r="BE35" s="761"/>
      <c r="BF35" s="761"/>
      <c r="BG35" s="761"/>
      <c r="BH35" s="761"/>
      <c r="BI35" s="761"/>
      <c r="BJ35" s="761"/>
      <c r="BK35" s="761"/>
      <c r="BL35" s="761"/>
      <c r="BM35" s="761"/>
      <c r="BN35" s="761"/>
      <c r="BO35" s="761"/>
      <c r="BP35" s="761"/>
      <c r="BQ35" s="761"/>
      <c r="BR35" s="761"/>
      <c r="BS35" s="761"/>
      <c r="BT35" s="761"/>
      <c r="BU35" s="761"/>
      <c r="BV35" s="761"/>
      <c r="BW35" s="761"/>
      <c r="BX35" s="761"/>
      <c r="BY35" s="761"/>
      <c r="BZ35" s="761"/>
      <c r="CA35" s="761"/>
      <c r="CB35" s="761"/>
      <c r="CC35" s="761"/>
      <c r="CD35" s="761"/>
    </row>
    <row r="36" spans="9:82" s="1" customFormat="1">
      <c r="J36" s="787">
        <v>45050</v>
      </c>
      <c r="K36" s="1" t="s">
        <v>661</v>
      </c>
      <c r="L36" s="1">
        <v>19.46</v>
      </c>
      <c r="M36" s="1" t="s">
        <v>441</v>
      </c>
      <c r="AE36" s="761">
        <f>AF34-AD34</f>
        <v>63.940000000000005</v>
      </c>
      <c r="AX36" s="761"/>
      <c r="AY36" s="761"/>
      <c r="AZ36" s="761"/>
      <c r="BA36" s="761"/>
      <c r="BB36" s="761"/>
      <c r="BC36" s="761"/>
      <c r="BD36" s="761"/>
      <c r="BE36" s="761"/>
      <c r="BF36" s="761"/>
      <c r="BG36" s="761"/>
      <c r="BH36" s="761"/>
      <c r="BI36" s="761"/>
      <c r="BJ36" s="761"/>
      <c r="BK36" s="761"/>
      <c r="BL36" s="761"/>
      <c r="BM36" s="761"/>
      <c r="BN36" s="761"/>
      <c r="BO36" s="761"/>
      <c r="BP36" s="761"/>
      <c r="BQ36" s="761"/>
      <c r="BR36" s="761"/>
      <c r="BS36" s="761"/>
      <c r="BT36" s="761"/>
      <c r="BU36" s="761"/>
      <c r="BV36" s="761"/>
      <c r="BW36" s="761"/>
      <c r="BX36" s="761"/>
      <c r="BY36" s="761"/>
      <c r="BZ36" s="761"/>
      <c r="CA36" s="761"/>
      <c r="CB36" s="761"/>
      <c r="CC36" s="761"/>
      <c r="CD36" s="761"/>
    </row>
    <row r="37" spans="9:82" s="1" customFormat="1">
      <c r="J37" s="787">
        <v>45050</v>
      </c>
      <c r="K37" s="1" t="s">
        <v>661</v>
      </c>
      <c r="L37" s="1">
        <v>28.57</v>
      </c>
      <c r="M37" s="1" t="s">
        <v>662</v>
      </c>
      <c r="AE37" s="760">
        <f>AE36/AD34</f>
        <v>6394</v>
      </c>
      <c r="AM37" s="112" t="s">
        <v>647</v>
      </c>
      <c r="AN37" s="776" t="s">
        <v>646</v>
      </c>
      <c r="AP37" s="759"/>
      <c r="AX37" s="761"/>
      <c r="AY37" s="761"/>
      <c r="AZ37" s="761"/>
      <c r="BA37" s="761"/>
      <c r="BB37" s="761"/>
      <c r="BC37" s="761"/>
      <c r="BD37" s="761"/>
      <c r="BE37" s="761"/>
      <c r="BF37" s="761"/>
      <c r="BG37" s="761"/>
      <c r="BH37" s="761"/>
      <c r="BI37" s="761"/>
      <c r="BJ37" s="761"/>
      <c r="BK37" s="761"/>
      <c r="BL37" s="761"/>
      <c r="BM37" s="761"/>
      <c r="BN37" s="761"/>
      <c r="BO37" s="761"/>
      <c r="BP37" s="761"/>
      <c r="BQ37" s="761"/>
      <c r="BR37" s="761"/>
      <c r="BS37" s="761"/>
      <c r="BT37" s="761"/>
      <c r="BU37" s="761"/>
      <c r="BV37" s="761"/>
      <c r="BW37" s="761"/>
      <c r="BX37" s="761"/>
      <c r="BY37" s="761"/>
      <c r="BZ37" s="761"/>
      <c r="CA37" s="761"/>
      <c r="CB37" s="761"/>
      <c r="CC37" s="761"/>
      <c r="CD37" s="761"/>
    </row>
    <row r="38" spans="9:82" s="1" customFormat="1">
      <c r="I38" s="2"/>
      <c r="J38" s="787">
        <v>45054</v>
      </c>
      <c r="K38" s="1" t="s">
        <v>663</v>
      </c>
      <c r="L38" s="1">
        <v>51.55</v>
      </c>
      <c r="AE38" s="540">
        <f>AF34*AD33-AD34*AD33</f>
        <v>63.940000000000005</v>
      </c>
      <c r="AG38" s="540"/>
      <c r="AH38" s="540"/>
      <c r="AI38" s="540"/>
      <c r="AM38" s="775" t="s">
        <v>471</v>
      </c>
      <c r="AN38" s="776" t="s">
        <v>648</v>
      </c>
      <c r="AP38" s="759"/>
      <c r="AX38" s="761"/>
      <c r="AY38" s="761"/>
      <c r="AZ38" s="761"/>
      <c r="BA38" s="761"/>
      <c r="BB38" s="761"/>
      <c r="BC38" s="761"/>
      <c r="BD38" s="761"/>
      <c r="BE38" s="761"/>
      <c r="BF38" s="761"/>
      <c r="BG38" s="761"/>
      <c r="BH38" s="761"/>
      <c r="BI38" s="761"/>
      <c r="BJ38" s="761"/>
      <c r="BK38" s="761"/>
      <c r="BL38" s="761"/>
      <c r="BM38" s="761"/>
      <c r="BN38" s="761"/>
      <c r="BO38" s="761"/>
      <c r="BP38" s="761"/>
      <c r="BQ38" s="761"/>
      <c r="BR38" s="761"/>
      <c r="BS38" s="761"/>
      <c r="BT38" s="761"/>
      <c r="BU38" s="761"/>
      <c r="BV38" s="761"/>
      <c r="BW38" s="761"/>
      <c r="BX38" s="761"/>
      <c r="BY38" s="761"/>
      <c r="BZ38" s="761"/>
      <c r="CA38" s="761"/>
      <c r="CB38" s="761"/>
      <c r="CC38" s="761"/>
      <c r="CD38" s="761"/>
    </row>
    <row r="39" spans="9:82" s="1" customFormat="1">
      <c r="I39" s="2"/>
      <c r="J39" s="787"/>
      <c r="AE39" s="540"/>
      <c r="AG39" s="540"/>
      <c r="AH39" s="540"/>
      <c r="AI39" s="540"/>
      <c r="AM39" s="775"/>
      <c r="AN39" s="776"/>
      <c r="AP39" s="759"/>
      <c r="AX39" s="761"/>
      <c r="AY39" s="761"/>
      <c r="AZ39" s="761"/>
      <c r="BA39" s="761"/>
      <c r="BB39" s="761"/>
      <c r="BC39" s="761"/>
      <c r="BD39" s="761"/>
      <c r="BE39" s="761"/>
      <c r="BF39" s="761"/>
      <c r="BG39" s="761"/>
      <c r="BH39" s="761"/>
      <c r="BI39" s="761"/>
      <c r="BJ39" s="761"/>
      <c r="BK39" s="761"/>
      <c r="BL39" s="761"/>
      <c r="BM39" s="761"/>
      <c r="BN39" s="761"/>
      <c r="BO39" s="761"/>
      <c r="BP39" s="761"/>
      <c r="BQ39" s="761"/>
      <c r="BR39" s="761"/>
      <c r="BS39" s="761"/>
      <c r="BT39" s="761"/>
      <c r="BU39" s="761"/>
      <c r="BV39" s="761"/>
      <c r="BW39" s="761"/>
      <c r="BX39" s="761"/>
      <c r="BY39" s="761"/>
      <c r="BZ39" s="761"/>
      <c r="CA39" s="761"/>
      <c r="CB39" s="761"/>
      <c r="CC39" s="761"/>
      <c r="CD39" s="761"/>
    </row>
    <row r="40" spans="9:82" s="1" customFormat="1">
      <c r="J40" s="787">
        <v>45056</v>
      </c>
      <c r="K40" s="1" t="s">
        <v>659</v>
      </c>
      <c r="L40" s="1">
        <v>100</v>
      </c>
      <c r="P40" s="1" t="s">
        <v>659</v>
      </c>
      <c r="Q40" s="1">
        <v>420</v>
      </c>
      <c r="AE40" s="169">
        <f>AE38*AE31</f>
        <v>318.42120000000006</v>
      </c>
      <c r="AM40" s="775" t="s">
        <v>635</v>
      </c>
      <c r="AN40" s="776" t="s">
        <v>649</v>
      </c>
      <c r="AP40" s="759"/>
      <c r="AX40" s="761"/>
      <c r="AY40" s="761"/>
      <c r="AZ40" s="761"/>
      <c r="BA40" s="761"/>
      <c r="BB40" s="761"/>
      <c r="BC40" s="761"/>
      <c r="BD40" s="761"/>
      <c r="BE40" s="761"/>
      <c r="BF40" s="761"/>
      <c r="BG40" s="761"/>
      <c r="BH40" s="761"/>
      <c r="BI40" s="761"/>
      <c r="BJ40" s="761"/>
      <c r="BK40" s="761"/>
      <c r="BL40" s="761"/>
      <c r="BM40" s="761"/>
      <c r="BN40" s="761"/>
      <c r="BO40" s="761"/>
      <c r="BP40" s="761"/>
      <c r="BQ40" s="761"/>
      <c r="BR40" s="761"/>
      <c r="BS40" s="761"/>
      <c r="BT40" s="761"/>
      <c r="BU40" s="761"/>
      <c r="BV40" s="761"/>
      <c r="BW40" s="761"/>
      <c r="BX40" s="761"/>
      <c r="BY40" s="761"/>
      <c r="BZ40" s="761"/>
      <c r="CA40" s="761"/>
      <c r="CB40" s="761"/>
      <c r="CC40" s="761"/>
      <c r="CD40" s="761"/>
    </row>
    <row r="41" spans="9:82" s="1" customFormat="1">
      <c r="J41" s="787">
        <v>45056</v>
      </c>
      <c r="K41" s="1" t="s">
        <v>660</v>
      </c>
      <c r="L41" s="1">
        <v>44.09</v>
      </c>
      <c r="M41" s="1" t="s">
        <v>664</v>
      </c>
      <c r="P41" s="1" t="s">
        <v>660</v>
      </c>
      <c r="Q41" s="1">
        <v>460</v>
      </c>
      <c r="AM41" s="112" t="s">
        <v>633</v>
      </c>
      <c r="AN41" s="776" t="s">
        <v>652</v>
      </c>
      <c r="AP41" s="759"/>
      <c r="AX41" s="761"/>
      <c r="AY41" s="761"/>
      <c r="AZ41" s="761"/>
      <c r="BA41" s="761"/>
      <c r="BB41" s="761"/>
      <c r="BC41" s="761"/>
      <c r="BD41" s="761"/>
      <c r="BE41" s="761"/>
      <c r="BF41" s="761"/>
      <c r="BG41" s="761"/>
      <c r="BH41" s="761"/>
      <c r="BI41" s="761"/>
      <c r="BJ41" s="761"/>
      <c r="BK41" s="761"/>
      <c r="BL41" s="761"/>
      <c r="BM41" s="761"/>
      <c r="BN41" s="761"/>
      <c r="BO41" s="761"/>
      <c r="BP41" s="761"/>
      <c r="BQ41" s="761"/>
      <c r="BR41" s="761"/>
      <c r="BS41" s="761"/>
      <c r="BT41" s="761"/>
      <c r="BU41" s="761"/>
      <c r="BV41" s="761"/>
      <c r="BW41" s="761"/>
      <c r="BX41" s="761"/>
      <c r="BY41" s="761"/>
      <c r="BZ41" s="761"/>
      <c r="CA41" s="761"/>
      <c r="CB41" s="761"/>
      <c r="CC41" s="761"/>
      <c r="CD41" s="761"/>
    </row>
    <row r="42" spans="9:82" s="1" customFormat="1">
      <c r="J42" s="787">
        <v>45056</v>
      </c>
      <c r="K42" s="1" t="s">
        <v>660</v>
      </c>
      <c r="L42" s="1">
        <v>29.34</v>
      </c>
      <c r="M42" s="1" t="s">
        <v>665</v>
      </c>
      <c r="P42" s="1" t="s">
        <v>661</v>
      </c>
      <c r="Q42" s="1">
        <v>104.24</v>
      </c>
      <c r="AM42" s="112" t="s">
        <v>637</v>
      </c>
      <c r="AN42" s="776" t="s">
        <v>651</v>
      </c>
      <c r="AP42" s="759"/>
      <c r="AQ42" s="752"/>
      <c r="AX42" s="761"/>
      <c r="AY42" s="761"/>
      <c r="AZ42" s="761"/>
      <c r="BA42" s="761"/>
      <c r="BB42" s="761"/>
      <c r="BC42" s="761"/>
      <c r="BD42" s="761"/>
      <c r="BE42" s="761"/>
      <c r="BF42" s="761"/>
      <c r="BG42" s="761"/>
      <c r="BH42" s="761"/>
      <c r="BI42" s="761"/>
      <c r="BJ42" s="761"/>
      <c r="BK42" s="761"/>
      <c r="BL42" s="761"/>
      <c r="BM42" s="761"/>
      <c r="BN42" s="761"/>
      <c r="BO42" s="761"/>
      <c r="BP42" s="761"/>
      <c r="BQ42" s="761"/>
      <c r="BR42" s="761"/>
      <c r="BS42" s="761"/>
      <c r="BT42" s="761"/>
      <c r="BU42" s="761"/>
      <c r="BV42" s="761"/>
      <c r="BW42" s="761"/>
      <c r="BX42" s="761"/>
      <c r="BY42" s="761"/>
      <c r="BZ42" s="761"/>
      <c r="CA42" s="761"/>
      <c r="CB42" s="761"/>
      <c r="CC42" s="761"/>
      <c r="CD42" s="761"/>
    </row>
    <row r="43" spans="9:82" s="1" customFormat="1">
      <c r="J43" s="787">
        <v>45057</v>
      </c>
      <c r="K43" s="1" t="s">
        <v>660</v>
      </c>
      <c r="L43" s="1">
        <v>26</v>
      </c>
      <c r="M43" s="1" t="s">
        <v>441</v>
      </c>
      <c r="N43" s="1">
        <v>0.56999999999999995</v>
      </c>
      <c r="AM43" s="112" t="s">
        <v>448</v>
      </c>
      <c r="AN43" s="776" t="s">
        <v>650</v>
      </c>
      <c r="AP43" s="759"/>
      <c r="AX43" s="761"/>
      <c r="AY43" s="761"/>
      <c r="AZ43" s="761"/>
      <c r="BA43" s="761"/>
      <c r="BB43" s="761"/>
      <c r="BC43" s="761"/>
      <c r="BD43" s="761"/>
      <c r="BE43" s="761"/>
      <c r="BF43" s="761"/>
      <c r="BG43" s="761"/>
      <c r="BH43" s="761"/>
      <c r="BI43" s="761"/>
      <c r="BJ43" s="761"/>
      <c r="BK43" s="761"/>
      <c r="BL43" s="761"/>
      <c r="BM43" s="761"/>
      <c r="BN43" s="761"/>
      <c r="BO43" s="761"/>
      <c r="BP43" s="761"/>
      <c r="BQ43" s="761"/>
      <c r="BR43" s="761"/>
      <c r="BS43" s="761"/>
      <c r="BT43" s="761"/>
      <c r="BU43" s="761"/>
      <c r="BV43" s="761"/>
      <c r="BW43" s="761"/>
      <c r="BX43" s="761"/>
      <c r="BY43" s="761"/>
      <c r="BZ43" s="761"/>
      <c r="CA43" s="761"/>
      <c r="CB43" s="761"/>
      <c r="CC43" s="761"/>
      <c r="CD43" s="761"/>
    </row>
    <row r="44" spans="9:82" s="1" customFormat="1">
      <c r="J44" s="787">
        <v>45062</v>
      </c>
      <c r="K44" s="1" t="s">
        <v>659</v>
      </c>
      <c r="L44" s="1">
        <v>20</v>
      </c>
      <c r="Q44" s="1">
        <f>Q40+Q42</f>
        <v>524.24</v>
      </c>
      <c r="AP44" s="759"/>
      <c r="AX44" s="761"/>
      <c r="AY44" s="761"/>
      <c r="AZ44" s="761"/>
      <c r="BA44" s="761"/>
      <c r="BB44" s="761"/>
      <c r="BC44" s="761"/>
      <c r="BD44" s="761"/>
      <c r="BE44" s="761"/>
      <c r="BF44" s="761"/>
      <c r="BG44" s="761"/>
      <c r="BH44" s="761"/>
      <c r="BI44" s="761"/>
      <c r="BJ44" s="761"/>
      <c r="BK44" s="761"/>
      <c r="BL44" s="761"/>
      <c r="BM44" s="761"/>
      <c r="BN44" s="761"/>
      <c r="BO44" s="761"/>
      <c r="BP44" s="761"/>
      <c r="BQ44" s="761"/>
      <c r="BR44" s="761"/>
      <c r="BS44" s="761"/>
      <c r="BT44" s="761"/>
      <c r="BU44" s="761"/>
      <c r="BV44" s="761"/>
      <c r="BW44" s="761"/>
      <c r="BX44" s="761"/>
      <c r="BY44" s="761"/>
      <c r="BZ44" s="761"/>
      <c r="CA44" s="761"/>
      <c r="CB44" s="761"/>
      <c r="CC44" s="761"/>
      <c r="CD44" s="761"/>
    </row>
    <row r="45" spans="9:82" s="1" customFormat="1">
      <c r="J45" s="787">
        <v>45063</v>
      </c>
      <c r="K45" s="1" t="s">
        <v>660</v>
      </c>
      <c r="L45" s="1">
        <v>8.91</v>
      </c>
      <c r="M45" s="1" t="s">
        <v>645</v>
      </c>
      <c r="S45" s="1">
        <f>Q44-Q41</f>
        <v>64.240000000000009</v>
      </c>
      <c r="U45" s="1">
        <f>S45*4.9</f>
        <v>314.77600000000007</v>
      </c>
      <c r="AN45" s="778" t="s">
        <v>653</v>
      </c>
      <c r="AO45" s="54" t="s">
        <v>654</v>
      </c>
      <c r="AP45" s="777"/>
      <c r="AQ45" s="54"/>
      <c r="AR45" s="54"/>
      <c r="AS45" s="54"/>
      <c r="AX45" s="761"/>
      <c r="AY45" s="761"/>
      <c r="AZ45" s="761"/>
      <c r="BA45" s="761"/>
      <c r="BB45" s="761"/>
      <c r="BC45" s="761"/>
      <c r="BD45" s="761"/>
      <c r="BE45" s="761"/>
      <c r="BF45" s="761"/>
      <c r="BG45" s="761"/>
      <c r="BH45" s="761"/>
      <c r="BI45" s="761"/>
      <c r="BJ45" s="761"/>
      <c r="BK45" s="761"/>
      <c r="BL45" s="761"/>
      <c r="BM45" s="761"/>
      <c r="BN45" s="761"/>
      <c r="BO45" s="761"/>
      <c r="BP45" s="761"/>
      <c r="BQ45" s="761"/>
      <c r="BR45" s="761"/>
      <c r="BS45" s="761"/>
      <c r="BT45" s="761"/>
      <c r="BU45" s="761"/>
      <c r="BV45" s="761"/>
      <c r="BW45" s="761"/>
      <c r="BX45" s="761"/>
      <c r="BY45" s="761"/>
      <c r="BZ45" s="761"/>
      <c r="CA45" s="761"/>
      <c r="CB45" s="761"/>
      <c r="CC45" s="761"/>
      <c r="CD45" s="761"/>
    </row>
    <row r="46" spans="9:82" s="1" customFormat="1">
      <c r="J46" s="787">
        <v>45064</v>
      </c>
      <c r="K46" s="1" t="s">
        <v>660</v>
      </c>
      <c r="L46" s="1">
        <v>5.0999999999999996</v>
      </c>
      <c r="M46" s="1" t="s">
        <v>645</v>
      </c>
      <c r="AP46" s="759"/>
      <c r="AX46" s="761"/>
      <c r="AY46" s="761"/>
      <c r="AZ46" s="761"/>
      <c r="BA46" s="761"/>
      <c r="BB46" s="761"/>
      <c r="BC46" s="761"/>
      <c r="BD46" s="761"/>
      <c r="BE46" s="761"/>
      <c r="BF46" s="761"/>
      <c r="BG46" s="761"/>
      <c r="BH46" s="761"/>
      <c r="BI46" s="761"/>
      <c r="BJ46" s="761"/>
      <c r="BK46" s="761"/>
      <c r="BL46" s="761"/>
      <c r="BM46" s="761"/>
      <c r="BN46" s="761"/>
      <c r="BO46" s="761"/>
      <c r="BP46" s="761"/>
      <c r="BQ46" s="761"/>
      <c r="BR46" s="761"/>
      <c r="BS46" s="761"/>
      <c r="BT46" s="761"/>
      <c r="BU46" s="761"/>
      <c r="BV46" s="761"/>
      <c r="BW46" s="761"/>
      <c r="BX46" s="761"/>
      <c r="BY46" s="761"/>
      <c r="BZ46" s="761"/>
      <c r="CA46" s="761"/>
      <c r="CB46" s="761"/>
      <c r="CC46" s="761"/>
      <c r="CD46" s="761"/>
    </row>
    <row r="47" spans="9:82" s="1" customFormat="1">
      <c r="J47" s="787">
        <v>45064</v>
      </c>
      <c r="K47" s="1" t="s">
        <v>660</v>
      </c>
      <c r="L47" s="1">
        <v>6.56</v>
      </c>
      <c r="M47" s="1" t="s">
        <v>664</v>
      </c>
      <c r="N47" s="1">
        <f>0</f>
        <v>0</v>
      </c>
      <c r="AP47" s="759"/>
      <c r="AX47" s="761"/>
      <c r="AY47" s="761"/>
      <c r="AZ47" s="761"/>
      <c r="BA47" s="761"/>
      <c r="BB47" s="761"/>
      <c r="BC47" s="761"/>
      <c r="BD47" s="761"/>
      <c r="BE47" s="761"/>
      <c r="BF47" s="761"/>
      <c r="BG47" s="761"/>
      <c r="BH47" s="761"/>
      <c r="BI47" s="761"/>
      <c r="BJ47" s="761"/>
      <c r="BK47" s="761"/>
      <c r="BL47" s="761"/>
      <c r="BM47" s="761"/>
      <c r="BN47" s="761"/>
      <c r="BO47" s="761"/>
      <c r="BP47" s="761"/>
      <c r="BQ47" s="761"/>
      <c r="BR47" s="761"/>
      <c r="BS47" s="761"/>
      <c r="BT47" s="761"/>
      <c r="BU47" s="761"/>
      <c r="BV47" s="761"/>
      <c r="BW47" s="761"/>
      <c r="BX47" s="761"/>
      <c r="BY47" s="761"/>
      <c r="BZ47" s="761"/>
      <c r="CA47" s="761"/>
      <c r="CB47" s="761"/>
      <c r="CC47" s="761"/>
      <c r="CD47" s="761"/>
    </row>
    <row r="48" spans="9:82" s="1" customFormat="1">
      <c r="J48" s="787">
        <v>45134</v>
      </c>
      <c r="K48" s="1" t="s">
        <v>661</v>
      </c>
      <c r="L48" s="1">
        <v>34.04</v>
      </c>
      <c r="M48" s="1" t="s">
        <v>665</v>
      </c>
      <c r="N48" s="1">
        <v>34.04</v>
      </c>
      <c r="AP48" s="759"/>
      <c r="AX48" s="761"/>
      <c r="AY48" s="761"/>
      <c r="AZ48" s="761"/>
      <c r="BA48" s="761"/>
      <c r="BB48" s="761"/>
      <c r="BC48" s="761"/>
      <c r="BD48" s="761"/>
      <c r="BE48" s="761"/>
      <c r="BF48" s="761"/>
      <c r="BG48" s="761"/>
      <c r="BH48" s="761"/>
      <c r="BI48" s="761"/>
      <c r="BJ48" s="761"/>
      <c r="BK48" s="761"/>
      <c r="BL48" s="761"/>
      <c r="BM48" s="761"/>
      <c r="BN48" s="761"/>
      <c r="BO48" s="761"/>
      <c r="BP48" s="761"/>
      <c r="BQ48" s="761"/>
      <c r="BR48" s="761"/>
      <c r="BS48" s="761"/>
      <c r="BT48" s="761"/>
      <c r="BU48" s="761"/>
      <c r="BV48" s="761"/>
      <c r="BW48" s="761"/>
      <c r="BX48" s="761"/>
      <c r="BY48" s="761"/>
      <c r="BZ48" s="761"/>
      <c r="CA48" s="761"/>
      <c r="CB48" s="761"/>
      <c r="CC48" s="761"/>
      <c r="CD48" s="761"/>
    </row>
    <row r="49" spans="10:82" s="1" customFormat="1">
      <c r="J49" s="787">
        <v>45139</v>
      </c>
      <c r="K49" s="1" t="s">
        <v>660</v>
      </c>
      <c r="L49" s="1">
        <v>23.25</v>
      </c>
      <c r="M49" s="1" t="s">
        <v>666</v>
      </c>
      <c r="AP49" s="759"/>
      <c r="AX49" s="761"/>
      <c r="AY49" s="761"/>
      <c r="AZ49" s="761"/>
      <c r="BA49" s="761"/>
      <c r="BB49" s="761"/>
      <c r="BC49" s="761"/>
      <c r="BD49" s="761"/>
      <c r="BE49" s="761"/>
      <c r="BF49" s="761"/>
      <c r="BG49" s="761"/>
      <c r="BH49" s="761"/>
      <c r="BI49" s="761"/>
      <c r="BJ49" s="761"/>
      <c r="BK49" s="761"/>
      <c r="BL49" s="761"/>
      <c r="BM49" s="761"/>
      <c r="BN49" s="761"/>
      <c r="BO49" s="761"/>
      <c r="BP49" s="761"/>
      <c r="BQ49" s="761"/>
      <c r="BR49" s="761"/>
      <c r="BS49" s="761"/>
      <c r="BT49" s="761"/>
      <c r="BU49" s="761"/>
      <c r="BV49" s="761"/>
      <c r="BW49" s="761"/>
      <c r="BX49" s="761"/>
      <c r="BY49" s="761"/>
      <c r="BZ49" s="761"/>
      <c r="CA49" s="761"/>
      <c r="CB49" s="761"/>
      <c r="CC49" s="761"/>
      <c r="CD49" s="761"/>
    </row>
    <row r="50" spans="10:82" s="1" customFormat="1">
      <c r="J50" s="787">
        <v>45139</v>
      </c>
      <c r="K50" s="1" t="s">
        <v>660</v>
      </c>
      <c r="L50" s="1">
        <v>8</v>
      </c>
      <c r="M50" s="1" t="s">
        <v>441</v>
      </c>
      <c r="N50" s="1">
        <f>N48-31.25</f>
        <v>2.7899999999999991</v>
      </c>
      <c r="AP50" s="759"/>
      <c r="AX50" s="761"/>
      <c r="AY50" s="761"/>
      <c r="AZ50" s="761"/>
      <c r="BA50" s="761"/>
      <c r="BB50" s="761"/>
      <c r="BC50" s="761"/>
      <c r="BD50" s="761"/>
      <c r="BE50" s="761"/>
      <c r="BF50" s="761"/>
      <c r="BG50" s="761"/>
      <c r="BH50" s="761"/>
      <c r="BI50" s="761"/>
      <c r="BJ50" s="761"/>
      <c r="BK50" s="761"/>
      <c r="BL50" s="761"/>
      <c r="BM50" s="761"/>
      <c r="BN50" s="761"/>
      <c r="BO50" s="761"/>
      <c r="BP50" s="761"/>
      <c r="BQ50" s="761"/>
      <c r="BR50" s="761"/>
      <c r="BS50" s="761"/>
      <c r="BT50" s="761"/>
      <c r="BU50" s="761"/>
      <c r="BV50" s="761"/>
      <c r="BW50" s="761"/>
      <c r="BX50" s="761"/>
      <c r="BY50" s="761"/>
      <c r="BZ50" s="761"/>
      <c r="CA50" s="761"/>
      <c r="CB50" s="761"/>
      <c r="CC50" s="761"/>
      <c r="CD50" s="761"/>
    </row>
    <row r="51" spans="10:82" s="1" customFormat="1">
      <c r="J51" s="787">
        <v>45139</v>
      </c>
      <c r="K51" s="1" t="s">
        <v>661</v>
      </c>
      <c r="L51" s="1">
        <v>54.25</v>
      </c>
      <c r="M51" s="1" t="s">
        <v>664</v>
      </c>
      <c r="N51" s="1">
        <f>L51+N50</f>
        <v>57.04</v>
      </c>
      <c r="AP51" s="759"/>
      <c r="AX51" s="761"/>
      <c r="AY51" s="761"/>
      <c r="AZ51" s="761"/>
      <c r="BA51" s="761"/>
      <c r="BB51" s="761"/>
      <c r="BC51" s="761"/>
      <c r="BD51" s="761"/>
      <c r="BE51" s="761"/>
      <c r="BF51" s="761"/>
      <c r="BG51" s="761"/>
      <c r="BH51" s="761"/>
      <c r="BI51" s="761"/>
      <c r="BJ51" s="761"/>
      <c r="BK51" s="761"/>
      <c r="BL51" s="761"/>
      <c r="BM51" s="761"/>
      <c r="BN51" s="761"/>
      <c r="BO51" s="761"/>
      <c r="BP51" s="761"/>
      <c r="BQ51" s="761"/>
      <c r="BR51" s="761"/>
      <c r="BS51" s="761"/>
      <c r="BT51" s="761"/>
      <c r="BU51" s="761"/>
      <c r="BV51" s="761"/>
      <c r="BW51" s="761"/>
      <c r="BX51" s="761"/>
      <c r="BY51" s="761"/>
      <c r="BZ51" s="761"/>
      <c r="CA51" s="761"/>
      <c r="CB51" s="761"/>
      <c r="CC51" s="761"/>
      <c r="CD51" s="761"/>
    </row>
    <row r="52" spans="10:82" s="1" customFormat="1">
      <c r="J52" s="787">
        <v>45140</v>
      </c>
      <c r="K52" s="1" t="s">
        <v>660</v>
      </c>
      <c r="L52" s="1">
        <v>5.28</v>
      </c>
      <c r="M52" s="1" t="s">
        <v>667</v>
      </c>
      <c r="AP52" s="759"/>
      <c r="AX52" s="761"/>
      <c r="AY52" s="761"/>
      <c r="AZ52" s="761"/>
      <c r="BA52" s="761"/>
      <c r="BB52" s="761"/>
      <c r="BC52" s="761"/>
      <c r="BD52" s="761"/>
      <c r="BE52" s="761"/>
      <c r="BF52" s="761"/>
      <c r="BG52" s="761"/>
      <c r="BH52" s="761"/>
      <c r="BI52" s="761"/>
      <c r="BJ52" s="761"/>
      <c r="BK52" s="761"/>
      <c r="BL52" s="761"/>
      <c r="BM52" s="761"/>
      <c r="BN52" s="761"/>
      <c r="BO52" s="761"/>
      <c r="BP52" s="761"/>
      <c r="BQ52" s="761"/>
      <c r="BR52" s="761"/>
      <c r="BS52" s="761"/>
      <c r="BT52" s="761"/>
      <c r="BU52" s="761"/>
      <c r="BV52" s="761"/>
      <c r="BW52" s="761"/>
      <c r="BX52" s="761"/>
      <c r="BY52" s="761"/>
      <c r="BZ52" s="761"/>
      <c r="CA52" s="761"/>
      <c r="CB52" s="761"/>
      <c r="CC52" s="761"/>
      <c r="CD52" s="761"/>
    </row>
    <row r="53" spans="10:82" s="1" customFormat="1">
      <c r="J53" s="787">
        <v>45140</v>
      </c>
      <c r="K53" s="1" t="s">
        <v>660</v>
      </c>
      <c r="L53" s="1">
        <v>5.01</v>
      </c>
      <c r="M53" s="1" t="s">
        <v>668</v>
      </c>
      <c r="AP53" s="759"/>
      <c r="AX53" s="761"/>
      <c r="AY53" s="761"/>
      <c r="AZ53" s="761"/>
      <c r="BA53" s="761"/>
      <c r="BB53" s="761"/>
      <c r="BC53" s="761"/>
      <c r="BD53" s="761"/>
      <c r="BE53" s="761"/>
      <c r="BF53" s="761"/>
      <c r="BG53" s="761"/>
      <c r="BH53" s="761"/>
      <c r="BI53" s="761"/>
      <c r="BJ53" s="761"/>
      <c r="BK53" s="761"/>
      <c r="BL53" s="761"/>
      <c r="BM53" s="761"/>
      <c r="BN53" s="761"/>
      <c r="BO53" s="761"/>
      <c r="BP53" s="761"/>
      <c r="BQ53" s="761"/>
      <c r="BR53" s="761"/>
      <c r="BS53" s="761"/>
      <c r="BT53" s="761"/>
      <c r="BU53" s="761"/>
      <c r="BV53" s="761"/>
      <c r="BW53" s="761"/>
      <c r="BX53" s="761"/>
      <c r="BY53" s="761"/>
      <c r="BZ53" s="761"/>
      <c r="CA53" s="761"/>
      <c r="CB53" s="761"/>
      <c r="CC53" s="761"/>
      <c r="CD53" s="761"/>
    </row>
    <row r="54" spans="10:82" s="1" customFormat="1">
      <c r="J54" s="787">
        <v>45140</v>
      </c>
      <c r="K54" s="1" t="s">
        <v>660</v>
      </c>
      <c r="L54" s="1">
        <v>5.19</v>
      </c>
      <c r="M54" s="1" t="s">
        <v>669</v>
      </c>
      <c r="U54" s="1">
        <f>383.71+64.24</f>
        <v>447.95</v>
      </c>
      <c r="AP54" s="759"/>
      <c r="AX54" s="761"/>
      <c r="AY54" s="761"/>
      <c r="AZ54" s="761"/>
      <c r="BA54" s="761"/>
      <c r="BB54" s="761"/>
      <c r="BC54" s="761"/>
      <c r="BD54" s="761"/>
      <c r="BE54" s="761"/>
      <c r="BF54" s="761"/>
      <c r="BG54" s="761"/>
      <c r="BH54" s="761"/>
      <c r="BI54" s="761"/>
      <c r="BJ54" s="761"/>
      <c r="BK54" s="761"/>
      <c r="BL54" s="761"/>
      <c r="BM54" s="761"/>
      <c r="BN54" s="761"/>
      <c r="BO54" s="761"/>
      <c r="BP54" s="761"/>
      <c r="BQ54" s="761"/>
      <c r="BR54" s="761"/>
      <c r="BS54" s="761"/>
      <c r="BT54" s="761"/>
      <c r="BU54" s="761"/>
      <c r="BV54" s="761"/>
      <c r="BW54" s="761"/>
      <c r="BX54" s="761"/>
      <c r="BY54" s="761"/>
      <c r="BZ54" s="761"/>
      <c r="CA54" s="761"/>
      <c r="CB54" s="761"/>
      <c r="CC54" s="761"/>
      <c r="CD54" s="761"/>
    </row>
    <row r="55" spans="10:82" s="1" customFormat="1">
      <c r="J55" s="787">
        <v>45140</v>
      </c>
      <c r="K55" s="1" t="s">
        <v>660</v>
      </c>
      <c r="L55" s="1">
        <v>41.56</v>
      </c>
      <c r="M55" s="1" t="s">
        <v>441</v>
      </c>
      <c r="N55" s="1">
        <v>0</v>
      </c>
      <c r="AP55" s="759"/>
      <c r="AX55" s="761"/>
      <c r="AY55" s="761"/>
      <c r="AZ55" s="761"/>
      <c r="BA55" s="761"/>
      <c r="BB55" s="761"/>
      <c r="BC55" s="761"/>
      <c r="BD55" s="761"/>
      <c r="BE55" s="761"/>
      <c r="BF55" s="761"/>
      <c r="BG55" s="761"/>
      <c r="BH55" s="761"/>
      <c r="BI55" s="761"/>
      <c r="BJ55" s="761"/>
      <c r="BK55" s="761"/>
      <c r="BL55" s="761"/>
      <c r="BM55" s="761"/>
      <c r="BN55" s="761"/>
      <c r="BO55" s="761"/>
      <c r="BP55" s="761"/>
      <c r="BQ55" s="761"/>
      <c r="BR55" s="761"/>
      <c r="BS55" s="761"/>
      <c r="BT55" s="761"/>
      <c r="BU55" s="761"/>
      <c r="BV55" s="761"/>
      <c r="BW55" s="761"/>
      <c r="BX55" s="761"/>
      <c r="BY55" s="761"/>
      <c r="BZ55" s="761"/>
      <c r="CA55" s="761"/>
      <c r="CB55" s="761"/>
      <c r="CC55" s="761"/>
      <c r="CD55" s="761"/>
    </row>
    <row r="56" spans="10:82" s="1" customFormat="1">
      <c r="J56" s="787">
        <v>45147</v>
      </c>
      <c r="K56" s="1" t="s">
        <v>659</v>
      </c>
      <c r="L56" s="1">
        <v>100</v>
      </c>
      <c r="M56" s="787"/>
      <c r="AP56" s="759"/>
      <c r="AX56" s="761"/>
      <c r="AY56" s="761"/>
      <c r="AZ56" s="761"/>
      <c r="BA56" s="761"/>
      <c r="BB56" s="761"/>
      <c r="BC56" s="761"/>
      <c r="BD56" s="761"/>
      <c r="BE56" s="761"/>
      <c r="BF56" s="761"/>
      <c r="BG56" s="761"/>
      <c r="BH56" s="761"/>
      <c r="BI56" s="761"/>
      <c r="BJ56" s="761"/>
      <c r="BK56" s="761"/>
      <c r="BL56" s="761"/>
      <c r="BM56" s="761"/>
      <c r="BN56" s="761"/>
      <c r="BO56" s="761"/>
      <c r="BP56" s="761"/>
      <c r="BQ56" s="761"/>
      <c r="BR56" s="761"/>
      <c r="BS56" s="761"/>
      <c r="BT56" s="761"/>
      <c r="BU56" s="761"/>
      <c r="BV56" s="761"/>
      <c r="BW56" s="761"/>
      <c r="BX56" s="761"/>
      <c r="BY56" s="761"/>
      <c r="BZ56" s="761"/>
      <c r="CA56" s="761"/>
      <c r="CB56" s="761"/>
      <c r="CC56" s="761"/>
      <c r="CD56" s="761"/>
    </row>
    <row r="57" spans="10:82" s="1" customFormat="1">
      <c r="J57" s="787">
        <v>45147</v>
      </c>
      <c r="K57" s="1" t="s">
        <v>660</v>
      </c>
      <c r="L57" s="1">
        <v>60</v>
      </c>
      <c r="M57" s="1" t="s">
        <v>441</v>
      </c>
      <c r="R57" s="1" t="s">
        <v>670</v>
      </c>
      <c r="S57" s="1">
        <v>64.239999999999995</v>
      </c>
      <c r="AX57" s="761"/>
      <c r="AY57" s="761"/>
      <c r="AZ57" s="761"/>
      <c r="BA57" s="761"/>
      <c r="BB57" s="761"/>
      <c r="BC57" s="761"/>
      <c r="BD57" s="761"/>
      <c r="BE57" s="761"/>
      <c r="BF57" s="761"/>
      <c r="BG57" s="761"/>
      <c r="BH57" s="761"/>
      <c r="BI57" s="761"/>
      <c r="BJ57" s="761"/>
      <c r="BK57" s="761"/>
      <c r="BL57" s="761"/>
      <c r="BM57" s="761"/>
      <c r="BN57" s="761"/>
      <c r="BO57" s="761"/>
      <c r="BP57" s="761"/>
      <c r="BQ57" s="761"/>
      <c r="BR57" s="761"/>
      <c r="BS57" s="761"/>
      <c r="BT57" s="761"/>
      <c r="BU57" s="761"/>
      <c r="BV57" s="761"/>
      <c r="BW57" s="761"/>
      <c r="BX57" s="761"/>
      <c r="BY57" s="761"/>
      <c r="BZ57" s="761"/>
      <c r="CA57" s="761"/>
      <c r="CB57" s="761"/>
      <c r="CC57" s="761"/>
      <c r="CD57" s="761"/>
    </row>
    <row r="58" spans="10:82" s="1" customFormat="1">
      <c r="J58" s="787">
        <v>45147</v>
      </c>
      <c r="K58" s="1" t="s">
        <v>660</v>
      </c>
      <c r="L58" s="1">
        <v>40</v>
      </c>
      <c r="M58" s="1" t="s">
        <v>645</v>
      </c>
      <c r="N58" s="1">
        <v>0</v>
      </c>
      <c r="R58" s="1" t="s">
        <v>441</v>
      </c>
      <c r="S58" s="599">
        <v>152.35</v>
      </c>
      <c r="AX58" s="761"/>
      <c r="AY58" s="761"/>
      <c r="AZ58" s="761"/>
      <c r="BA58" s="761"/>
      <c r="BB58" s="761"/>
      <c r="BC58" s="761"/>
      <c r="BD58" s="761"/>
      <c r="BE58" s="761"/>
      <c r="BF58" s="761"/>
      <c r="BG58" s="761"/>
      <c r="BH58" s="761"/>
      <c r="BI58" s="761"/>
      <c r="BJ58" s="761"/>
      <c r="BK58" s="761"/>
      <c r="BL58" s="761"/>
      <c r="BM58" s="761"/>
      <c r="BN58" s="761"/>
      <c r="BO58" s="761"/>
      <c r="BP58" s="761"/>
      <c r="BQ58" s="761"/>
      <c r="BR58" s="761"/>
      <c r="BS58" s="761"/>
      <c r="BT58" s="761"/>
      <c r="BU58" s="761"/>
      <c r="BV58" s="761"/>
      <c r="BW58" s="761"/>
      <c r="BX58" s="761"/>
      <c r="BY58" s="761"/>
      <c r="BZ58" s="761"/>
      <c r="CA58" s="761"/>
      <c r="CB58" s="761"/>
      <c r="CC58" s="761"/>
      <c r="CD58" s="761"/>
    </row>
    <row r="59" spans="10:82" s="1" customFormat="1">
      <c r="J59" s="787">
        <v>45153</v>
      </c>
      <c r="K59" s="1" t="s">
        <v>661</v>
      </c>
      <c r="L59" s="1">
        <v>15.95</v>
      </c>
      <c r="M59" s="1" t="s">
        <v>667</v>
      </c>
      <c r="N59" s="1">
        <v>15.95</v>
      </c>
      <c r="R59" s="1" t="s">
        <v>671</v>
      </c>
      <c r="S59" s="599">
        <v>54.01</v>
      </c>
      <c r="AX59" s="761"/>
      <c r="AY59" s="761"/>
      <c r="AZ59" s="761"/>
      <c r="BA59" s="761"/>
      <c r="BB59" s="761"/>
      <c r="BC59" s="761"/>
      <c r="BD59" s="761"/>
      <c r="BE59" s="761"/>
      <c r="BF59" s="761"/>
      <c r="BG59" s="761"/>
      <c r="BH59" s="761"/>
      <c r="BI59" s="761"/>
      <c r="BJ59" s="761"/>
      <c r="BK59" s="761"/>
      <c r="BL59" s="761"/>
      <c r="BM59" s="761"/>
      <c r="BN59" s="761"/>
      <c r="BO59" s="761"/>
      <c r="BP59" s="761"/>
      <c r="BQ59" s="761"/>
      <c r="BR59" s="761"/>
      <c r="BS59" s="761"/>
      <c r="BT59" s="761"/>
      <c r="BU59" s="761"/>
      <c r="BV59" s="761"/>
      <c r="BW59" s="761"/>
      <c r="BX59" s="761"/>
      <c r="BY59" s="761"/>
      <c r="BZ59" s="761"/>
      <c r="CA59" s="761"/>
      <c r="CB59" s="761"/>
      <c r="CC59" s="761"/>
      <c r="CD59" s="761"/>
    </row>
    <row r="60" spans="10:82" s="1" customFormat="1">
      <c r="J60" s="787">
        <v>45156</v>
      </c>
      <c r="K60" s="1" t="s">
        <v>659</v>
      </c>
      <c r="L60" s="1">
        <v>200</v>
      </c>
      <c r="R60" s="1" t="s">
        <v>672</v>
      </c>
      <c r="S60" s="599">
        <v>47.84</v>
      </c>
      <c r="AX60" s="761"/>
      <c r="AY60" s="761"/>
      <c r="AZ60" s="761"/>
      <c r="BA60" s="761"/>
      <c r="BB60" s="761"/>
      <c r="BC60" s="761"/>
      <c r="BD60" s="761"/>
      <c r="BE60" s="761"/>
      <c r="BF60" s="761"/>
      <c r="BG60" s="761"/>
      <c r="BH60" s="761"/>
      <c r="BI60" s="761"/>
      <c r="BJ60" s="761"/>
      <c r="BK60" s="761"/>
      <c r="BL60" s="761"/>
      <c r="BM60" s="761"/>
      <c r="BN60" s="761"/>
      <c r="BO60" s="761"/>
      <c r="BP60" s="761"/>
      <c r="BQ60" s="761"/>
      <c r="BR60" s="761"/>
      <c r="BS60" s="761"/>
      <c r="BT60" s="761"/>
      <c r="BU60" s="761"/>
      <c r="BV60" s="761"/>
      <c r="BW60" s="761"/>
      <c r="BX60" s="761"/>
      <c r="BY60" s="761"/>
      <c r="BZ60" s="761"/>
      <c r="CA60" s="761"/>
      <c r="CB60" s="761"/>
      <c r="CC60" s="761"/>
      <c r="CD60" s="761"/>
    </row>
    <row r="61" spans="10:82" s="1" customFormat="1">
      <c r="J61" s="787">
        <v>45160</v>
      </c>
      <c r="K61" s="1" t="s">
        <v>660</v>
      </c>
      <c r="L61" s="1">
        <v>16.79</v>
      </c>
      <c r="M61" s="1" t="s">
        <v>441</v>
      </c>
      <c r="N61" s="1">
        <f>L60+N59-151.71</f>
        <v>64.239999999999981</v>
      </c>
      <c r="R61" s="1" t="s">
        <v>668</v>
      </c>
      <c r="S61" s="788">
        <v>99.76</v>
      </c>
      <c r="T61" s="1">
        <v>108.26</v>
      </c>
      <c r="U61" s="1">
        <f>T61-S61</f>
        <v>8.5</v>
      </c>
      <c r="AX61" s="761"/>
      <c r="AY61" s="761"/>
      <c r="AZ61" s="761"/>
      <c r="BA61" s="761"/>
      <c r="BB61" s="761"/>
      <c r="BC61" s="761"/>
      <c r="BD61" s="761"/>
      <c r="BE61" s="761"/>
      <c r="BF61" s="761"/>
      <c r="BG61" s="761"/>
      <c r="BH61" s="761"/>
      <c r="BI61" s="761"/>
      <c r="BJ61" s="761"/>
      <c r="BK61" s="761"/>
      <c r="BL61" s="761"/>
      <c r="BM61" s="761"/>
      <c r="BN61" s="761"/>
      <c r="BO61" s="761"/>
      <c r="BP61" s="761"/>
      <c r="BQ61" s="761"/>
      <c r="BR61" s="761"/>
      <c r="BS61" s="761"/>
      <c r="BT61" s="761"/>
      <c r="BU61" s="761"/>
      <c r="BV61" s="761"/>
      <c r="BW61" s="761"/>
      <c r="BX61" s="761"/>
      <c r="BY61" s="761"/>
      <c r="BZ61" s="761"/>
      <c r="CA61" s="761"/>
      <c r="CB61" s="761"/>
      <c r="CC61" s="761"/>
      <c r="CD61" s="761"/>
    </row>
    <row r="62" spans="10:82" s="1" customFormat="1">
      <c r="J62" s="787">
        <v>45160</v>
      </c>
      <c r="K62" s="1" t="s">
        <v>660</v>
      </c>
      <c r="L62" s="1">
        <v>24.59</v>
      </c>
      <c r="M62" s="1" t="s">
        <v>666</v>
      </c>
      <c r="R62" s="1" t="s">
        <v>673</v>
      </c>
      <c r="S62" s="599">
        <v>20.77</v>
      </c>
      <c r="AX62" s="761"/>
      <c r="AY62" s="761"/>
      <c r="AZ62" s="761"/>
      <c r="BA62" s="761"/>
      <c r="BB62" s="761"/>
      <c r="BC62" s="761"/>
      <c r="BD62" s="761"/>
      <c r="BE62" s="761"/>
      <c r="BF62" s="761"/>
      <c r="BG62" s="761"/>
      <c r="BH62" s="761"/>
      <c r="BI62" s="761"/>
      <c r="BJ62" s="761"/>
      <c r="BK62" s="761"/>
      <c r="BL62" s="761"/>
      <c r="BM62" s="761"/>
      <c r="BN62" s="761"/>
      <c r="BO62" s="761"/>
      <c r="BP62" s="761"/>
      <c r="BQ62" s="761"/>
      <c r="BR62" s="761"/>
      <c r="BS62" s="761"/>
      <c r="BT62" s="761"/>
      <c r="BU62" s="761"/>
      <c r="BV62" s="761"/>
      <c r="BW62" s="761"/>
      <c r="BX62" s="761"/>
      <c r="BY62" s="761"/>
      <c r="BZ62" s="761"/>
      <c r="CA62" s="761"/>
      <c r="CB62" s="761"/>
      <c r="CC62" s="761"/>
      <c r="CD62" s="761"/>
    </row>
    <row r="63" spans="10:82" s="1" customFormat="1">
      <c r="J63" s="787">
        <v>45160</v>
      </c>
      <c r="K63" s="1" t="s">
        <v>660</v>
      </c>
      <c r="L63" s="1">
        <v>15.58</v>
      </c>
      <c r="M63" s="1" t="s">
        <v>669</v>
      </c>
      <c r="AX63" s="761"/>
      <c r="AY63" s="761"/>
      <c r="AZ63" s="761"/>
      <c r="BA63" s="761"/>
      <c r="BB63" s="761"/>
      <c r="BC63" s="761"/>
      <c r="BD63" s="761"/>
      <c r="BE63" s="761"/>
      <c r="BF63" s="761"/>
      <c r="BG63" s="761"/>
      <c r="BH63" s="761"/>
      <c r="BI63" s="761"/>
      <c r="BJ63" s="761"/>
      <c r="BK63" s="761"/>
      <c r="BL63" s="761"/>
      <c r="BM63" s="761"/>
      <c r="BN63" s="761"/>
      <c r="BO63" s="761"/>
      <c r="BP63" s="761"/>
      <c r="BQ63" s="761"/>
      <c r="BR63" s="761"/>
      <c r="BS63" s="761"/>
      <c r="BT63" s="761"/>
      <c r="BU63" s="761"/>
      <c r="BV63" s="761"/>
      <c r="BW63" s="761"/>
      <c r="BX63" s="761"/>
      <c r="BY63" s="761"/>
      <c r="BZ63" s="761"/>
      <c r="CA63" s="761"/>
      <c r="CB63" s="761"/>
      <c r="CC63" s="761"/>
      <c r="CD63" s="761"/>
    </row>
    <row r="64" spans="10:82" s="1" customFormat="1">
      <c r="J64" s="787">
        <v>45160</v>
      </c>
      <c r="K64" s="1" t="s">
        <v>660</v>
      </c>
      <c r="L64" s="1">
        <v>94.75</v>
      </c>
      <c r="M64" s="1" t="s">
        <v>668</v>
      </c>
      <c r="AX64" s="761"/>
      <c r="AY64" s="761"/>
      <c r="AZ64" s="761"/>
      <c r="BA64" s="761"/>
      <c r="BB64" s="761"/>
      <c r="BC64" s="761"/>
      <c r="BD64" s="761"/>
      <c r="BE64" s="761"/>
      <c r="BF64" s="761"/>
      <c r="BG64" s="761"/>
      <c r="BH64" s="761"/>
      <c r="BI64" s="761"/>
      <c r="BJ64" s="761"/>
      <c r="BK64" s="761"/>
      <c r="BL64" s="761"/>
      <c r="BM64" s="761"/>
      <c r="BN64" s="761"/>
      <c r="BO64" s="761"/>
      <c r="BP64" s="761"/>
      <c r="BQ64" s="761"/>
      <c r="BR64" s="761"/>
      <c r="BS64" s="761"/>
      <c r="BT64" s="761"/>
      <c r="BU64" s="761"/>
      <c r="BV64" s="761"/>
      <c r="BW64" s="761"/>
      <c r="BX64" s="761"/>
      <c r="BY64" s="761"/>
      <c r="BZ64" s="761"/>
      <c r="CA64" s="761"/>
      <c r="CB64" s="761"/>
      <c r="CC64" s="761"/>
      <c r="CD64" s="761"/>
    </row>
    <row r="65" spans="50:82" s="1" customFormat="1">
      <c r="AX65" s="761"/>
      <c r="AY65" s="761"/>
      <c r="AZ65" s="761"/>
      <c r="BA65" s="761"/>
      <c r="BB65" s="761"/>
      <c r="BC65" s="761"/>
      <c r="BD65" s="761"/>
      <c r="BE65" s="761"/>
      <c r="BF65" s="761"/>
      <c r="BG65" s="761"/>
      <c r="BH65" s="761"/>
      <c r="BI65" s="761"/>
      <c r="BJ65" s="761"/>
      <c r="BK65" s="761"/>
      <c r="BL65" s="761"/>
      <c r="BM65" s="761"/>
      <c r="BN65" s="761"/>
      <c r="BO65" s="761"/>
      <c r="BP65" s="761"/>
      <c r="BQ65" s="761"/>
      <c r="BR65" s="761"/>
      <c r="BS65" s="761"/>
      <c r="BT65" s="761"/>
      <c r="BU65" s="761"/>
      <c r="BV65" s="761"/>
      <c r="BW65" s="761"/>
      <c r="BX65" s="761"/>
      <c r="BY65" s="761"/>
      <c r="BZ65" s="761"/>
      <c r="CA65" s="761"/>
      <c r="CB65" s="761"/>
      <c r="CC65" s="761"/>
      <c r="CD65" s="761"/>
    </row>
    <row r="66" spans="50:82" s="1" customFormat="1">
      <c r="AX66" s="761"/>
      <c r="AY66" s="761"/>
      <c r="AZ66" s="761"/>
      <c r="BA66" s="761"/>
      <c r="BB66" s="761"/>
      <c r="BC66" s="761"/>
      <c r="BD66" s="761"/>
      <c r="BE66" s="761"/>
      <c r="BF66" s="761"/>
      <c r="BG66" s="761"/>
      <c r="BH66" s="761"/>
      <c r="BI66" s="761"/>
      <c r="BJ66" s="761"/>
      <c r="BK66" s="761"/>
      <c r="BL66" s="761"/>
      <c r="BM66" s="761"/>
      <c r="BN66" s="761"/>
      <c r="BO66" s="761"/>
      <c r="BP66" s="761"/>
      <c r="BQ66" s="761"/>
      <c r="BR66" s="761"/>
      <c r="BS66" s="761"/>
      <c r="BT66" s="761"/>
      <c r="BU66" s="761"/>
      <c r="BV66" s="761"/>
      <c r="BW66" s="761"/>
      <c r="BX66" s="761"/>
      <c r="BY66" s="761"/>
      <c r="BZ66" s="761"/>
      <c r="CA66" s="761"/>
      <c r="CB66" s="761"/>
      <c r="CC66" s="761"/>
      <c r="CD66" s="761"/>
    </row>
    <row r="67" spans="50:82" s="1" customFormat="1">
      <c r="AX67" s="761"/>
      <c r="AY67" s="761"/>
      <c r="AZ67" s="761"/>
      <c r="BA67" s="761"/>
      <c r="BB67" s="761"/>
      <c r="BC67" s="761"/>
      <c r="BD67" s="761"/>
      <c r="BE67" s="761"/>
      <c r="BF67" s="761"/>
      <c r="BG67" s="761"/>
      <c r="BH67" s="761"/>
      <c r="BI67" s="761"/>
      <c r="BJ67" s="761"/>
      <c r="BK67" s="761"/>
      <c r="BL67" s="761"/>
      <c r="BM67" s="761"/>
      <c r="BN67" s="761"/>
      <c r="BO67" s="761"/>
      <c r="BP67" s="761"/>
      <c r="BQ67" s="761"/>
      <c r="BR67" s="761"/>
      <c r="BS67" s="761"/>
      <c r="BT67" s="761"/>
      <c r="BU67" s="761"/>
      <c r="BV67" s="761"/>
      <c r="BW67" s="761"/>
      <c r="BX67" s="761"/>
      <c r="BY67" s="761"/>
      <c r="BZ67" s="761"/>
      <c r="CA67" s="761"/>
      <c r="CB67" s="761"/>
      <c r="CC67" s="761"/>
      <c r="CD67" s="761"/>
    </row>
    <row r="68" spans="50:82" s="1" customFormat="1">
      <c r="AX68" s="761"/>
      <c r="AY68" s="761"/>
      <c r="AZ68" s="761"/>
      <c r="BA68" s="761"/>
      <c r="BB68" s="761"/>
      <c r="BC68" s="761"/>
      <c r="BD68" s="761"/>
      <c r="BE68" s="761"/>
      <c r="BF68" s="761"/>
      <c r="BG68" s="761"/>
      <c r="BH68" s="761"/>
      <c r="BI68" s="761"/>
      <c r="BJ68" s="761"/>
      <c r="BK68" s="761"/>
      <c r="BL68" s="761"/>
      <c r="BM68" s="761"/>
      <c r="BN68" s="761"/>
      <c r="BO68" s="761"/>
      <c r="BP68" s="761"/>
      <c r="BQ68" s="761"/>
      <c r="BR68" s="761"/>
      <c r="BS68" s="761"/>
      <c r="BT68" s="761"/>
      <c r="BU68" s="761"/>
      <c r="BV68" s="761"/>
      <c r="BW68" s="761"/>
      <c r="BX68" s="761"/>
      <c r="BY68" s="761"/>
      <c r="BZ68" s="761"/>
      <c r="CA68" s="761"/>
      <c r="CB68" s="761"/>
      <c r="CC68" s="761"/>
      <c r="CD68" s="761"/>
    </row>
    <row r="69" spans="50:82" s="1" customFormat="1">
      <c r="AX69" s="761"/>
      <c r="AY69" s="761"/>
      <c r="AZ69" s="761"/>
      <c r="BA69" s="761"/>
      <c r="BB69" s="761"/>
      <c r="BC69" s="761"/>
      <c r="BD69" s="761"/>
      <c r="BE69" s="761"/>
      <c r="BF69" s="761"/>
      <c r="BG69" s="761"/>
      <c r="BH69" s="761"/>
      <c r="BI69" s="761"/>
      <c r="BJ69" s="761"/>
      <c r="BK69" s="761"/>
      <c r="BL69" s="761"/>
      <c r="BM69" s="761"/>
      <c r="BN69" s="761"/>
      <c r="BO69" s="761"/>
      <c r="BP69" s="761"/>
      <c r="BQ69" s="761"/>
      <c r="BR69" s="761"/>
      <c r="BS69" s="761"/>
      <c r="BT69" s="761"/>
      <c r="BU69" s="761"/>
      <c r="BV69" s="761"/>
      <c r="BW69" s="761"/>
      <c r="BX69" s="761"/>
      <c r="BY69" s="761"/>
      <c r="BZ69" s="761"/>
      <c r="CA69" s="761"/>
      <c r="CB69" s="761"/>
      <c r="CC69" s="761"/>
      <c r="CD69" s="761"/>
    </row>
    <row r="70" spans="50:82" s="1" customFormat="1">
      <c r="AX70" s="761"/>
      <c r="AY70" s="761"/>
      <c r="AZ70" s="761"/>
      <c r="BA70" s="761"/>
      <c r="BB70" s="761"/>
      <c r="BC70" s="761"/>
      <c r="BD70" s="761"/>
      <c r="BE70" s="761"/>
      <c r="BF70" s="761"/>
      <c r="BG70" s="761"/>
      <c r="BH70" s="761"/>
      <c r="BI70" s="761"/>
      <c r="BJ70" s="761"/>
      <c r="BK70" s="761"/>
      <c r="BL70" s="761"/>
      <c r="BM70" s="761"/>
      <c r="BN70" s="761"/>
      <c r="BO70" s="761"/>
      <c r="BP70" s="761"/>
      <c r="BQ70" s="761"/>
      <c r="BR70" s="761"/>
      <c r="BS70" s="761"/>
      <c r="BT70" s="761"/>
      <c r="BU70" s="761"/>
      <c r="BV70" s="761"/>
      <c r="BW70" s="761"/>
      <c r="BX70" s="761"/>
      <c r="BY70" s="761"/>
      <c r="BZ70" s="761"/>
      <c r="CA70" s="761"/>
      <c r="CB70" s="761"/>
      <c r="CC70" s="761"/>
      <c r="CD70" s="761"/>
    </row>
    <row r="71" spans="50:82" s="1" customFormat="1">
      <c r="AX71" s="761"/>
      <c r="AY71" s="761"/>
      <c r="AZ71" s="761"/>
      <c r="BA71" s="761"/>
      <c r="BB71" s="761"/>
      <c r="BC71" s="761"/>
      <c r="BD71" s="761"/>
      <c r="BE71" s="761"/>
      <c r="BF71" s="761"/>
      <c r="BG71" s="761"/>
      <c r="BH71" s="761"/>
      <c r="BI71" s="761"/>
      <c r="BJ71" s="761"/>
      <c r="BK71" s="761"/>
      <c r="BL71" s="761"/>
      <c r="BM71" s="761"/>
      <c r="BN71" s="761"/>
      <c r="BO71" s="761"/>
      <c r="BP71" s="761"/>
      <c r="BQ71" s="761"/>
      <c r="BR71" s="761"/>
      <c r="BS71" s="761"/>
      <c r="BT71" s="761"/>
      <c r="BU71" s="761"/>
      <c r="BV71" s="761"/>
      <c r="BW71" s="761"/>
      <c r="BX71" s="761"/>
      <c r="BY71" s="761"/>
      <c r="BZ71" s="761"/>
      <c r="CA71" s="761"/>
      <c r="CB71" s="761"/>
      <c r="CC71" s="761"/>
      <c r="CD71" s="761"/>
    </row>
    <row r="72" spans="50:82" s="1" customFormat="1">
      <c r="AX72" s="761"/>
      <c r="AY72" s="761"/>
      <c r="AZ72" s="761"/>
      <c r="BA72" s="761"/>
      <c r="BB72" s="761"/>
      <c r="BC72" s="761"/>
      <c r="BD72" s="761"/>
      <c r="BE72" s="761"/>
      <c r="BF72" s="761"/>
      <c r="BG72" s="761"/>
      <c r="BH72" s="761"/>
      <c r="BI72" s="761"/>
      <c r="BJ72" s="761"/>
      <c r="BK72" s="761"/>
      <c r="BL72" s="761"/>
      <c r="BM72" s="761"/>
      <c r="BN72" s="761"/>
      <c r="BO72" s="761"/>
      <c r="BP72" s="761"/>
      <c r="BQ72" s="761"/>
      <c r="BR72" s="761"/>
      <c r="BS72" s="761"/>
      <c r="BT72" s="761"/>
      <c r="BU72" s="761"/>
      <c r="BV72" s="761"/>
      <c r="BW72" s="761"/>
      <c r="BX72" s="761"/>
      <c r="BY72" s="761"/>
      <c r="BZ72" s="761"/>
      <c r="CA72" s="761"/>
      <c r="CB72" s="761"/>
      <c r="CC72" s="761"/>
      <c r="CD72" s="761"/>
    </row>
    <row r="73" spans="50:82" s="1" customFormat="1">
      <c r="AX73" s="761"/>
      <c r="AY73" s="761"/>
      <c r="AZ73" s="761"/>
      <c r="BA73" s="761"/>
      <c r="BB73" s="761"/>
      <c r="BC73" s="761"/>
      <c r="BD73" s="761"/>
      <c r="BE73" s="761"/>
      <c r="BF73" s="761"/>
      <c r="BG73" s="761"/>
      <c r="BH73" s="761"/>
      <c r="BI73" s="761"/>
      <c r="BJ73" s="761"/>
      <c r="BK73" s="761"/>
      <c r="BL73" s="761"/>
      <c r="BM73" s="761"/>
      <c r="BN73" s="761"/>
      <c r="BO73" s="761"/>
      <c r="BP73" s="761"/>
      <c r="BQ73" s="761"/>
      <c r="BR73" s="761"/>
      <c r="BS73" s="761"/>
      <c r="BT73" s="761"/>
      <c r="BU73" s="761"/>
      <c r="BV73" s="761"/>
      <c r="BW73" s="761"/>
      <c r="BX73" s="761"/>
      <c r="BY73" s="761"/>
      <c r="BZ73" s="761"/>
      <c r="CA73" s="761"/>
      <c r="CB73" s="761"/>
      <c r="CC73" s="761"/>
      <c r="CD73" s="761"/>
    </row>
    <row r="74" spans="50:82" s="1" customFormat="1">
      <c r="AX74" s="761"/>
      <c r="AY74" s="761"/>
      <c r="AZ74" s="761"/>
      <c r="BA74" s="761"/>
      <c r="BB74" s="761"/>
      <c r="BC74" s="761"/>
      <c r="BD74" s="761"/>
      <c r="BE74" s="761"/>
      <c r="BF74" s="761"/>
      <c r="BG74" s="761"/>
      <c r="BH74" s="761"/>
      <c r="BI74" s="761"/>
      <c r="BJ74" s="761"/>
      <c r="BK74" s="761"/>
      <c r="BL74" s="761"/>
      <c r="BM74" s="761"/>
      <c r="BN74" s="761"/>
      <c r="BO74" s="761"/>
      <c r="BP74" s="761"/>
      <c r="BQ74" s="761"/>
      <c r="BR74" s="761"/>
      <c r="BS74" s="761"/>
      <c r="BT74" s="761"/>
      <c r="BU74" s="761"/>
      <c r="BV74" s="761"/>
      <c r="BW74" s="761"/>
      <c r="BX74" s="761"/>
      <c r="BY74" s="761"/>
      <c r="BZ74" s="761"/>
      <c r="CA74" s="761"/>
      <c r="CB74" s="761"/>
      <c r="CC74" s="761"/>
      <c r="CD74" s="761"/>
    </row>
    <row r="75" spans="50:82" s="1" customFormat="1">
      <c r="AX75" s="761"/>
      <c r="AY75" s="761"/>
      <c r="AZ75" s="761"/>
      <c r="BA75" s="761"/>
      <c r="BB75" s="761"/>
      <c r="BC75" s="761"/>
      <c r="BD75" s="761"/>
      <c r="BE75" s="761"/>
      <c r="BF75" s="761"/>
      <c r="BG75" s="761"/>
      <c r="BH75" s="761"/>
      <c r="BI75" s="761"/>
      <c r="BJ75" s="761"/>
      <c r="BK75" s="761"/>
      <c r="BL75" s="761"/>
      <c r="BM75" s="761"/>
      <c r="BN75" s="761"/>
      <c r="BO75" s="761"/>
      <c r="BP75" s="761"/>
      <c r="BQ75" s="761"/>
      <c r="BR75" s="761"/>
      <c r="BS75" s="761"/>
      <c r="BT75" s="761"/>
      <c r="BU75" s="761"/>
      <c r="BV75" s="761"/>
      <c r="BW75" s="761"/>
      <c r="BX75" s="761"/>
      <c r="BY75" s="761"/>
      <c r="BZ75" s="761"/>
      <c r="CA75" s="761"/>
      <c r="CB75" s="761"/>
      <c r="CC75" s="761"/>
      <c r="CD75" s="761"/>
    </row>
    <row r="76" spans="50:82" s="1" customFormat="1">
      <c r="AX76" s="761"/>
      <c r="AY76" s="761"/>
      <c r="AZ76" s="761"/>
      <c r="BA76" s="761"/>
      <c r="BB76" s="761"/>
      <c r="BC76" s="761"/>
      <c r="BD76" s="761"/>
      <c r="BE76" s="761"/>
      <c r="BF76" s="761"/>
      <c r="BG76" s="761"/>
      <c r="BH76" s="761"/>
      <c r="BI76" s="761"/>
      <c r="BJ76" s="761"/>
      <c r="BK76" s="761"/>
      <c r="BL76" s="761"/>
      <c r="BM76" s="761"/>
      <c r="BN76" s="761"/>
      <c r="BO76" s="761"/>
      <c r="BP76" s="761"/>
      <c r="BQ76" s="761"/>
      <c r="BR76" s="761"/>
      <c r="BS76" s="761"/>
      <c r="BT76" s="761"/>
      <c r="BU76" s="761"/>
      <c r="BV76" s="761"/>
      <c r="BW76" s="761"/>
      <c r="BX76" s="761"/>
      <c r="BY76" s="761"/>
      <c r="BZ76" s="761"/>
      <c r="CA76" s="761"/>
      <c r="CB76" s="761"/>
      <c r="CC76" s="761"/>
      <c r="CD76" s="761"/>
    </row>
    <row r="77" spans="50:82" s="1" customFormat="1">
      <c r="AX77" s="761"/>
      <c r="AY77" s="761"/>
      <c r="AZ77" s="761"/>
      <c r="BA77" s="761"/>
      <c r="BB77" s="761"/>
      <c r="BC77" s="761"/>
      <c r="BD77" s="761"/>
      <c r="BE77" s="761"/>
      <c r="BF77" s="761"/>
      <c r="BG77" s="761"/>
      <c r="BH77" s="761"/>
      <c r="BI77" s="761"/>
      <c r="BJ77" s="761"/>
      <c r="BK77" s="761"/>
      <c r="BL77" s="761"/>
      <c r="BM77" s="761"/>
      <c r="BN77" s="761"/>
      <c r="BO77" s="761"/>
      <c r="BP77" s="761"/>
      <c r="BQ77" s="761"/>
      <c r="BR77" s="761"/>
      <c r="BS77" s="761"/>
      <c r="BT77" s="761"/>
      <c r="BU77" s="761"/>
      <c r="BV77" s="761"/>
      <c r="BW77" s="761"/>
      <c r="BX77" s="761"/>
      <c r="BY77" s="761"/>
      <c r="BZ77" s="761"/>
      <c r="CA77" s="761"/>
      <c r="CB77" s="761"/>
      <c r="CC77" s="761"/>
      <c r="CD77" s="761"/>
    </row>
    <row r="78" spans="50:82" s="1" customFormat="1">
      <c r="AX78" s="761"/>
      <c r="AY78" s="761"/>
      <c r="AZ78" s="761"/>
      <c r="BA78" s="761"/>
      <c r="BB78" s="761"/>
      <c r="BC78" s="761"/>
      <c r="BD78" s="761"/>
      <c r="BE78" s="761"/>
      <c r="BF78" s="761"/>
      <c r="BG78" s="761"/>
      <c r="BH78" s="761"/>
      <c r="BI78" s="761"/>
      <c r="BJ78" s="761"/>
      <c r="BK78" s="761"/>
      <c r="BL78" s="761"/>
      <c r="BM78" s="761"/>
      <c r="BN78" s="761"/>
      <c r="BO78" s="761"/>
      <c r="BP78" s="761"/>
      <c r="BQ78" s="761"/>
      <c r="BR78" s="761"/>
      <c r="BS78" s="761"/>
      <c r="BT78" s="761"/>
      <c r="BU78" s="761"/>
      <c r="BV78" s="761"/>
      <c r="BW78" s="761"/>
      <c r="BX78" s="761"/>
      <c r="BY78" s="761"/>
      <c r="BZ78" s="761"/>
      <c r="CA78" s="761"/>
      <c r="CB78" s="761"/>
      <c r="CC78" s="761"/>
      <c r="CD78" s="761"/>
    </row>
    <row r="79" spans="50:82" s="1" customFormat="1">
      <c r="AX79" s="761"/>
      <c r="AY79" s="761"/>
      <c r="AZ79" s="761"/>
      <c r="BA79" s="761"/>
      <c r="BB79" s="761"/>
      <c r="BC79" s="761"/>
      <c r="BD79" s="761"/>
      <c r="BE79" s="761"/>
      <c r="BF79" s="761"/>
      <c r="BG79" s="761"/>
      <c r="BH79" s="761"/>
      <c r="BI79" s="761"/>
      <c r="BJ79" s="761"/>
      <c r="BK79" s="761"/>
      <c r="BL79" s="761"/>
      <c r="BM79" s="761"/>
      <c r="BN79" s="761"/>
      <c r="BO79" s="761"/>
      <c r="BP79" s="761"/>
      <c r="BQ79" s="761"/>
      <c r="BR79" s="761"/>
      <c r="BS79" s="761"/>
      <c r="BT79" s="761"/>
      <c r="BU79" s="761"/>
      <c r="BV79" s="761"/>
      <c r="BW79" s="761"/>
      <c r="BX79" s="761"/>
      <c r="BY79" s="761"/>
      <c r="BZ79" s="761"/>
      <c r="CA79" s="761"/>
      <c r="CB79" s="761"/>
      <c r="CC79" s="761"/>
      <c r="CD79" s="761"/>
    </row>
    <row r="80" spans="50:82" s="1" customFormat="1">
      <c r="AX80" s="761"/>
      <c r="AY80" s="761"/>
      <c r="AZ80" s="761"/>
      <c r="BA80" s="761"/>
      <c r="BB80" s="761"/>
      <c r="BC80" s="761"/>
      <c r="BD80" s="761"/>
      <c r="BE80" s="761"/>
      <c r="BF80" s="761"/>
      <c r="BG80" s="761"/>
      <c r="BH80" s="761"/>
      <c r="BI80" s="761"/>
      <c r="BJ80" s="761"/>
      <c r="BK80" s="761"/>
      <c r="BL80" s="761"/>
      <c r="BM80" s="761"/>
      <c r="BN80" s="761"/>
      <c r="BO80" s="761"/>
      <c r="BP80" s="761"/>
      <c r="BQ80" s="761"/>
      <c r="BR80" s="761"/>
      <c r="BS80" s="761"/>
      <c r="BT80" s="761"/>
      <c r="BU80" s="761"/>
      <c r="BV80" s="761"/>
      <c r="BW80" s="761"/>
      <c r="BX80" s="761"/>
      <c r="BY80" s="761"/>
      <c r="BZ80" s="761"/>
      <c r="CA80" s="761"/>
      <c r="CB80" s="761"/>
      <c r="CC80" s="761"/>
      <c r="CD80" s="761"/>
    </row>
    <row r="81" spans="50:82" s="1" customFormat="1">
      <c r="AX81" s="761"/>
      <c r="AY81" s="761"/>
      <c r="AZ81" s="761"/>
      <c r="BA81" s="761"/>
      <c r="BB81" s="761"/>
      <c r="BC81" s="761"/>
      <c r="BD81" s="761"/>
      <c r="BE81" s="761"/>
      <c r="BF81" s="761"/>
      <c r="BG81" s="761"/>
      <c r="BH81" s="761"/>
      <c r="BI81" s="761"/>
      <c r="BJ81" s="761"/>
      <c r="BK81" s="761"/>
      <c r="BL81" s="761"/>
      <c r="BM81" s="761"/>
      <c r="BN81" s="761"/>
      <c r="BO81" s="761"/>
      <c r="BP81" s="761"/>
      <c r="BQ81" s="761"/>
      <c r="BR81" s="761"/>
      <c r="BS81" s="761"/>
      <c r="BT81" s="761"/>
      <c r="BU81" s="761"/>
      <c r="BV81" s="761"/>
      <c r="BW81" s="761"/>
      <c r="BX81" s="761"/>
      <c r="BY81" s="761"/>
      <c r="BZ81" s="761"/>
      <c r="CA81" s="761"/>
      <c r="CB81" s="761"/>
      <c r="CC81" s="761"/>
      <c r="CD81" s="761"/>
    </row>
    <row r="82" spans="50:82" s="1" customFormat="1">
      <c r="AX82" s="761"/>
      <c r="AY82" s="761"/>
      <c r="AZ82" s="761"/>
      <c r="BA82" s="761"/>
      <c r="BB82" s="761"/>
      <c r="BC82" s="761"/>
      <c r="BD82" s="761"/>
      <c r="BE82" s="761"/>
      <c r="BF82" s="761"/>
      <c r="BG82" s="761"/>
      <c r="BH82" s="761"/>
      <c r="BI82" s="761"/>
      <c r="BJ82" s="761"/>
      <c r="BK82" s="761"/>
      <c r="BL82" s="761"/>
      <c r="BM82" s="761"/>
      <c r="BN82" s="761"/>
      <c r="BO82" s="761"/>
      <c r="BP82" s="761"/>
      <c r="BQ82" s="761"/>
      <c r="BR82" s="761"/>
      <c r="BS82" s="761"/>
      <c r="BT82" s="761"/>
      <c r="BU82" s="761"/>
      <c r="BV82" s="761"/>
      <c r="BW82" s="761"/>
      <c r="BX82" s="761"/>
      <c r="BY82" s="761"/>
      <c r="BZ82" s="761"/>
      <c r="CA82" s="761"/>
      <c r="CB82" s="761"/>
      <c r="CC82" s="761"/>
      <c r="CD82" s="761"/>
    </row>
    <row r="83" spans="50:82" s="1" customFormat="1">
      <c r="AX83" s="761"/>
      <c r="AY83" s="761"/>
      <c r="AZ83" s="761"/>
      <c r="BA83" s="761"/>
      <c r="BB83" s="761"/>
      <c r="BC83" s="761"/>
      <c r="BD83" s="761"/>
      <c r="BE83" s="761"/>
      <c r="BF83" s="761"/>
      <c r="BG83" s="761"/>
      <c r="BH83" s="761"/>
      <c r="BI83" s="761"/>
      <c r="BJ83" s="761"/>
      <c r="BK83" s="761"/>
      <c r="BL83" s="761"/>
      <c r="BM83" s="761"/>
      <c r="BN83" s="761"/>
      <c r="BO83" s="761"/>
      <c r="BP83" s="761"/>
      <c r="BQ83" s="761"/>
      <c r="BR83" s="761"/>
      <c r="BS83" s="761"/>
      <c r="BT83" s="761"/>
      <c r="BU83" s="761"/>
      <c r="BV83" s="761"/>
      <c r="BW83" s="761"/>
      <c r="BX83" s="761"/>
      <c r="BY83" s="761"/>
      <c r="BZ83" s="761"/>
      <c r="CA83" s="761"/>
      <c r="CB83" s="761"/>
      <c r="CC83" s="761"/>
      <c r="CD83" s="761"/>
    </row>
    <row r="84" spans="50:82" s="1" customFormat="1">
      <c r="AX84" s="761"/>
      <c r="AY84" s="761"/>
      <c r="AZ84" s="761"/>
      <c r="BA84" s="761"/>
      <c r="BB84" s="761"/>
      <c r="BC84" s="761"/>
      <c r="BD84" s="761"/>
      <c r="BE84" s="761"/>
      <c r="BF84" s="761"/>
      <c r="BG84" s="761"/>
      <c r="BH84" s="761"/>
      <c r="BI84" s="761"/>
      <c r="BJ84" s="761"/>
      <c r="BK84" s="761"/>
      <c r="BL84" s="761"/>
      <c r="BM84" s="761"/>
      <c r="BN84" s="761"/>
      <c r="BO84" s="761"/>
      <c r="BP84" s="761"/>
      <c r="BQ84" s="761"/>
      <c r="BR84" s="761"/>
      <c r="BS84" s="761"/>
      <c r="BT84" s="761"/>
      <c r="BU84" s="761"/>
      <c r="BV84" s="761"/>
      <c r="BW84" s="761"/>
      <c r="BX84" s="761"/>
      <c r="BY84" s="761"/>
      <c r="BZ84" s="761"/>
      <c r="CA84" s="761"/>
      <c r="CB84" s="761"/>
      <c r="CC84" s="761"/>
      <c r="CD84" s="761"/>
    </row>
    <row r="85" spans="50:82" s="1" customFormat="1">
      <c r="AX85" s="761"/>
      <c r="AY85" s="761"/>
      <c r="AZ85" s="761"/>
      <c r="BA85" s="761"/>
      <c r="BB85" s="761"/>
      <c r="BC85" s="761"/>
      <c r="BD85" s="761"/>
      <c r="BE85" s="761"/>
      <c r="BF85" s="761"/>
      <c r="BG85" s="761"/>
      <c r="BH85" s="761"/>
      <c r="BI85" s="761"/>
      <c r="BJ85" s="761"/>
      <c r="BK85" s="761"/>
      <c r="BL85" s="761"/>
      <c r="BM85" s="761"/>
      <c r="BN85" s="761"/>
      <c r="BO85" s="761"/>
      <c r="BP85" s="761"/>
      <c r="BQ85" s="761"/>
      <c r="BR85" s="761"/>
      <c r="BS85" s="761"/>
      <c r="BT85" s="761"/>
      <c r="BU85" s="761"/>
      <c r="BV85" s="761"/>
      <c r="BW85" s="761"/>
      <c r="BX85" s="761"/>
      <c r="BY85" s="761"/>
      <c r="BZ85" s="761"/>
      <c r="CA85" s="761"/>
      <c r="CB85" s="761"/>
      <c r="CC85" s="761"/>
      <c r="CD85" s="761"/>
    </row>
    <row r="86" spans="50:82" s="1" customFormat="1">
      <c r="AX86" s="761"/>
      <c r="AY86" s="761"/>
      <c r="AZ86" s="761"/>
      <c r="BA86" s="761"/>
      <c r="BB86" s="761"/>
      <c r="BC86" s="761"/>
      <c r="BD86" s="761"/>
      <c r="BE86" s="761"/>
      <c r="BF86" s="761"/>
      <c r="BG86" s="761"/>
      <c r="BH86" s="761"/>
      <c r="BI86" s="761"/>
      <c r="BJ86" s="761"/>
      <c r="BK86" s="761"/>
      <c r="BL86" s="761"/>
      <c r="BM86" s="761"/>
      <c r="BN86" s="761"/>
      <c r="BO86" s="761"/>
      <c r="BP86" s="761"/>
      <c r="BQ86" s="761"/>
      <c r="BR86" s="761"/>
      <c r="BS86" s="761"/>
      <c r="BT86" s="761"/>
      <c r="BU86" s="761"/>
      <c r="BV86" s="761"/>
      <c r="BW86" s="761"/>
      <c r="BX86" s="761"/>
      <c r="BY86" s="761"/>
      <c r="BZ86" s="761"/>
      <c r="CA86" s="761"/>
      <c r="CB86" s="761"/>
      <c r="CC86" s="761"/>
      <c r="CD86" s="761"/>
    </row>
    <row r="87" spans="50:82" s="1" customFormat="1">
      <c r="AX87" s="761"/>
      <c r="AY87" s="761"/>
      <c r="AZ87" s="761"/>
      <c r="BA87" s="761"/>
      <c r="BB87" s="761"/>
      <c r="BC87" s="761"/>
      <c r="BD87" s="761"/>
      <c r="BE87" s="761"/>
      <c r="BF87" s="761"/>
      <c r="BG87" s="761"/>
      <c r="BH87" s="761"/>
      <c r="BI87" s="761"/>
      <c r="BJ87" s="761"/>
      <c r="BK87" s="761"/>
      <c r="BL87" s="761"/>
      <c r="BM87" s="761"/>
      <c r="BN87" s="761"/>
      <c r="BO87" s="761"/>
      <c r="BP87" s="761"/>
      <c r="BQ87" s="761"/>
      <c r="BR87" s="761"/>
      <c r="BS87" s="761"/>
      <c r="BT87" s="761"/>
      <c r="BU87" s="761"/>
      <c r="BV87" s="761"/>
      <c r="BW87" s="761"/>
      <c r="BX87" s="761"/>
      <c r="BY87" s="761"/>
      <c r="BZ87" s="761"/>
      <c r="CA87" s="761"/>
      <c r="CB87" s="761"/>
      <c r="CC87" s="761"/>
      <c r="CD87" s="761"/>
    </row>
    <row r="88" spans="50:82" s="1" customFormat="1">
      <c r="AX88" s="761"/>
      <c r="AY88" s="761"/>
      <c r="AZ88" s="761"/>
      <c r="BA88" s="761"/>
      <c r="BB88" s="761"/>
      <c r="BC88" s="761"/>
      <c r="BD88" s="761"/>
      <c r="BE88" s="761"/>
      <c r="BF88" s="761"/>
      <c r="BG88" s="761"/>
      <c r="BH88" s="761"/>
      <c r="BI88" s="761"/>
      <c r="BJ88" s="761"/>
      <c r="BK88" s="761"/>
      <c r="BL88" s="761"/>
      <c r="BM88" s="761"/>
      <c r="BN88" s="761"/>
      <c r="BO88" s="761"/>
      <c r="BP88" s="761"/>
      <c r="BQ88" s="761"/>
      <c r="BR88" s="761"/>
      <c r="BS88" s="761"/>
      <c r="BT88" s="761"/>
      <c r="BU88" s="761"/>
      <c r="BV88" s="761"/>
      <c r="BW88" s="761"/>
      <c r="BX88" s="761"/>
      <c r="BY88" s="761"/>
      <c r="BZ88" s="761"/>
      <c r="CA88" s="761"/>
      <c r="CB88" s="761"/>
      <c r="CC88" s="761"/>
      <c r="CD88" s="761"/>
    </row>
    <row r="89" spans="50:82" s="1" customFormat="1">
      <c r="AX89" s="761"/>
      <c r="AY89" s="761"/>
      <c r="AZ89" s="761"/>
      <c r="BA89" s="761"/>
      <c r="BB89" s="761"/>
      <c r="BC89" s="761"/>
      <c r="BD89" s="761"/>
      <c r="BE89" s="761"/>
      <c r="BF89" s="761"/>
      <c r="BG89" s="761"/>
      <c r="BH89" s="761"/>
      <c r="BI89" s="761"/>
      <c r="BJ89" s="761"/>
      <c r="BK89" s="761"/>
      <c r="BL89" s="761"/>
      <c r="BM89" s="761"/>
      <c r="BN89" s="761"/>
      <c r="BO89" s="761"/>
      <c r="BP89" s="761"/>
      <c r="BQ89" s="761"/>
      <c r="BR89" s="761"/>
      <c r="BS89" s="761"/>
      <c r="BT89" s="761"/>
      <c r="BU89" s="761"/>
      <c r="BV89" s="761"/>
      <c r="BW89" s="761"/>
      <c r="BX89" s="761"/>
      <c r="BY89" s="761"/>
      <c r="BZ89" s="761"/>
      <c r="CA89" s="761"/>
      <c r="CB89" s="761"/>
      <c r="CC89" s="761"/>
      <c r="CD89" s="761"/>
    </row>
    <row r="90" spans="50:82" s="1" customFormat="1">
      <c r="AX90" s="761"/>
      <c r="AY90" s="761"/>
      <c r="AZ90" s="761"/>
      <c r="BA90" s="761"/>
      <c r="BB90" s="761"/>
      <c r="BC90" s="761"/>
      <c r="BD90" s="761"/>
      <c r="BE90" s="761"/>
      <c r="BF90" s="761"/>
      <c r="BG90" s="761"/>
      <c r="BH90" s="761"/>
      <c r="BI90" s="761"/>
      <c r="BJ90" s="761"/>
      <c r="BK90" s="761"/>
      <c r="BL90" s="761"/>
      <c r="BM90" s="761"/>
      <c r="BN90" s="761"/>
      <c r="BO90" s="761"/>
      <c r="BP90" s="761"/>
      <c r="BQ90" s="761"/>
      <c r="BR90" s="761"/>
      <c r="BS90" s="761"/>
      <c r="BT90" s="761"/>
      <c r="BU90" s="761"/>
      <c r="BV90" s="761"/>
      <c r="BW90" s="761"/>
      <c r="BX90" s="761"/>
      <c r="BY90" s="761"/>
      <c r="BZ90" s="761"/>
      <c r="CA90" s="761"/>
      <c r="CB90" s="761"/>
      <c r="CC90" s="761"/>
      <c r="CD90" s="761"/>
    </row>
    <row r="91" spans="50:82" s="1" customFormat="1">
      <c r="AX91" s="761"/>
      <c r="AY91" s="761"/>
      <c r="AZ91" s="761"/>
      <c r="BA91" s="761"/>
      <c r="BB91" s="761"/>
      <c r="BC91" s="761"/>
      <c r="BD91" s="761"/>
      <c r="BE91" s="761"/>
      <c r="BF91" s="761"/>
      <c r="BG91" s="761"/>
      <c r="BH91" s="761"/>
      <c r="BI91" s="761"/>
      <c r="BJ91" s="761"/>
      <c r="BK91" s="761"/>
      <c r="BL91" s="761"/>
      <c r="BM91" s="761"/>
      <c r="BN91" s="761"/>
      <c r="BO91" s="761"/>
      <c r="BP91" s="761"/>
      <c r="BQ91" s="761"/>
      <c r="BR91" s="761"/>
      <c r="BS91" s="761"/>
      <c r="BT91" s="761"/>
      <c r="BU91" s="761"/>
      <c r="BV91" s="761"/>
      <c r="BW91" s="761"/>
      <c r="BX91" s="761"/>
      <c r="BY91" s="761"/>
      <c r="BZ91" s="761"/>
      <c r="CA91" s="761"/>
      <c r="CB91" s="761"/>
      <c r="CC91" s="761"/>
      <c r="CD91" s="761"/>
    </row>
    <row r="92" spans="50:82" s="1" customFormat="1">
      <c r="AX92" s="761"/>
      <c r="AY92" s="761"/>
      <c r="AZ92" s="761"/>
      <c r="BA92" s="761"/>
      <c r="BB92" s="761"/>
      <c r="BC92" s="761"/>
      <c r="BD92" s="761"/>
      <c r="BE92" s="761"/>
      <c r="BF92" s="761"/>
      <c r="BG92" s="761"/>
      <c r="BH92" s="761"/>
      <c r="BI92" s="761"/>
      <c r="BJ92" s="761"/>
      <c r="BK92" s="761"/>
      <c r="BL92" s="761"/>
      <c r="BM92" s="761"/>
      <c r="BN92" s="761"/>
      <c r="BO92" s="761"/>
      <c r="BP92" s="761"/>
      <c r="BQ92" s="761"/>
      <c r="BR92" s="761"/>
      <c r="BS92" s="761"/>
      <c r="BT92" s="761"/>
      <c r="BU92" s="761"/>
      <c r="BV92" s="761"/>
      <c r="BW92" s="761"/>
      <c r="BX92" s="761"/>
      <c r="BY92" s="761"/>
      <c r="BZ92" s="761"/>
      <c r="CA92" s="761"/>
      <c r="CB92" s="761"/>
      <c r="CC92" s="761"/>
      <c r="CD92" s="761"/>
    </row>
    <row r="93" spans="50:82" s="1" customFormat="1">
      <c r="AX93" s="761"/>
      <c r="AY93" s="761"/>
      <c r="AZ93" s="761"/>
      <c r="BA93" s="761"/>
      <c r="BB93" s="761"/>
      <c r="BC93" s="761"/>
      <c r="BD93" s="761"/>
      <c r="BE93" s="761"/>
      <c r="BF93" s="761"/>
      <c r="BG93" s="761"/>
      <c r="BH93" s="761"/>
      <c r="BI93" s="761"/>
      <c r="BJ93" s="761"/>
      <c r="BK93" s="761"/>
      <c r="BL93" s="761"/>
      <c r="BM93" s="761"/>
      <c r="BN93" s="761"/>
      <c r="BO93" s="761"/>
      <c r="BP93" s="761"/>
      <c r="BQ93" s="761"/>
      <c r="BR93" s="761"/>
      <c r="BS93" s="761"/>
      <c r="BT93" s="761"/>
      <c r="BU93" s="761"/>
      <c r="BV93" s="761"/>
      <c r="BW93" s="761"/>
      <c r="BX93" s="761"/>
      <c r="BY93" s="761"/>
      <c r="BZ93" s="761"/>
      <c r="CA93" s="761"/>
      <c r="CB93" s="761"/>
      <c r="CC93" s="761"/>
      <c r="CD93" s="761"/>
    </row>
    <row r="94" spans="50:82" s="1" customFormat="1">
      <c r="AX94" s="761"/>
      <c r="AY94" s="761"/>
      <c r="AZ94" s="761"/>
      <c r="BA94" s="761"/>
      <c r="BB94" s="761"/>
      <c r="BC94" s="761"/>
      <c r="BD94" s="761"/>
      <c r="BE94" s="761"/>
      <c r="BF94" s="761"/>
      <c r="BG94" s="761"/>
      <c r="BH94" s="761"/>
      <c r="BI94" s="761"/>
      <c r="BJ94" s="761"/>
      <c r="BK94" s="761"/>
      <c r="BL94" s="761"/>
      <c r="BM94" s="761"/>
      <c r="BN94" s="761"/>
      <c r="BO94" s="761"/>
      <c r="BP94" s="761"/>
      <c r="BQ94" s="761"/>
      <c r="BR94" s="761"/>
      <c r="BS94" s="761"/>
      <c r="BT94" s="761"/>
      <c r="BU94" s="761"/>
      <c r="BV94" s="761"/>
      <c r="BW94" s="761"/>
      <c r="BX94" s="761"/>
      <c r="BY94" s="761"/>
      <c r="BZ94" s="761"/>
      <c r="CA94" s="761"/>
      <c r="CB94" s="761"/>
      <c r="CC94" s="761"/>
      <c r="CD94" s="761"/>
    </row>
    <row r="95" spans="50:82" s="1" customFormat="1">
      <c r="AX95" s="761"/>
      <c r="AY95" s="761"/>
      <c r="AZ95" s="761"/>
      <c r="BA95" s="761"/>
      <c r="BB95" s="761"/>
      <c r="BC95" s="761"/>
      <c r="BD95" s="761"/>
      <c r="BE95" s="761"/>
      <c r="BF95" s="761"/>
      <c r="BG95" s="761"/>
      <c r="BH95" s="761"/>
      <c r="BI95" s="761"/>
      <c r="BJ95" s="761"/>
      <c r="BK95" s="761"/>
      <c r="BL95" s="761"/>
      <c r="BM95" s="761"/>
      <c r="BN95" s="761"/>
      <c r="BO95" s="761"/>
      <c r="BP95" s="761"/>
      <c r="BQ95" s="761"/>
      <c r="BR95" s="761"/>
      <c r="BS95" s="761"/>
      <c r="BT95" s="761"/>
      <c r="BU95" s="761"/>
      <c r="BV95" s="761"/>
      <c r="BW95" s="761"/>
      <c r="BX95" s="761"/>
      <c r="BY95" s="761"/>
      <c r="BZ95" s="761"/>
      <c r="CA95" s="761"/>
      <c r="CB95" s="761"/>
      <c r="CC95" s="761"/>
      <c r="CD95" s="761"/>
    </row>
    <row r="96" spans="50:82" s="1" customFormat="1">
      <c r="AX96" s="761"/>
      <c r="AY96" s="761"/>
      <c r="AZ96" s="761"/>
      <c r="BA96" s="761"/>
      <c r="BB96" s="761"/>
      <c r="BC96" s="761"/>
      <c r="BD96" s="761"/>
      <c r="BE96" s="761"/>
      <c r="BF96" s="761"/>
      <c r="BG96" s="761"/>
      <c r="BH96" s="761"/>
      <c r="BI96" s="761"/>
      <c r="BJ96" s="761"/>
      <c r="BK96" s="761"/>
      <c r="BL96" s="761"/>
      <c r="BM96" s="761"/>
      <c r="BN96" s="761"/>
      <c r="BO96" s="761"/>
      <c r="BP96" s="761"/>
      <c r="BQ96" s="761"/>
      <c r="BR96" s="761"/>
      <c r="BS96" s="761"/>
      <c r="BT96" s="761"/>
      <c r="BU96" s="761"/>
      <c r="BV96" s="761"/>
      <c r="BW96" s="761"/>
      <c r="BX96" s="761"/>
      <c r="BY96" s="761"/>
      <c r="BZ96" s="761"/>
      <c r="CA96" s="761"/>
      <c r="CB96" s="761"/>
      <c r="CC96" s="761"/>
      <c r="CD96" s="761"/>
    </row>
    <row r="97" spans="50:82" s="1" customFormat="1">
      <c r="AX97" s="761"/>
      <c r="AY97" s="761"/>
      <c r="AZ97" s="761"/>
      <c r="BA97" s="761"/>
      <c r="BB97" s="761"/>
      <c r="BC97" s="761"/>
      <c r="BD97" s="761"/>
      <c r="BE97" s="761"/>
      <c r="BF97" s="761"/>
      <c r="BG97" s="761"/>
      <c r="BH97" s="761"/>
      <c r="BI97" s="761"/>
      <c r="BJ97" s="761"/>
      <c r="BK97" s="761"/>
      <c r="BL97" s="761"/>
      <c r="BM97" s="761"/>
      <c r="BN97" s="761"/>
      <c r="BO97" s="761"/>
      <c r="BP97" s="761"/>
      <c r="BQ97" s="761"/>
      <c r="BR97" s="761"/>
      <c r="BS97" s="761"/>
      <c r="BT97" s="761"/>
      <c r="BU97" s="761"/>
      <c r="BV97" s="761"/>
      <c r="BW97" s="761"/>
      <c r="BX97" s="761"/>
      <c r="BY97" s="761"/>
      <c r="BZ97" s="761"/>
      <c r="CA97" s="761"/>
      <c r="CB97" s="761"/>
      <c r="CC97" s="761"/>
      <c r="CD97" s="761"/>
    </row>
    <row r="98" spans="50:82" s="1" customFormat="1">
      <c r="AX98" s="761"/>
      <c r="AY98" s="761"/>
      <c r="AZ98" s="761"/>
      <c r="BA98" s="761"/>
      <c r="BB98" s="761"/>
      <c r="BC98" s="761"/>
      <c r="BD98" s="761"/>
      <c r="BE98" s="761"/>
      <c r="BF98" s="761"/>
      <c r="BG98" s="761"/>
      <c r="BH98" s="761"/>
      <c r="BI98" s="761"/>
      <c r="BJ98" s="761"/>
      <c r="BK98" s="761"/>
      <c r="BL98" s="761"/>
      <c r="BM98" s="761"/>
      <c r="BN98" s="761"/>
      <c r="BO98" s="761"/>
      <c r="BP98" s="761"/>
      <c r="BQ98" s="761"/>
      <c r="BR98" s="761"/>
      <c r="BS98" s="761"/>
      <c r="BT98" s="761"/>
      <c r="BU98" s="761"/>
      <c r="BV98" s="761"/>
      <c r="BW98" s="761"/>
      <c r="BX98" s="761"/>
      <c r="BY98" s="761"/>
      <c r="BZ98" s="761"/>
      <c r="CA98" s="761"/>
      <c r="CB98" s="761"/>
      <c r="CC98" s="761"/>
      <c r="CD98" s="761"/>
    </row>
    <row r="99" spans="50:82" s="1" customFormat="1">
      <c r="AX99" s="761"/>
      <c r="AY99" s="761"/>
      <c r="AZ99" s="761"/>
      <c r="BA99" s="761"/>
      <c r="BB99" s="761"/>
      <c r="BC99" s="761"/>
      <c r="BD99" s="761"/>
      <c r="BE99" s="761"/>
      <c r="BF99" s="761"/>
      <c r="BG99" s="761"/>
      <c r="BH99" s="761"/>
      <c r="BI99" s="761"/>
      <c r="BJ99" s="761"/>
      <c r="BK99" s="761"/>
      <c r="BL99" s="761"/>
      <c r="BM99" s="761"/>
      <c r="BN99" s="761"/>
      <c r="BO99" s="761"/>
      <c r="BP99" s="761"/>
      <c r="BQ99" s="761"/>
      <c r="BR99" s="761"/>
      <c r="BS99" s="761"/>
      <c r="BT99" s="761"/>
      <c r="BU99" s="761"/>
      <c r="BV99" s="761"/>
      <c r="BW99" s="761"/>
      <c r="BX99" s="761"/>
      <c r="BY99" s="761"/>
      <c r="BZ99" s="761"/>
      <c r="CA99" s="761"/>
      <c r="CB99" s="761"/>
      <c r="CC99" s="761"/>
      <c r="CD99" s="761"/>
    </row>
    <row r="100" spans="50:82" s="1" customFormat="1">
      <c r="AX100" s="761"/>
      <c r="AY100" s="761"/>
      <c r="AZ100" s="761"/>
      <c r="BA100" s="761"/>
      <c r="BB100" s="761"/>
      <c r="BC100" s="761"/>
      <c r="BD100" s="761"/>
      <c r="BE100" s="761"/>
      <c r="BF100" s="761"/>
      <c r="BG100" s="761"/>
      <c r="BH100" s="761"/>
      <c r="BI100" s="761"/>
      <c r="BJ100" s="761"/>
      <c r="BK100" s="761"/>
      <c r="BL100" s="761"/>
      <c r="BM100" s="761"/>
      <c r="BN100" s="761"/>
      <c r="BO100" s="761"/>
      <c r="BP100" s="761"/>
      <c r="BQ100" s="761"/>
      <c r="BR100" s="761"/>
      <c r="BS100" s="761"/>
      <c r="BT100" s="761"/>
      <c r="BU100" s="761"/>
      <c r="BV100" s="761"/>
      <c r="BW100" s="761"/>
      <c r="BX100" s="761"/>
      <c r="BY100" s="761"/>
      <c r="BZ100" s="761"/>
      <c r="CA100" s="761"/>
      <c r="CB100" s="761"/>
      <c r="CC100" s="761"/>
      <c r="CD100" s="761"/>
    </row>
    <row r="101" spans="50:82" s="1" customFormat="1">
      <c r="AX101" s="761"/>
      <c r="AY101" s="761"/>
      <c r="AZ101" s="761"/>
      <c r="BA101" s="761"/>
      <c r="BB101" s="761"/>
      <c r="BC101" s="761"/>
      <c r="BD101" s="761"/>
      <c r="BE101" s="761"/>
      <c r="BF101" s="761"/>
      <c r="BG101" s="761"/>
      <c r="BH101" s="761"/>
      <c r="BI101" s="761"/>
      <c r="BJ101" s="761"/>
      <c r="BK101" s="761"/>
      <c r="BL101" s="761"/>
      <c r="BM101" s="761"/>
      <c r="BN101" s="761"/>
      <c r="BO101" s="761"/>
      <c r="BP101" s="761"/>
      <c r="BQ101" s="761"/>
      <c r="BR101" s="761"/>
      <c r="BS101" s="761"/>
      <c r="BT101" s="761"/>
      <c r="BU101" s="761"/>
      <c r="BV101" s="761"/>
      <c r="BW101" s="761"/>
      <c r="BX101" s="761"/>
      <c r="BY101" s="761"/>
      <c r="BZ101" s="761"/>
      <c r="CA101" s="761"/>
      <c r="CB101" s="761"/>
      <c r="CC101" s="761"/>
      <c r="CD101" s="761"/>
    </row>
    <row r="102" spans="50:82" s="1" customFormat="1">
      <c r="AX102" s="761"/>
      <c r="AY102" s="761"/>
      <c r="AZ102" s="761"/>
      <c r="BA102" s="761"/>
      <c r="BB102" s="761"/>
      <c r="BC102" s="761"/>
      <c r="BD102" s="761"/>
      <c r="BE102" s="761"/>
      <c r="BF102" s="761"/>
      <c r="BG102" s="761"/>
      <c r="BH102" s="761"/>
      <c r="BI102" s="761"/>
      <c r="BJ102" s="761"/>
      <c r="BK102" s="761"/>
      <c r="BL102" s="761"/>
      <c r="BM102" s="761"/>
      <c r="BN102" s="761"/>
      <c r="BO102" s="761"/>
      <c r="BP102" s="761"/>
      <c r="BQ102" s="761"/>
      <c r="BR102" s="761"/>
      <c r="BS102" s="761"/>
      <c r="BT102" s="761"/>
      <c r="BU102" s="761"/>
      <c r="BV102" s="761"/>
      <c r="BW102" s="761"/>
      <c r="BX102" s="761"/>
      <c r="BY102" s="761"/>
      <c r="BZ102" s="761"/>
      <c r="CA102" s="761"/>
      <c r="CB102" s="761"/>
      <c r="CC102" s="761"/>
      <c r="CD102" s="761"/>
    </row>
    <row r="103" spans="50:82" s="1" customFormat="1">
      <c r="AX103" s="761"/>
      <c r="AY103" s="761"/>
      <c r="AZ103" s="761"/>
      <c r="BA103" s="761"/>
      <c r="BB103" s="761"/>
      <c r="BC103" s="761"/>
      <c r="BD103" s="761"/>
      <c r="BE103" s="761"/>
      <c r="BF103" s="761"/>
      <c r="BG103" s="761"/>
      <c r="BH103" s="761"/>
      <c r="BI103" s="761"/>
      <c r="BJ103" s="761"/>
      <c r="BK103" s="761"/>
      <c r="BL103" s="761"/>
      <c r="BM103" s="761"/>
      <c r="BN103" s="761"/>
      <c r="BO103" s="761"/>
      <c r="BP103" s="761"/>
      <c r="BQ103" s="761"/>
      <c r="BR103" s="761"/>
      <c r="BS103" s="761"/>
      <c r="BT103" s="761"/>
      <c r="BU103" s="761"/>
      <c r="BV103" s="761"/>
      <c r="BW103" s="761"/>
      <c r="BX103" s="761"/>
      <c r="BY103" s="761"/>
      <c r="BZ103" s="761"/>
      <c r="CA103" s="761"/>
      <c r="CB103" s="761"/>
      <c r="CC103" s="761"/>
      <c r="CD103" s="761"/>
    </row>
    <row r="104" spans="50:82" s="1" customFormat="1">
      <c r="AX104" s="761"/>
      <c r="AY104" s="761"/>
      <c r="AZ104" s="761"/>
      <c r="BA104" s="761"/>
      <c r="BB104" s="761"/>
      <c r="BC104" s="761"/>
      <c r="BD104" s="761"/>
      <c r="BE104" s="761"/>
      <c r="BF104" s="761"/>
      <c r="BG104" s="761"/>
      <c r="BH104" s="761"/>
      <c r="BI104" s="761"/>
      <c r="BJ104" s="761"/>
      <c r="BK104" s="761"/>
      <c r="BL104" s="761"/>
      <c r="BM104" s="761"/>
      <c r="BN104" s="761"/>
      <c r="BO104" s="761"/>
      <c r="BP104" s="761"/>
      <c r="BQ104" s="761"/>
      <c r="BR104" s="761"/>
      <c r="BS104" s="761"/>
      <c r="BT104" s="761"/>
      <c r="BU104" s="761"/>
      <c r="BV104" s="761"/>
      <c r="BW104" s="761"/>
      <c r="BX104" s="761"/>
      <c r="BY104" s="761"/>
      <c r="BZ104" s="761"/>
      <c r="CA104" s="761"/>
      <c r="CB104" s="761"/>
      <c r="CC104" s="761"/>
      <c r="CD104" s="761"/>
    </row>
    <row r="105" spans="50:82" s="1" customFormat="1">
      <c r="AX105" s="761"/>
      <c r="AY105" s="761"/>
      <c r="AZ105" s="761"/>
      <c r="BA105" s="761"/>
      <c r="BB105" s="761"/>
      <c r="BC105" s="761"/>
      <c r="BD105" s="761"/>
      <c r="BE105" s="761"/>
      <c r="BF105" s="761"/>
      <c r="BG105" s="761"/>
      <c r="BH105" s="761"/>
      <c r="BI105" s="761"/>
      <c r="BJ105" s="761"/>
      <c r="BK105" s="761"/>
      <c r="BL105" s="761"/>
      <c r="BM105" s="761"/>
      <c r="BN105" s="761"/>
      <c r="BO105" s="761"/>
      <c r="BP105" s="761"/>
      <c r="BQ105" s="761"/>
      <c r="BR105" s="761"/>
      <c r="BS105" s="761"/>
      <c r="BT105" s="761"/>
      <c r="BU105" s="761"/>
      <c r="BV105" s="761"/>
      <c r="BW105" s="761"/>
      <c r="BX105" s="761"/>
      <c r="BY105" s="761"/>
      <c r="BZ105" s="761"/>
      <c r="CA105" s="761"/>
      <c r="CB105" s="761"/>
      <c r="CC105" s="761"/>
      <c r="CD105" s="761"/>
    </row>
    <row r="106" spans="50:82" s="1" customFormat="1">
      <c r="AX106" s="761"/>
      <c r="AY106" s="761"/>
      <c r="AZ106" s="761"/>
      <c r="BA106" s="761"/>
      <c r="BB106" s="761"/>
      <c r="BC106" s="761"/>
      <c r="BD106" s="761"/>
      <c r="BE106" s="761"/>
      <c r="BF106" s="761"/>
      <c r="BG106" s="761"/>
      <c r="BH106" s="761"/>
      <c r="BI106" s="761"/>
      <c r="BJ106" s="761"/>
      <c r="BK106" s="761"/>
      <c r="BL106" s="761"/>
      <c r="BM106" s="761"/>
      <c r="BN106" s="761"/>
      <c r="BO106" s="761"/>
      <c r="BP106" s="761"/>
      <c r="BQ106" s="761"/>
      <c r="BR106" s="761"/>
      <c r="BS106" s="761"/>
      <c r="BT106" s="761"/>
      <c r="BU106" s="761"/>
      <c r="BV106" s="761"/>
      <c r="BW106" s="761"/>
      <c r="BX106" s="761"/>
      <c r="BY106" s="761"/>
      <c r="BZ106" s="761"/>
      <c r="CA106" s="761"/>
      <c r="CB106" s="761"/>
      <c r="CC106" s="761"/>
      <c r="CD106" s="761"/>
    </row>
    <row r="107" spans="50:82" s="1" customFormat="1">
      <c r="AX107" s="761"/>
      <c r="AY107" s="761"/>
      <c r="AZ107" s="761"/>
      <c r="BA107" s="761"/>
      <c r="BB107" s="761"/>
      <c r="BC107" s="761"/>
      <c r="BD107" s="761"/>
      <c r="BE107" s="761"/>
      <c r="BF107" s="761"/>
      <c r="BG107" s="761"/>
      <c r="BH107" s="761"/>
      <c r="BI107" s="761"/>
      <c r="BJ107" s="761"/>
      <c r="BK107" s="761"/>
      <c r="BL107" s="761"/>
      <c r="BM107" s="761"/>
      <c r="BN107" s="761"/>
      <c r="BO107" s="761"/>
      <c r="BP107" s="761"/>
      <c r="BQ107" s="761"/>
      <c r="BR107" s="761"/>
      <c r="BS107" s="761"/>
      <c r="BT107" s="761"/>
      <c r="BU107" s="761"/>
      <c r="BV107" s="761"/>
      <c r="BW107" s="761"/>
      <c r="BX107" s="761"/>
      <c r="BY107" s="761"/>
      <c r="BZ107" s="761"/>
      <c r="CA107" s="761"/>
      <c r="CB107" s="761"/>
      <c r="CC107" s="761"/>
      <c r="CD107" s="761"/>
    </row>
    <row r="108" spans="50:82" s="1" customFormat="1">
      <c r="AX108" s="761"/>
      <c r="AY108" s="761"/>
      <c r="AZ108" s="761"/>
      <c r="BA108" s="761"/>
      <c r="BB108" s="761"/>
      <c r="BC108" s="761"/>
      <c r="BD108" s="761"/>
      <c r="BE108" s="761"/>
      <c r="BF108" s="761"/>
      <c r="BG108" s="761"/>
      <c r="BH108" s="761"/>
      <c r="BI108" s="761"/>
      <c r="BJ108" s="761"/>
      <c r="BK108" s="761"/>
      <c r="BL108" s="761"/>
      <c r="BM108" s="761"/>
      <c r="BN108" s="761"/>
      <c r="BO108" s="761"/>
      <c r="BP108" s="761"/>
      <c r="BQ108" s="761"/>
      <c r="BR108" s="761"/>
      <c r="BS108" s="761"/>
      <c r="BT108" s="761"/>
      <c r="BU108" s="761"/>
      <c r="BV108" s="761"/>
      <c r="BW108" s="761"/>
      <c r="BX108" s="761"/>
      <c r="BY108" s="761"/>
      <c r="BZ108" s="761"/>
      <c r="CA108" s="761"/>
      <c r="CB108" s="761"/>
      <c r="CC108" s="761"/>
      <c r="CD108" s="761"/>
    </row>
    <row r="109" spans="50:82" s="1" customFormat="1">
      <c r="AX109" s="761"/>
      <c r="AY109" s="761"/>
      <c r="AZ109" s="761"/>
      <c r="BA109" s="761"/>
      <c r="BB109" s="761"/>
      <c r="BC109" s="761"/>
      <c r="BD109" s="761"/>
      <c r="BE109" s="761"/>
      <c r="BF109" s="761"/>
      <c r="BG109" s="761"/>
      <c r="BH109" s="761"/>
      <c r="BI109" s="761"/>
      <c r="BJ109" s="761"/>
      <c r="BK109" s="761"/>
      <c r="BL109" s="761"/>
      <c r="BM109" s="761"/>
      <c r="BN109" s="761"/>
      <c r="BO109" s="761"/>
      <c r="BP109" s="761"/>
      <c r="BQ109" s="761"/>
      <c r="BR109" s="761"/>
      <c r="BS109" s="761"/>
      <c r="BT109" s="761"/>
      <c r="BU109" s="761"/>
      <c r="BV109" s="761"/>
      <c r="BW109" s="761"/>
      <c r="BX109" s="761"/>
      <c r="BY109" s="761"/>
      <c r="BZ109" s="761"/>
      <c r="CA109" s="761"/>
      <c r="CB109" s="761"/>
      <c r="CC109" s="761"/>
      <c r="CD109" s="761"/>
    </row>
    <row r="110" spans="50:82" s="1" customFormat="1">
      <c r="AX110" s="761"/>
      <c r="AY110" s="761"/>
      <c r="AZ110" s="761"/>
      <c r="BA110" s="761"/>
      <c r="BB110" s="761"/>
      <c r="BC110" s="761"/>
      <c r="BD110" s="761"/>
      <c r="BE110" s="761"/>
      <c r="BF110" s="761"/>
      <c r="BG110" s="761"/>
      <c r="BH110" s="761"/>
      <c r="BI110" s="761"/>
      <c r="BJ110" s="761"/>
      <c r="BK110" s="761"/>
      <c r="BL110" s="761"/>
      <c r="BM110" s="761"/>
      <c r="BN110" s="761"/>
      <c r="BO110" s="761"/>
      <c r="BP110" s="761"/>
      <c r="BQ110" s="761"/>
      <c r="BR110" s="761"/>
      <c r="BS110" s="761"/>
      <c r="BT110" s="761"/>
      <c r="BU110" s="761"/>
      <c r="BV110" s="761"/>
      <c r="BW110" s="761"/>
      <c r="BX110" s="761"/>
      <c r="BY110" s="761"/>
      <c r="BZ110" s="761"/>
      <c r="CA110" s="761"/>
      <c r="CB110" s="761"/>
      <c r="CC110" s="761"/>
      <c r="CD110" s="761"/>
    </row>
    <row r="111" spans="50:82" s="1" customFormat="1">
      <c r="AX111" s="761"/>
      <c r="AY111" s="761"/>
      <c r="AZ111" s="761"/>
      <c r="BA111" s="761"/>
      <c r="BB111" s="761"/>
      <c r="BC111" s="761"/>
      <c r="BD111" s="761"/>
      <c r="BE111" s="761"/>
      <c r="BF111" s="761"/>
      <c r="BG111" s="761"/>
      <c r="BH111" s="761"/>
      <c r="BI111" s="761"/>
      <c r="BJ111" s="761"/>
      <c r="BK111" s="761"/>
      <c r="BL111" s="761"/>
      <c r="BM111" s="761"/>
      <c r="BN111" s="761"/>
      <c r="BO111" s="761"/>
      <c r="BP111" s="761"/>
      <c r="BQ111" s="761"/>
      <c r="BR111" s="761"/>
      <c r="BS111" s="761"/>
      <c r="BT111" s="761"/>
      <c r="BU111" s="761"/>
      <c r="BV111" s="761"/>
      <c r="BW111" s="761"/>
      <c r="BX111" s="761"/>
      <c r="BY111" s="761"/>
      <c r="BZ111" s="761"/>
      <c r="CA111" s="761"/>
      <c r="CB111" s="761"/>
      <c r="CC111" s="761"/>
      <c r="CD111" s="761"/>
    </row>
    <row r="112" spans="50:82" s="1" customFormat="1">
      <c r="AX112" s="761"/>
      <c r="AY112" s="761"/>
      <c r="AZ112" s="761"/>
      <c r="BA112" s="761"/>
      <c r="BB112" s="761"/>
      <c r="BC112" s="761"/>
      <c r="BD112" s="761"/>
      <c r="BE112" s="761"/>
      <c r="BF112" s="761"/>
      <c r="BG112" s="761"/>
      <c r="BH112" s="761"/>
      <c r="BI112" s="761"/>
      <c r="BJ112" s="761"/>
      <c r="BK112" s="761"/>
      <c r="BL112" s="761"/>
      <c r="BM112" s="761"/>
      <c r="BN112" s="761"/>
      <c r="BO112" s="761"/>
      <c r="BP112" s="761"/>
      <c r="BQ112" s="761"/>
      <c r="BR112" s="761"/>
      <c r="BS112" s="761"/>
      <c r="BT112" s="761"/>
      <c r="BU112" s="761"/>
      <c r="BV112" s="761"/>
      <c r="BW112" s="761"/>
      <c r="BX112" s="761"/>
      <c r="BY112" s="761"/>
      <c r="BZ112" s="761"/>
      <c r="CA112" s="761"/>
      <c r="CB112" s="761"/>
      <c r="CC112" s="761"/>
      <c r="CD112" s="761"/>
    </row>
    <row r="113" spans="50:82" s="1" customFormat="1">
      <c r="AX113" s="761"/>
      <c r="AY113" s="761"/>
      <c r="AZ113" s="761"/>
      <c r="BA113" s="761"/>
      <c r="BB113" s="761"/>
      <c r="BC113" s="761"/>
      <c r="BD113" s="761"/>
      <c r="BE113" s="761"/>
      <c r="BF113" s="761"/>
      <c r="BG113" s="761"/>
      <c r="BH113" s="761"/>
      <c r="BI113" s="761"/>
      <c r="BJ113" s="761"/>
      <c r="BK113" s="761"/>
      <c r="BL113" s="761"/>
      <c r="BM113" s="761"/>
      <c r="BN113" s="761"/>
      <c r="BO113" s="761"/>
      <c r="BP113" s="761"/>
      <c r="BQ113" s="761"/>
      <c r="BR113" s="761"/>
      <c r="BS113" s="761"/>
      <c r="BT113" s="761"/>
      <c r="BU113" s="761"/>
      <c r="BV113" s="761"/>
      <c r="BW113" s="761"/>
      <c r="BX113" s="761"/>
      <c r="BY113" s="761"/>
      <c r="BZ113" s="761"/>
      <c r="CA113" s="761"/>
      <c r="CB113" s="761"/>
      <c r="CC113" s="761"/>
      <c r="CD113" s="761"/>
    </row>
    <row r="114" spans="50:82" s="1" customFormat="1">
      <c r="AX114" s="761"/>
      <c r="AY114" s="761"/>
      <c r="AZ114" s="761"/>
      <c r="BA114" s="761"/>
      <c r="BB114" s="761"/>
      <c r="BC114" s="761"/>
      <c r="BD114" s="761"/>
      <c r="BE114" s="761"/>
      <c r="BF114" s="761"/>
      <c r="BG114" s="761"/>
      <c r="BH114" s="761"/>
      <c r="BI114" s="761"/>
      <c r="BJ114" s="761"/>
      <c r="BK114" s="761"/>
      <c r="BL114" s="761"/>
      <c r="BM114" s="761"/>
      <c r="BN114" s="761"/>
      <c r="BO114" s="761"/>
      <c r="BP114" s="761"/>
      <c r="BQ114" s="761"/>
      <c r="BR114" s="761"/>
      <c r="BS114" s="761"/>
      <c r="BT114" s="761"/>
      <c r="BU114" s="761"/>
      <c r="BV114" s="761"/>
      <c r="BW114" s="761"/>
      <c r="BX114" s="761"/>
      <c r="BY114" s="761"/>
      <c r="BZ114" s="761"/>
      <c r="CA114" s="761"/>
      <c r="CB114" s="761"/>
      <c r="CC114" s="761"/>
      <c r="CD114" s="761"/>
    </row>
    <row r="115" spans="50:82" s="1" customFormat="1">
      <c r="AX115" s="761"/>
      <c r="AY115" s="761"/>
      <c r="AZ115" s="761"/>
      <c r="BA115" s="761"/>
      <c r="BB115" s="761"/>
      <c r="BC115" s="761"/>
      <c r="BD115" s="761"/>
      <c r="BE115" s="761"/>
      <c r="BF115" s="761"/>
      <c r="BG115" s="761"/>
      <c r="BH115" s="761"/>
      <c r="BI115" s="761"/>
      <c r="BJ115" s="761"/>
      <c r="BK115" s="761"/>
      <c r="BL115" s="761"/>
      <c r="BM115" s="761"/>
      <c r="BN115" s="761"/>
      <c r="BO115" s="761"/>
      <c r="BP115" s="761"/>
      <c r="BQ115" s="761"/>
      <c r="BR115" s="761"/>
      <c r="BS115" s="761"/>
      <c r="BT115" s="761"/>
      <c r="BU115" s="761"/>
      <c r="BV115" s="761"/>
      <c r="BW115" s="761"/>
      <c r="BX115" s="761"/>
      <c r="BY115" s="761"/>
      <c r="BZ115" s="761"/>
      <c r="CA115" s="761"/>
      <c r="CB115" s="761"/>
      <c r="CC115" s="761"/>
      <c r="CD115" s="761"/>
    </row>
    <row r="116" spans="50:82" s="1" customFormat="1">
      <c r="AX116" s="761"/>
      <c r="AY116" s="761"/>
      <c r="AZ116" s="761"/>
      <c r="BA116" s="761"/>
      <c r="BB116" s="761"/>
      <c r="BC116" s="761"/>
      <c r="BD116" s="761"/>
      <c r="BE116" s="761"/>
      <c r="BF116" s="761"/>
      <c r="BG116" s="761"/>
      <c r="BH116" s="761"/>
      <c r="BI116" s="761"/>
      <c r="BJ116" s="761"/>
      <c r="BK116" s="761"/>
      <c r="BL116" s="761"/>
      <c r="BM116" s="761"/>
      <c r="BN116" s="761"/>
      <c r="BO116" s="761"/>
      <c r="BP116" s="761"/>
      <c r="BQ116" s="761"/>
      <c r="BR116" s="761"/>
      <c r="BS116" s="761"/>
      <c r="BT116" s="761"/>
      <c r="BU116" s="761"/>
      <c r="BV116" s="761"/>
      <c r="BW116" s="761"/>
      <c r="BX116" s="761"/>
      <c r="BY116" s="761"/>
      <c r="BZ116" s="761"/>
      <c r="CA116" s="761"/>
      <c r="CB116" s="761"/>
      <c r="CC116" s="761"/>
      <c r="CD116" s="761"/>
    </row>
    <row r="117" spans="50:82" s="1" customFormat="1">
      <c r="AX117" s="761"/>
      <c r="AY117" s="761"/>
      <c r="AZ117" s="761"/>
      <c r="BA117" s="761"/>
      <c r="BB117" s="761"/>
      <c r="BC117" s="761"/>
      <c r="BD117" s="761"/>
      <c r="BE117" s="761"/>
      <c r="BF117" s="761"/>
      <c r="BG117" s="761"/>
      <c r="BH117" s="761"/>
      <c r="BI117" s="761"/>
      <c r="BJ117" s="761"/>
      <c r="BK117" s="761"/>
      <c r="BL117" s="761"/>
      <c r="BM117" s="761"/>
      <c r="BN117" s="761"/>
      <c r="BO117" s="761"/>
      <c r="BP117" s="761"/>
      <c r="BQ117" s="761"/>
      <c r="BR117" s="761"/>
      <c r="BS117" s="761"/>
      <c r="BT117" s="761"/>
      <c r="BU117" s="761"/>
      <c r="BV117" s="761"/>
      <c r="BW117" s="761"/>
      <c r="BX117" s="761"/>
      <c r="BY117" s="761"/>
      <c r="BZ117" s="761"/>
      <c r="CA117" s="761"/>
      <c r="CB117" s="761"/>
      <c r="CC117" s="761"/>
      <c r="CD117" s="761"/>
    </row>
    <row r="118" spans="50:82" s="1" customFormat="1">
      <c r="AX118" s="761"/>
      <c r="AY118" s="761"/>
      <c r="AZ118" s="761"/>
      <c r="BA118" s="761"/>
      <c r="BB118" s="761"/>
      <c r="BC118" s="761"/>
      <c r="BD118" s="761"/>
      <c r="BE118" s="761"/>
      <c r="BF118" s="761"/>
      <c r="BG118" s="761"/>
      <c r="BH118" s="761"/>
      <c r="BI118" s="761"/>
      <c r="BJ118" s="761"/>
      <c r="BK118" s="761"/>
      <c r="BL118" s="761"/>
      <c r="BM118" s="761"/>
      <c r="BN118" s="761"/>
      <c r="BO118" s="761"/>
      <c r="BP118" s="761"/>
      <c r="BQ118" s="761"/>
      <c r="BR118" s="761"/>
      <c r="BS118" s="761"/>
      <c r="BT118" s="761"/>
      <c r="BU118" s="761"/>
      <c r="BV118" s="761"/>
      <c r="BW118" s="761"/>
      <c r="BX118" s="761"/>
      <c r="BY118" s="761"/>
      <c r="BZ118" s="761"/>
      <c r="CA118" s="761"/>
      <c r="CB118" s="761"/>
      <c r="CC118" s="761"/>
      <c r="CD118" s="761"/>
    </row>
    <row r="119" spans="50:82" s="1" customFormat="1">
      <c r="AX119" s="761"/>
      <c r="AY119" s="761"/>
      <c r="AZ119" s="761"/>
      <c r="BA119" s="761"/>
      <c r="BB119" s="761"/>
      <c r="BC119" s="761"/>
      <c r="BD119" s="761"/>
      <c r="BE119" s="761"/>
      <c r="BF119" s="761"/>
      <c r="BG119" s="761"/>
      <c r="BH119" s="761"/>
      <c r="BI119" s="761"/>
      <c r="BJ119" s="761"/>
      <c r="BK119" s="761"/>
      <c r="BL119" s="761"/>
      <c r="BM119" s="761"/>
      <c r="BN119" s="761"/>
      <c r="BO119" s="761"/>
      <c r="BP119" s="761"/>
      <c r="BQ119" s="761"/>
      <c r="BR119" s="761"/>
      <c r="BS119" s="761"/>
      <c r="BT119" s="761"/>
      <c r="BU119" s="761"/>
      <c r="BV119" s="761"/>
      <c r="BW119" s="761"/>
      <c r="BX119" s="761"/>
      <c r="BY119" s="761"/>
      <c r="BZ119" s="761"/>
      <c r="CA119" s="761"/>
      <c r="CB119" s="761"/>
      <c r="CC119" s="761"/>
      <c r="CD119" s="761"/>
    </row>
    <row r="120" spans="50:82" s="1" customFormat="1">
      <c r="AX120" s="761"/>
      <c r="AY120" s="761"/>
      <c r="AZ120" s="761"/>
      <c r="BA120" s="761"/>
      <c r="BB120" s="761"/>
      <c r="BC120" s="761"/>
      <c r="BD120" s="761"/>
      <c r="BE120" s="761"/>
      <c r="BF120" s="761"/>
      <c r="BG120" s="761"/>
      <c r="BH120" s="761"/>
      <c r="BI120" s="761"/>
      <c r="BJ120" s="761"/>
      <c r="BK120" s="761"/>
      <c r="BL120" s="761"/>
      <c r="BM120" s="761"/>
      <c r="BN120" s="761"/>
      <c r="BO120" s="761"/>
      <c r="BP120" s="761"/>
      <c r="BQ120" s="761"/>
      <c r="BR120" s="761"/>
      <c r="BS120" s="761"/>
      <c r="BT120" s="761"/>
      <c r="BU120" s="761"/>
      <c r="BV120" s="761"/>
      <c r="BW120" s="761"/>
      <c r="BX120" s="761"/>
      <c r="BY120" s="761"/>
      <c r="BZ120" s="761"/>
      <c r="CA120" s="761"/>
      <c r="CB120" s="761"/>
      <c r="CC120" s="761"/>
      <c r="CD120" s="761"/>
    </row>
    <row r="121" spans="50:82" s="1" customFormat="1">
      <c r="AX121" s="761"/>
      <c r="AY121" s="761"/>
      <c r="AZ121" s="761"/>
      <c r="BA121" s="761"/>
      <c r="BB121" s="761"/>
      <c r="BC121" s="761"/>
      <c r="BD121" s="761"/>
      <c r="BE121" s="761"/>
      <c r="BF121" s="761"/>
      <c r="BG121" s="761"/>
      <c r="BH121" s="761"/>
      <c r="BI121" s="761"/>
      <c r="BJ121" s="761"/>
      <c r="BK121" s="761"/>
      <c r="BL121" s="761"/>
      <c r="BM121" s="761"/>
      <c r="BN121" s="761"/>
      <c r="BO121" s="761"/>
      <c r="BP121" s="761"/>
      <c r="BQ121" s="761"/>
      <c r="BR121" s="761"/>
      <c r="BS121" s="761"/>
      <c r="BT121" s="761"/>
      <c r="BU121" s="761"/>
      <c r="BV121" s="761"/>
      <c r="BW121" s="761"/>
      <c r="BX121" s="761"/>
      <c r="BY121" s="761"/>
      <c r="BZ121" s="761"/>
      <c r="CA121" s="761"/>
      <c r="CB121" s="761"/>
      <c r="CC121" s="761"/>
      <c r="CD121" s="761"/>
    </row>
    <row r="122" spans="50:82" s="1" customFormat="1">
      <c r="AX122" s="761"/>
      <c r="AY122" s="761"/>
      <c r="AZ122" s="761"/>
      <c r="BA122" s="761"/>
      <c r="BB122" s="761"/>
      <c r="BC122" s="761"/>
      <c r="BD122" s="761"/>
      <c r="BE122" s="761"/>
      <c r="BF122" s="761"/>
      <c r="BG122" s="761"/>
      <c r="BH122" s="761"/>
      <c r="BI122" s="761"/>
      <c r="BJ122" s="761"/>
      <c r="BK122" s="761"/>
      <c r="BL122" s="761"/>
      <c r="BM122" s="761"/>
      <c r="BN122" s="761"/>
      <c r="BO122" s="761"/>
      <c r="BP122" s="761"/>
      <c r="BQ122" s="761"/>
      <c r="BR122" s="761"/>
      <c r="BS122" s="761"/>
      <c r="BT122" s="761"/>
      <c r="BU122" s="761"/>
      <c r="BV122" s="761"/>
      <c r="BW122" s="761"/>
      <c r="BX122" s="761"/>
      <c r="BY122" s="761"/>
      <c r="BZ122" s="761"/>
      <c r="CA122" s="761"/>
      <c r="CB122" s="761"/>
      <c r="CC122" s="761"/>
      <c r="CD122" s="761"/>
    </row>
    <row r="123" spans="50:82" s="1" customFormat="1">
      <c r="AX123" s="761"/>
      <c r="AY123" s="761"/>
      <c r="AZ123" s="761"/>
      <c r="BA123" s="761"/>
      <c r="BB123" s="761"/>
      <c r="BC123" s="761"/>
      <c r="BD123" s="761"/>
      <c r="BE123" s="761"/>
      <c r="BF123" s="761"/>
      <c r="BG123" s="761"/>
      <c r="BH123" s="761"/>
      <c r="BI123" s="761"/>
      <c r="BJ123" s="761"/>
      <c r="BK123" s="761"/>
      <c r="BL123" s="761"/>
      <c r="BM123" s="761"/>
      <c r="BN123" s="761"/>
      <c r="BO123" s="761"/>
      <c r="BP123" s="761"/>
      <c r="BQ123" s="761"/>
      <c r="BR123" s="761"/>
      <c r="BS123" s="761"/>
      <c r="BT123" s="761"/>
      <c r="BU123" s="761"/>
      <c r="BV123" s="761"/>
      <c r="BW123" s="761"/>
      <c r="BX123" s="761"/>
      <c r="BY123" s="761"/>
      <c r="BZ123" s="761"/>
      <c r="CA123" s="761"/>
      <c r="CB123" s="761"/>
      <c r="CC123" s="761"/>
      <c r="CD123" s="761"/>
    </row>
    <row r="124" spans="50:82" s="1" customFormat="1">
      <c r="AX124" s="761"/>
      <c r="AY124" s="761"/>
      <c r="AZ124" s="761"/>
      <c r="BA124" s="761"/>
      <c r="BB124" s="761"/>
      <c r="BC124" s="761"/>
      <c r="BD124" s="761"/>
      <c r="BE124" s="761"/>
      <c r="BF124" s="761"/>
      <c r="BG124" s="761"/>
      <c r="BH124" s="761"/>
      <c r="BI124" s="761"/>
      <c r="BJ124" s="761"/>
      <c r="BK124" s="761"/>
      <c r="BL124" s="761"/>
      <c r="BM124" s="761"/>
      <c r="BN124" s="761"/>
      <c r="BO124" s="761"/>
      <c r="BP124" s="761"/>
      <c r="BQ124" s="761"/>
      <c r="BR124" s="761"/>
      <c r="BS124" s="761"/>
      <c r="BT124" s="761"/>
      <c r="BU124" s="761"/>
      <c r="BV124" s="761"/>
      <c r="BW124" s="761"/>
      <c r="BX124" s="761"/>
      <c r="BY124" s="761"/>
      <c r="BZ124" s="761"/>
      <c r="CA124" s="761"/>
      <c r="CB124" s="761"/>
      <c r="CC124" s="761"/>
      <c r="CD124" s="761"/>
    </row>
    <row r="125" spans="50:82" s="1" customFormat="1">
      <c r="AX125" s="761"/>
      <c r="AY125" s="761"/>
      <c r="AZ125" s="761"/>
      <c r="BA125" s="761"/>
      <c r="BB125" s="761"/>
      <c r="BC125" s="761"/>
      <c r="BD125" s="761"/>
      <c r="BE125" s="761"/>
      <c r="BF125" s="761"/>
      <c r="BG125" s="761"/>
      <c r="BH125" s="761"/>
      <c r="BI125" s="761"/>
      <c r="BJ125" s="761"/>
      <c r="BK125" s="761"/>
      <c r="BL125" s="761"/>
      <c r="BM125" s="761"/>
      <c r="BN125" s="761"/>
      <c r="BO125" s="761"/>
      <c r="BP125" s="761"/>
      <c r="BQ125" s="761"/>
      <c r="BR125" s="761"/>
      <c r="BS125" s="761"/>
      <c r="BT125" s="761"/>
      <c r="BU125" s="761"/>
      <c r="BV125" s="761"/>
      <c r="BW125" s="761"/>
      <c r="BX125" s="761"/>
      <c r="BY125" s="761"/>
      <c r="BZ125" s="761"/>
      <c r="CA125" s="761"/>
      <c r="CB125" s="761"/>
      <c r="CC125" s="761"/>
      <c r="CD125" s="761"/>
    </row>
    <row r="126" spans="50:82" s="1" customFormat="1">
      <c r="AX126" s="761"/>
      <c r="AY126" s="761"/>
      <c r="AZ126" s="761"/>
      <c r="BA126" s="761"/>
      <c r="BB126" s="761"/>
      <c r="BC126" s="761"/>
      <c r="BD126" s="761"/>
      <c r="BE126" s="761"/>
      <c r="BF126" s="761"/>
      <c r="BG126" s="761"/>
      <c r="BH126" s="761"/>
      <c r="BI126" s="761"/>
      <c r="BJ126" s="761"/>
      <c r="BK126" s="761"/>
      <c r="BL126" s="761"/>
      <c r="BM126" s="761"/>
      <c r="BN126" s="761"/>
      <c r="BO126" s="761"/>
      <c r="BP126" s="761"/>
      <c r="BQ126" s="761"/>
      <c r="BR126" s="761"/>
      <c r="BS126" s="761"/>
      <c r="BT126" s="761"/>
      <c r="BU126" s="761"/>
      <c r="BV126" s="761"/>
      <c r="BW126" s="761"/>
      <c r="BX126" s="761"/>
      <c r="BY126" s="761"/>
      <c r="BZ126" s="761"/>
      <c r="CA126" s="761"/>
      <c r="CB126" s="761"/>
      <c r="CC126" s="761"/>
      <c r="CD126" s="761"/>
    </row>
    <row r="127" spans="50:82" s="1" customFormat="1">
      <c r="AX127" s="761"/>
      <c r="AY127" s="761"/>
      <c r="AZ127" s="761"/>
      <c r="BA127" s="761"/>
      <c r="BB127" s="761"/>
      <c r="BC127" s="761"/>
      <c r="BD127" s="761"/>
      <c r="BE127" s="761"/>
      <c r="BF127" s="761"/>
      <c r="BG127" s="761"/>
      <c r="BH127" s="761"/>
      <c r="BI127" s="761"/>
      <c r="BJ127" s="761"/>
      <c r="BK127" s="761"/>
      <c r="BL127" s="761"/>
      <c r="BM127" s="761"/>
      <c r="BN127" s="761"/>
      <c r="BO127" s="761"/>
      <c r="BP127" s="761"/>
      <c r="BQ127" s="761"/>
      <c r="BR127" s="761"/>
      <c r="BS127" s="761"/>
      <c r="BT127" s="761"/>
      <c r="BU127" s="761"/>
      <c r="BV127" s="761"/>
      <c r="BW127" s="761"/>
      <c r="BX127" s="761"/>
      <c r="BY127" s="761"/>
      <c r="BZ127" s="761"/>
      <c r="CA127" s="761"/>
      <c r="CB127" s="761"/>
      <c r="CC127" s="761"/>
      <c r="CD127" s="761"/>
    </row>
    <row r="128" spans="50:82" s="1" customFormat="1">
      <c r="AX128" s="761"/>
      <c r="AY128" s="761"/>
      <c r="AZ128" s="761"/>
      <c r="BA128" s="761"/>
      <c r="BB128" s="761"/>
      <c r="BC128" s="761"/>
      <c r="BD128" s="761"/>
      <c r="BE128" s="761"/>
      <c r="BF128" s="761"/>
      <c r="BG128" s="761"/>
      <c r="BH128" s="761"/>
      <c r="BI128" s="761"/>
      <c r="BJ128" s="761"/>
      <c r="BK128" s="761"/>
      <c r="BL128" s="761"/>
      <c r="BM128" s="761"/>
      <c r="BN128" s="761"/>
      <c r="BO128" s="761"/>
      <c r="BP128" s="761"/>
      <c r="BQ128" s="761"/>
      <c r="BR128" s="761"/>
      <c r="BS128" s="761"/>
      <c r="BT128" s="761"/>
      <c r="BU128" s="761"/>
      <c r="BV128" s="761"/>
      <c r="BW128" s="761"/>
      <c r="BX128" s="761"/>
      <c r="BY128" s="761"/>
      <c r="BZ128" s="761"/>
      <c r="CA128" s="761"/>
      <c r="CB128" s="761"/>
      <c r="CC128" s="761"/>
      <c r="CD128" s="761"/>
    </row>
    <row r="129" spans="50:82" s="1" customFormat="1">
      <c r="AX129" s="761"/>
      <c r="AY129" s="761"/>
      <c r="AZ129" s="761"/>
      <c r="BA129" s="761"/>
      <c r="BB129" s="761"/>
      <c r="BC129" s="761"/>
      <c r="BD129" s="761"/>
      <c r="BE129" s="761"/>
      <c r="BF129" s="761"/>
      <c r="BG129" s="761"/>
      <c r="BH129" s="761"/>
      <c r="BI129" s="761"/>
      <c r="BJ129" s="761"/>
      <c r="BK129" s="761"/>
      <c r="BL129" s="761"/>
      <c r="BM129" s="761"/>
      <c r="BN129" s="761"/>
      <c r="BO129" s="761"/>
      <c r="BP129" s="761"/>
      <c r="BQ129" s="761"/>
      <c r="BR129" s="761"/>
      <c r="BS129" s="761"/>
      <c r="BT129" s="761"/>
      <c r="BU129" s="761"/>
      <c r="BV129" s="761"/>
      <c r="BW129" s="761"/>
      <c r="BX129" s="761"/>
      <c r="BY129" s="761"/>
      <c r="BZ129" s="761"/>
      <c r="CA129" s="761"/>
      <c r="CB129" s="761"/>
      <c r="CC129" s="761"/>
      <c r="CD129" s="761"/>
    </row>
    <row r="130" spans="50:82" s="1" customFormat="1">
      <c r="AX130" s="761"/>
      <c r="AY130" s="761"/>
      <c r="AZ130" s="761"/>
      <c r="BA130" s="761"/>
      <c r="BB130" s="761"/>
      <c r="BC130" s="761"/>
      <c r="BD130" s="761"/>
      <c r="BE130" s="761"/>
      <c r="BF130" s="761"/>
      <c r="BG130" s="761"/>
      <c r="BH130" s="761"/>
      <c r="BI130" s="761"/>
      <c r="BJ130" s="761"/>
      <c r="BK130" s="761"/>
      <c r="BL130" s="761"/>
      <c r="BM130" s="761"/>
      <c r="BN130" s="761"/>
      <c r="BO130" s="761"/>
      <c r="BP130" s="761"/>
      <c r="BQ130" s="761"/>
      <c r="BR130" s="761"/>
      <c r="BS130" s="761"/>
      <c r="BT130" s="761"/>
      <c r="BU130" s="761"/>
      <c r="BV130" s="761"/>
      <c r="BW130" s="761"/>
      <c r="BX130" s="761"/>
      <c r="BY130" s="761"/>
      <c r="BZ130" s="761"/>
      <c r="CA130" s="761"/>
      <c r="CB130" s="761"/>
      <c r="CC130" s="761"/>
      <c r="CD130" s="761"/>
    </row>
    <row r="131" spans="50:82" s="1" customFormat="1">
      <c r="AX131" s="761"/>
      <c r="AY131" s="761"/>
      <c r="AZ131" s="761"/>
      <c r="BA131" s="761"/>
      <c r="BB131" s="761"/>
      <c r="BC131" s="761"/>
      <c r="BD131" s="761"/>
      <c r="BE131" s="761"/>
      <c r="BF131" s="761"/>
      <c r="BG131" s="761"/>
      <c r="BH131" s="761"/>
      <c r="BI131" s="761"/>
      <c r="BJ131" s="761"/>
      <c r="BK131" s="761"/>
      <c r="BL131" s="761"/>
      <c r="BM131" s="761"/>
      <c r="BN131" s="761"/>
      <c r="BO131" s="761"/>
      <c r="BP131" s="761"/>
      <c r="BQ131" s="761"/>
      <c r="BR131" s="761"/>
      <c r="BS131" s="761"/>
      <c r="BT131" s="761"/>
      <c r="BU131" s="761"/>
      <c r="BV131" s="761"/>
      <c r="BW131" s="761"/>
      <c r="BX131" s="761"/>
      <c r="BY131" s="761"/>
      <c r="BZ131" s="761"/>
      <c r="CA131" s="761"/>
      <c r="CB131" s="761"/>
      <c r="CC131" s="761"/>
      <c r="CD131" s="761"/>
    </row>
    <row r="132" spans="50:82" s="1" customFormat="1">
      <c r="AX132" s="761"/>
      <c r="AY132" s="761"/>
      <c r="AZ132" s="761"/>
      <c r="BA132" s="761"/>
      <c r="BB132" s="761"/>
      <c r="BC132" s="761"/>
      <c r="BD132" s="761"/>
      <c r="BE132" s="761"/>
      <c r="BF132" s="761"/>
      <c r="BG132" s="761"/>
      <c r="BH132" s="761"/>
      <c r="BI132" s="761"/>
      <c r="BJ132" s="761"/>
      <c r="BK132" s="761"/>
      <c r="BL132" s="761"/>
      <c r="BM132" s="761"/>
      <c r="BN132" s="761"/>
      <c r="BO132" s="761"/>
      <c r="BP132" s="761"/>
      <c r="BQ132" s="761"/>
      <c r="BR132" s="761"/>
      <c r="BS132" s="761"/>
      <c r="BT132" s="761"/>
      <c r="BU132" s="761"/>
      <c r="BV132" s="761"/>
      <c r="BW132" s="761"/>
      <c r="BX132" s="761"/>
      <c r="BY132" s="761"/>
      <c r="BZ132" s="761"/>
      <c r="CA132" s="761"/>
      <c r="CB132" s="761"/>
      <c r="CC132" s="761"/>
      <c r="CD132" s="761"/>
    </row>
    <row r="133" spans="50:82" s="1" customFormat="1">
      <c r="AX133" s="761"/>
      <c r="AY133" s="761"/>
      <c r="AZ133" s="761"/>
      <c r="BA133" s="761"/>
      <c r="BB133" s="761"/>
      <c r="BC133" s="761"/>
      <c r="BD133" s="761"/>
      <c r="BE133" s="761"/>
      <c r="BF133" s="761"/>
      <c r="BG133" s="761"/>
      <c r="BH133" s="761"/>
      <c r="BI133" s="761"/>
      <c r="BJ133" s="761"/>
      <c r="BK133" s="761"/>
      <c r="BL133" s="761"/>
      <c r="BM133" s="761"/>
      <c r="BN133" s="761"/>
      <c r="BO133" s="761"/>
      <c r="BP133" s="761"/>
      <c r="BQ133" s="761"/>
      <c r="BR133" s="761"/>
      <c r="BS133" s="761"/>
      <c r="BT133" s="761"/>
      <c r="BU133" s="761"/>
      <c r="BV133" s="761"/>
      <c r="BW133" s="761"/>
      <c r="BX133" s="761"/>
      <c r="BY133" s="761"/>
      <c r="BZ133" s="761"/>
      <c r="CA133" s="761"/>
      <c r="CB133" s="761"/>
      <c r="CC133" s="761"/>
      <c r="CD133" s="761"/>
    </row>
    <row r="134" spans="50:82" s="1" customFormat="1">
      <c r="AX134" s="761"/>
      <c r="AY134" s="761"/>
      <c r="AZ134" s="761"/>
      <c r="BA134" s="761"/>
      <c r="BB134" s="761"/>
      <c r="BC134" s="761"/>
      <c r="BD134" s="761"/>
      <c r="BE134" s="761"/>
      <c r="BF134" s="761"/>
      <c r="BG134" s="761"/>
      <c r="BH134" s="761"/>
      <c r="BI134" s="761"/>
      <c r="BJ134" s="761"/>
      <c r="BK134" s="761"/>
      <c r="BL134" s="761"/>
      <c r="BM134" s="761"/>
      <c r="BN134" s="761"/>
      <c r="BO134" s="761"/>
      <c r="BP134" s="761"/>
      <c r="BQ134" s="761"/>
      <c r="BR134" s="761"/>
      <c r="BS134" s="761"/>
      <c r="BT134" s="761"/>
      <c r="BU134" s="761"/>
      <c r="BV134" s="761"/>
      <c r="BW134" s="761"/>
      <c r="BX134" s="761"/>
      <c r="BY134" s="761"/>
      <c r="BZ134" s="761"/>
      <c r="CA134" s="761"/>
      <c r="CB134" s="761"/>
      <c r="CC134" s="761"/>
      <c r="CD134" s="761"/>
    </row>
    <row r="135" spans="50:82" s="1" customFormat="1">
      <c r="AX135" s="761"/>
      <c r="AY135" s="761"/>
      <c r="AZ135" s="761"/>
      <c r="BA135" s="761"/>
      <c r="BB135" s="761"/>
      <c r="BC135" s="761"/>
      <c r="BD135" s="761"/>
      <c r="BE135" s="761"/>
      <c r="BF135" s="761"/>
      <c r="BG135" s="761"/>
      <c r="BH135" s="761"/>
      <c r="BI135" s="761"/>
      <c r="BJ135" s="761"/>
      <c r="BK135" s="761"/>
      <c r="BL135" s="761"/>
      <c r="BM135" s="761"/>
      <c r="BN135" s="761"/>
      <c r="BO135" s="761"/>
      <c r="BP135" s="761"/>
      <c r="BQ135" s="761"/>
      <c r="BR135" s="761"/>
      <c r="BS135" s="761"/>
      <c r="BT135" s="761"/>
      <c r="BU135" s="761"/>
      <c r="BV135" s="761"/>
      <c r="BW135" s="761"/>
      <c r="BX135" s="761"/>
      <c r="BY135" s="761"/>
      <c r="BZ135" s="761"/>
      <c r="CA135" s="761"/>
      <c r="CB135" s="761"/>
      <c r="CC135" s="761"/>
      <c r="CD135" s="761"/>
    </row>
    <row r="136" spans="50:82" s="1" customFormat="1">
      <c r="AX136" s="761"/>
      <c r="AY136" s="761"/>
      <c r="AZ136" s="761"/>
      <c r="BA136" s="761"/>
      <c r="BB136" s="761"/>
      <c r="BC136" s="761"/>
      <c r="BD136" s="761"/>
      <c r="BE136" s="761"/>
      <c r="BF136" s="761"/>
      <c r="BG136" s="761"/>
      <c r="BH136" s="761"/>
      <c r="BI136" s="761"/>
      <c r="BJ136" s="761"/>
      <c r="BK136" s="761"/>
      <c r="BL136" s="761"/>
      <c r="BM136" s="761"/>
      <c r="BN136" s="761"/>
      <c r="BO136" s="761"/>
      <c r="BP136" s="761"/>
      <c r="BQ136" s="761"/>
      <c r="BR136" s="761"/>
      <c r="BS136" s="761"/>
      <c r="BT136" s="761"/>
      <c r="BU136" s="761"/>
      <c r="BV136" s="761"/>
      <c r="BW136" s="761"/>
      <c r="BX136" s="761"/>
      <c r="BY136" s="761"/>
      <c r="BZ136" s="761"/>
      <c r="CA136" s="761"/>
      <c r="CB136" s="761"/>
      <c r="CC136" s="761"/>
      <c r="CD136" s="761"/>
    </row>
    <row r="137" spans="50:82" s="1" customFormat="1">
      <c r="AX137" s="761"/>
      <c r="AY137" s="761"/>
      <c r="AZ137" s="761"/>
      <c r="BA137" s="761"/>
      <c r="BB137" s="761"/>
      <c r="BC137" s="761"/>
      <c r="BD137" s="761"/>
      <c r="BE137" s="761"/>
      <c r="BF137" s="761"/>
      <c r="BG137" s="761"/>
      <c r="BH137" s="761"/>
      <c r="BI137" s="761"/>
      <c r="BJ137" s="761"/>
      <c r="BK137" s="761"/>
      <c r="BL137" s="761"/>
      <c r="BM137" s="761"/>
      <c r="BN137" s="761"/>
      <c r="BO137" s="761"/>
      <c r="BP137" s="761"/>
      <c r="BQ137" s="761"/>
      <c r="BR137" s="761"/>
      <c r="BS137" s="761"/>
      <c r="BT137" s="761"/>
      <c r="BU137" s="761"/>
      <c r="BV137" s="761"/>
      <c r="BW137" s="761"/>
      <c r="BX137" s="761"/>
      <c r="BY137" s="761"/>
      <c r="BZ137" s="761"/>
      <c r="CA137" s="761"/>
      <c r="CB137" s="761"/>
      <c r="CC137" s="761"/>
      <c r="CD137" s="761"/>
    </row>
    <row r="138" spans="50:82" s="1" customFormat="1">
      <c r="AX138" s="761"/>
      <c r="AY138" s="761"/>
      <c r="AZ138" s="761"/>
      <c r="BA138" s="761"/>
      <c r="BB138" s="761"/>
      <c r="BC138" s="761"/>
      <c r="BD138" s="761"/>
      <c r="BE138" s="761"/>
      <c r="BF138" s="761"/>
      <c r="BG138" s="761"/>
      <c r="BH138" s="761"/>
      <c r="BI138" s="761"/>
      <c r="BJ138" s="761"/>
      <c r="BK138" s="761"/>
      <c r="BL138" s="761"/>
      <c r="BM138" s="761"/>
      <c r="BN138" s="761"/>
      <c r="BO138" s="761"/>
      <c r="BP138" s="761"/>
      <c r="BQ138" s="761"/>
      <c r="BR138" s="761"/>
      <c r="BS138" s="761"/>
      <c r="BT138" s="761"/>
      <c r="BU138" s="761"/>
      <c r="BV138" s="761"/>
      <c r="BW138" s="761"/>
      <c r="BX138" s="761"/>
      <c r="BY138" s="761"/>
      <c r="BZ138" s="761"/>
      <c r="CA138" s="761"/>
      <c r="CB138" s="761"/>
      <c r="CC138" s="761"/>
      <c r="CD138" s="761"/>
    </row>
    <row r="139" spans="50:82" s="1" customFormat="1">
      <c r="AX139" s="761"/>
      <c r="AY139" s="761"/>
      <c r="AZ139" s="761"/>
      <c r="BA139" s="761"/>
      <c r="BB139" s="761"/>
      <c r="BC139" s="761"/>
      <c r="BD139" s="761"/>
      <c r="BE139" s="761"/>
      <c r="BF139" s="761"/>
      <c r="BG139" s="761"/>
      <c r="BH139" s="761"/>
      <c r="BI139" s="761"/>
      <c r="BJ139" s="761"/>
      <c r="BK139" s="761"/>
      <c r="BL139" s="761"/>
      <c r="BM139" s="761"/>
      <c r="BN139" s="761"/>
      <c r="BO139" s="761"/>
      <c r="BP139" s="761"/>
      <c r="BQ139" s="761"/>
      <c r="BR139" s="761"/>
      <c r="BS139" s="761"/>
      <c r="BT139" s="761"/>
      <c r="BU139" s="761"/>
      <c r="BV139" s="761"/>
      <c r="BW139" s="761"/>
      <c r="BX139" s="761"/>
      <c r="BY139" s="761"/>
      <c r="BZ139" s="761"/>
      <c r="CA139" s="761"/>
      <c r="CB139" s="761"/>
      <c r="CC139" s="761"/>
      <c r="CD139" s="761"/>
    </row>
    <row r="140" spans="50:82" s="1" customFormat="1">
      <c r="AX140" s="761"/>
      <c r="AY140" s="761"/>
      <c r="AZ140" s="761"/>
      <c r="BA140" s="761"/>
      <c r="BB140" s="761"/>
      <c r="BC140" s="761"/>
      <c r="BD140" s="761"/>
      <c r="BE140" s="761"/>
      <c r="BF140" s="761"/>
      <c r="BG140" s="761"/>
      <c r="BH140" s="761"/>
      <c r="BI140" s="761"/>
      <c r="BJ140" s="761"/>
      <c r="BK140" s="761"/>
      <c r="BL140" s="761"/>
      <c r="BM140" s="761"/>
      <c r="BN140" s="761"/>
      <c r="BO140" s="761"/>
      <c r="BP140" s="761"/>
      <c r="BQ140" s="761"/>
      <c r="BR140" s="761"/>
      <c r="BS140" s="761"/>
      <c r="BT140" s="761"/>
      <c r="BU140" s="761"/>
      <c r="BV140" s="761"/>
      <c r="BW140" s="761"/>
      <c r="BX140" s="761"/>
      <c r="BY140" s="761"/>
      <c r="BZ140" s="761"/>
      <c r="CA140" s="761"/>
      <c r="CB140" s="761"/>
      <c r="CC140" s="761"/>
      <c r="CD140" s="761"/>
    </row>
    <row r="141" spans="50:82" s="1" customFormat="1">
      <c r="AX141" s="761"/>
      <c r="AY141" s="761"/>
      <c r="AZ141" s="761"/>
      <c r="BA141" s="761"/>
      <c r="BB141" s="761"/>
      <c r="BC141" s="761"/>
      <c r="BD141" s="761"/>
      <c r="BE141" s="761"/>
      <c r="BF141" s="761"/>
      <c r="BG141" s="761"/>
      <c r="BH141" s="761"/>
      <c r="BI141" s="761"/>
      <c r="BJ141" s="761"/>
      <c r="BK141" s="761"/>
      <c r="BL141" s="761"/>
      <c r="BM141" s="761"/>
      <c r="BN141" s="761"/>
      <c r="BO141" s="761"/>
      <c r="BP141" s="761"/>
      <c r="BQ141" s="761"/>
      <c r="BR141" s="761"/>
      <c r="BS141" s="761"/>
      <c r="BT141" s="761"/>
      <c r="BU141" s="761"/>
      <c r="BV141" s="761"/>
      <c r="BW141" s="761"/>
      <c r="BX141" s="761"/>
      <c r="BY141" s="761"/>
      <c r="BZ141" s="761"/>
      <c r="CA141" s="761"/>
      <c r="CB141" s="761"/>
      <c r="CC141" s="761"/>
      <c r="CD141" s="761"/>
    </row>
    <row r="142" spans="50:82" s="1" customFormat="1">
      <c r="AX142" s="761"/>
      <c r="AY142" s="761"/>
      <c r="AZ142" s="761"/>
      <c r="BA142" s="761"/>
      <c r="BB142" s="761"/>
      <c r="BC142" s="761"/>
      <c r="BD142" s="761"/>
      <c r="BE142" s="761"/>
      <c r="BF142" s="761"/>
      <c r="BG142" s="761"/>
      <c r="BH142" s="761"/>
      <c r="BI142" s="761"/>
      <c r="BJ142" s="761"/>
      <c r="BK142" s="761"/>
      <c r="BL142" s="761"/>
      <c r="BM142" s="761"/>
      <c r="BN142" s="761"/>
      <c r="BO142" s="761"/>
      <c r="BP142" s="761"/>
      <c r="BQ142" s="761"/>
      <c r="BR142" s="761"/>
      <c r="BS142" s="761"/>
      <c r="BT142" s="761"/>
      <c r="BU142" s="761"/>
      <c r="BV142" s="761"/>
      <c r="BW142" s="761"/>
      <c r="BX142" s="761"/>
      <c r="BY142" s="761"/>
      <c r="BZ142" s="761"/>
      <c r="CA142" s="761"/>
      <c r="CB142" s="761"/>
      <c r="CC142" s="761"/>
      <c r="CD142" s="761"/>
    </row>
    <row r="143" spans="50:82" s="1" customFormat="1">
      <c r="AX143" s="761"/>
      <c r="AY143" s="761"/>
      <c r="AZ143" s="761"/>
      <c r="BA143" s="761"/>
      <c r="BB143" s="761"/>
      <c r="BC143" s="761"/>
      <c r="BD143" s="761"/>
      <c r="BE143" s="761"/>
      <c r="BF143" s="761"/>
      <c r="BG143" s="761"/>
      <c r="BH143" s="761"/>
      <c r="BI143" s="761"/>
      <c r="BJ143" s="761"/>
      <c r="BK143" s="761"/>
      <c r="BL143" s="761"/>
      <c r="BM143" s="761"/>
      <c r="BN143" s="761"/>
      <c r="BO143" s="761"/>
      <c r="BP143" s="761"/>
      <c r="BQ143" s="761"/>
      <c r="BR143" s="761"/>
      <c r="BS143" s="761"/>
      <c r="BT143" s="761"/>
      <c r="BU143" s="761"/>
      <c r="BV143" s="761"/>
      <c r="BW143" s="761"/>
      <c r="BX143" s="761"/>
      <c r="BY143" s="761"/>
      <c r="BZ143" s="761"/>
      <c r="CA143" s="761"/>
      <c r="CB143" s="761"/>
      <c r="CC143" s="761"/>
      <c r="CD143" s="761"/>
    </row>
    <row r="144" spans="50:82" s="1" customFormat="1">
      <c r="AX144" s="761"/>
      <c r="AY144" s="761"/>
      <c r="AZ144" s="761"/>
      <c r="BA144" s="761"/>
      <c r="BB144" s="761"/>
      <c r="BC144" s="761"/>
      <c r="BD144" s="761"/>
      <c r="BE144" s="761"/>
      <c r="BF144" s="761"/>
      <c r="BG144" s="761"/>
      <c r="BH144" s="761"/>
      <c r="BI144" s="761"/>
      <c r="BJ144" s="761"/>
      <c r="BK144" s="761"/>
      <c r="BL144" s="761"/>
      <c r="BM144" s="761"/>
      <c r="BN144" s="761"/>
      <c r="BO144" s="761"/>
      <c r="BP144" s="761"/>
      <c r="BQ144" s="761"/>
      <c r="BR144" s="761"/>
      <c r="BS144" s="761"/>
      <c r="BT144" s="761"/>
      <c r="BU144" s="761"/>
      <c r="BV144" s="761"/>
      <c r="BW144" s="761"/>
      <c r="BX144" s="761"/>
      <c r="BY144" s="761"/>
      <c r="BZ144" s="761"/>
      <c r="CA144" s="761"/>
      <c r="CB144" s="761"/>
      <c r="CC144" s="761"/>
      <c r="CD144" s="761"/>
    </row>
    <row r="145" spans="50:82" s="1" customFormat="1">
      <c r="AX145" s="761"/>
      <c r="AY145" s="761"/>
      <c r="AZ145" s="761"/>
      <c r="BA145" s="761"/>
      <c r="BB145" s="761"/>
      <c r="BC145" s="761"/>
      <c r="BD145" s="761"/>
      <c r="BE145" s="761"/>
      <c r="BF145" s="761"/>
      <c r="BG145" s="761"/>
      <c r="BH145" s="761"/>
      <c r="BI145" s="761"/>
      <c r="BJ145" s="761"/>
      <c r="BK145" s="761"/>
      <c r="BL145" s="761"/>
      <c r="BM145" s="761"/>
      <c r="BN145" s="761"/>
      <c r="BO145" s="761"/>
      <c r="BP145" s="761"/>
      <c r="BQ145" s="761"/>
      <c r="BR145" s="761"/>
      <c r="BS145" s="761"/>
      <c r="BT145" s="761"/>
      <c r="BU145" s="761"/>
      <c r="BV145" s="761"/>
      <c r="BW145" s="761"/>
      <c r="BX145" s="761"/>
      <c r="BY145" s="761"/>
      <c r="BZ145" s="761"/>
      <c r="CA145" s="761"/>
      <c r="CB145" s="761"/>
      <c r="CC145" s="761"/>
      <c r="CD145" s="761"/>
    </row>
    <row r="146" spans="50:82" s="1" customFormat="1">
      <c r="AX146" s="761"/>
      <c r="AY146" s="761"/>
      <c r="AZ146" s="761"/>
      <c r="BA146" s="761"/>
      <c r="BB146" s="761"/>
      <c r="BC146" s="761"/>
      <c r="BD146" s="761"/>
      <c r="BE146" s="761"/>
      <c r="BF146" s="761"/>
      <c r="BG146" s="761"/>
      <c r="BH146" s="761"/>
      <c r="BI146" s="761"/>
      <c r="BJ146" s="761"/>
      <c r="BK146" s="761"/>
      <c r="BL146" s="761"/>
      <c r="BM146" s="761"/>
      <c r="BN146" s="761"/>
      <c r="BO146" s="761"/>
      <c r="BP146" s="761"/>
      <c r="BQ146" s="761"/>
      <c r="BR146" s="761"/>
      <c r="BS146" s="761"/>
      <c r="BT146" s="761"/>
      <c r="BU146" s="761"/>
      <c r="BV146" s="761"/>
      <c r="BW146" s="761"/>
      <c r="BX146" s="761"/>
      <c r="BY146" s="761"/>
      <c r="BZ146" s="761"/>
      <c r="CA146" s="761"/>
      <c r="CB146" s="761"/>
      <c r="CC146" s="761"/>
      <c r="CD146" s="761"/>
    </row>
    <row r="147" spans="50:82" s="1" customFormat="1">
      <c r="AX147" s="761"/>
      <c r="AY147" s="761"/>
      <c r="AZ147" s="761"/>
      <c r="BA147" s="761"/>
      <c r="BB147" s="761"/>
      <c r="BC147" s="761"/>
      <c r="BD147" s="761"/>
      <c r="BE147" s="761"/>
      <c r="BF147" s="761"/>
      <c r="BG147" s="761"/>
      <c r="BH147" s="761"/>
      <c r="BI147" s="761"/>
      <c r="BJ147" s="761"/>
      <c r="BK147" s="761"/>
      <c r="BL147" s="761"/>
      <c r="BM147" s="761"/>
      <c r="BN147" s="761"/>
      <c r="BO147" s="761"/>
      <c r="BP147" s="761"/>
      <c r="BQ147" s="761"/>
      <c r="BR147" s="761"/>
      <c r="BS147" s="761"/>
      <c r="BT147" s="761"/>
      <c r="BU147" s="761"/>
      <c r="BV147" s="761"/>
      <c r="BW147" s="761"/>
      <c r="BX147" s="761"/>
      <c r="BY147" s="761"/>
      <c r="BZ147" s="761"/>
      <c r="CA147" s="761"/>
      <c r="CB147" s="761"/>
      <c r="CC147" s="761"/>
      <c r="CD147" s="761"/>
    </row>
    <row r="148" spans="50:82" s="1" customFormat="1">
      <c r="AX148" s="761"/>
      <c r="AY148" s="761"/>
      <c r="AZ148" s="761"/>
      <c r="BA148" s="761"/>
      <c r="BB148" s="761"/>
      <c r="BC148" s="761"/>
      <c r="BD148" s="761"/>
      <c r="BE148" s="761"/>
      <c r="BF148" s="761"/>
      <c r="BG148" s="761"/>
      <c r="BH148" s="761"/>
      <c r="BI148" s="761"/>
      <c r="BJ148" s="761"/>
      <c r="BK148" s="761"/>
      <c r="BL148" s="761"/>
      <c r="BM148" s="761"/>
      <c r="BN148" s="761"/>
      <c r="BO148" s="761"/>
      <c r="BP148" s="761"/>
      <c r="BQ148" s="761"/>
      <c r="BR148" s="761"/>
      <c r="BS148" s="761"/>
      <c r="BT148" s="761"/>
      <c r="BU148" s="761"/>
      <c r="BV148" s="761"/>
      <c r="BW148" s="761"/>
      <c r="BX148" s="761"/>
      <c r="BY148" s="761"/>
      <c r="BZ148" s="761"/>
      <c r="CA148" s="761"/>
      <c r="CB148" s="761"/>
      <c r="CC148" s="761"/>
      <c r="CD148" s="761"/>
    </row>
    <row r="149" spans="50:82" s="1" customFormat="1">
      <c r="AX149" s="761"/>
      <c r="AY149" s="761"/>
      <c r="AZ149" s="761"/>
      <c r="BA149" s="761"/>
      <c r="BB149" s="761"/>
      <c r="BC149" s="761"/>
      <c r="BD149" s="761"/>
      <c r="BE149" s="761"/>
      <c r="BF149" s="761"/>
      <c r="BG149" s="761"/>
      <c r="BH149" s="761"/>
      <c r="BI149" s="761"/>
      <c r="BJ149" s="761"/>
      <c r="BK149" s="761"/>
      <c r="BL149" s="761"/>
      <c r="BM149" s="761"/>
      <c r="BN149" s="761"/>
      <c r="BO149" s="761"/>
      <c r="BP149" s="761"/>
      <c r="BQ149" s="761"/>
      <c r="BR149" s="761"/>
      <c r="BS149" s="761"/>
      <c r="BT149" s="761"/>
      <c r="BU149" s="761"/>
      <c r="BV149" s="761"/>
      <c r="BW149" s="761"/>
      <c r="BX149" s="761"/>
      <c r="BY149" s="761"/>
      <c r="BZ149" s="761"/>
      <c r="CA149" s="761"/>
      <c r="CB149" s="761"/>
      <c r="CC149" s="761"/>
      <c r="CD149" s="761"/>
    </row>
    <row r="150" spans="50:82" s="1" customFormat="1">
      <c r="AX150" s="761"/>
      <c r="AY150" s="761"/>
      <c r="AZ150" s="761"/>
      <c r="BA150" s="761"/>
      <c r="BB150" s="761"/>
      <c r="BC150" s="761"/>
      <c r="BD150" s="761"/>
      <c r="BE150" s="761"/>
      <c r="BF150" s="761"/>
      <c r="BG150" s="761"/>
      <c r="BH150" s="761"/>
      <c r="BI150" s="761"/>
      <c r="BJ150" s="761"/>
      <c r="BK150" s="761"/>
      <c r="BL150" s="761"/>
      <c r="BM150" s="761"/>
      <c r="BN150" s="761"/>
      <c r="BO150" s="761"/>
      <c r="BP150" s="761"/>
      <c r="BQ150" s="761"/>
      <c r="BR150" s="761"/>
      <c r="BS150" s="761"/>
      <c r="BT150" s="761"/>
      <c r="BU150" s="761"/>
      <c r="BV150" s="761"/>
      <c r="BW150" s="761"/>
      <c r="BX150" s="761"/>
      <c r="BY150" s="761"/>
      <c r="BZ150" s="761"/>
      <c r="CA150" s="761"/>
      <c r="CB150" s="761"/>
      <c r="CC150" s="761"/>
      <c r="CD150" s="761"/>
    </row>
    <row r="151" spans="50:82" s="1" customFormat="1">
      <c r="AX151" s="761"/>
      <c r="AY151" s="761"/>
      <c r="AZ151" s="761"/>
      <c r="BA151" s="761"/>
      <c r="BB151" s="761"/>
      <c r="BC151" s="761"/>
      <c r="BD151" s="761"/>
      <c r="BE151" s="761"/>
      <c r="BF151" s="761"/>
      <c r="BG151" s="761"/>
      <c r="BH151" s="761"/>
      <c r="BI151" s="761"/>
      <c r="BJ151" s="761"/>
      <c r="BK151" s="761"/>
      <c r="BL151" s="761"/>
      <c r="BM151" s="761"/>
      <c r="BN151" s="761"/>
      <c r="BO151" s="761"/>
      <c r="BP151" s="761"/>
      <c r="BQ151" s="761"/>
      <c r="BR151" s="761"/>
      <c r="BS151" s="761"/>
      <c r="BT151" s="761"/>
      <c r="BU151" s="761"/>
      <c r="BV151" s="761"/>
      <c r="BW151" s="761"/>
      <c r="BX151" s="761"/>
      <c r="BY151" s="761"/>
      <c r="BZ151" s="761"/>
      <c r="CA151" s="761"/>
      <c r="CB151" s="761"/>
      <c r="CC151" s="761"/>
      <c r="CD151" s="761"/>
    </row>
    <row r="152" spans="50:82" s="1" customFormat="1">
      <c r="AX152" s="761"/>
      <c r="AY152" s="761"/>
      <c r="AZ152" s="761"/>
      <c r="BA152" s="761"/>
      <c r="BB152" s="761"/>
      <c r="BC152" s="761"/>
      <c r="BD152" s="761"/>
      <c r="BE152" s="761"/>
      <c r="BF152" s="761"/>
      <c r="BG152" s="761"/>
      <c r="BH152" s="761"/>
      <c r="BI152" s="761"/>
      <c r="BJ152" s="761"/>
      <c r="BK152" s="761"/>
      <c r="BL152" s="761"/>
      <c r="BM152" s="761"/>
      <c r="BN152" s="761"/>
      <c r="BO152" s="761"/>
      <c r="BP152" s="761"/>
      <c r="BQ152" s="761"/>
      <c r="BR152" s="761"/>
      <c r="BS152" s="761"/>
      <c r="BT152" s="761"/>
      <c r="BU152" s="761"/>
      <c r="BV152" s="761"/>
      <c r="BW152" s="761"/>
      <c r="BX152" s="761"/>
      <c r="BY152" s="761"/>
      <c r="BZ152" s="761"/>
      <c r="CA152" s="761"/>
      <c r="CB152" s="761"/>
      <c r="CC152" s="761"/>
      <c r="CD152" s="761"/>
    </row>
    <row r="153" spans="50:82" s="1" customFormat="1">
      <c r="AX153" s="761"/>
      <c r="AY153" s="761"/>
      <c r="AZ153" s="761"/>
      <c r="BA153" s="761"/>
      <c r="BB153" s="761"/>
      <c r="BC153" s="761"/>
      <c r="BD153" s="761"/>
      <c r="BE153" s="761"/>
      <c r="BF153" s="761"/>
      <c r="BG153" s="761"/>
      <c r="BH153" s="761"/>
      <c r="BI153" s="761"/>
      <c r="BJ153" s="761"/>
      <c r="BK153" s="761"/>
      <c r="BL153" s="761"/>
      <c r="BM153" s="761"/>
      <c r="BN153" s="761"/>
      <c r="BO153" s="761"/>
      <c r="BP153" s="761"/>
      <c r="BQ153" s="761"/>
      <c r="BR153" s="761"/>
      <c r="BS153" s="761"/>
      <c r="BT153" s="761"/>
      <c r="BU153" s="761"/>
      <c r="BV153" s="761"/>
      <c r="BW153" s="761"/>
      <c r="BX153" s="761"/>
      <c r="BY153" s="761"/>
      <c r="BZ153" s="761"/>
      <c r="CA153" s="761"/>
      <c r="CB153" s="761"/>
      <c r="CC153" s="761"/>
      <c r="CD153" s="761"/>
    </row>
    <row r="154" spans="50:82" s="1" customFormat="1">
      <c r="AX154" s="761"/>
      <c r="AY154" s="761"/>
      <c r="AZ154" s="761"/>
      <c r="BA154" s="761"/>
      <c r="BB154" s="761"/>
      <c r="BC154" s="761"/>
      <c r="BD154" s="761"/>
      <c r="BE154" s="761"/>
      <c r="BF154" s="761"/>
      <c r="BG154" s="761"/>
      <c r="BH154" s="761"/>
      <c r="BI154" s="761"/>
      <c r="BJ154" s="761"/>
      <c r="BK154" s="761"/>
      <c r="BL154" s="761"/>
      <c r="BM154" s="761"/>
      <c r="BN154" s="761"/>
      <c r="BO154" s="761"/>
      <c r="BP154" s="761"/>
      <c r="BQ154" s="761"/>
      <c r="BR154" s="761"/>
      <c r="BS154" s="761"/>
      <c r="BT154" s="761"/>
      <c r="BU154" s="761"/>
      <c r="BV154" s="761"/>
      <c r="BW154" s="761"/>
      <c r="BX154" s="761"/>
      <c r="BY154" s="761"/>
      <c r="BZ154" s="761"/>
      <c r="CA154" s="761"/>
      <c r="CB154" s="761"/>
      <c r="CC154" s="761"/>
      <c r="CD154" s="761"/>
    </row>
  </sheetData>
  <mergeCells count="17">
    <mergeCell ref="AJ6:AR6"/>
    <mergeCell ref="C3:D3"/>
    <mergeCell ref="C16:D16"/>
    <mergeCell ref="AH6:AI6"/>
    <mergeCell ref="B2:V2"/>
    <mergeCell ref="AC6:AE6"/>
    <mergeCell ref="AF6:AG6"/>
    <mergeCell ref="E3:V3"/>
    <mergeCell ref="E16:V16"/>
    <mergeCell ref="I14:P15"/>
    <mergeCell ref="AH28:AI28"/>
    <mergeCell ref="AH29:AI29"/>
    <mergeCell ref="AH30:AI30"/>
    <mergeCell ref="AU7:AV7"/>
    <mergeCell ref="AJ32:AL32"/>
    <mergeCell ref="AJ30:AL30"/>
    <mergeCell ref="AJ31:AL31"/>
  </mergeCells>
  <hyperlinks>
    <hyperlink ref="AN38" r:id="rId1"/>
    <hyperlink ref="AN37" r:id="rId2"/>
    <hyperlink ref="AN40" r:id="rId3"/>
    <hyperlink ref="AN41" r:id="rId4"/>
    <hyperlink ref="AN42" r:id="rId5"/>
    <hyperlink ref="AN43" r:id="rId6"/>
  </hyperlinks>
  <pageMargins left="0.511811024" right="0.511811024" top="0.78740157499999996" bottom="0.78740157499999996" header="0.31496062000000002" footer="0.31496062000000002"/>
  <pageSetup paperSize="9" orientation="portrait" r:id="rId7"/>
  <legacyDrawing r:id="rId8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K184"/>
  <sheetViews>
    <sheetView workbookViewId="0">
      <selection sqref="A1:XFD1048576"/>
    </sheetView>
  </sheetViews>
  <sheetFormatPr defaultRowHeight="15"/>
  <cols>
    <col min="1" max="1" width="1.85546875" style="336" customWidth="1"/>
    <col min="2" max="2" width="18.28515625" style="1" bestFit="1" customWidth="1"/>
    <col min="3" max="3" width="8" style="1" bestFit="1" customWidth="1"/>
    <col min="4" max="4" width="9.28515625" style="1" bestFit="1" customWidth="1"/>
    <col min="5" max="5" width="10.140625" style="1" bestFit="1" customWidth="1"/>
    <col min="6" max="6" width="9.42578125" style="1" bestFit="1" customWidth="1"/>
    <col min="7" max="7" width="9.28515625" style="1" bestFit="1" customWidth="1"/>
    <col min="8" max="8" width="10.140625" style="1" bestFit="1" customWidth="1"/>
    <col min="9" max="9" width="9.42578125" style="1" bestFit="1" customWidth="1"/>
    <col min="10" max="10" width="9.28515625" style="1" bestFit="1" customWidth="1"/>
    <col min="11" max="11" width="10.140625" style="1" bestFit="1" customWidth="1"/>
    <col min="12" max="12" width="9.42578125" style="1" bestFit="1" customWidth="1"/>
    <col min="13" max="13" width="9.28515625" style="1" bestFit="1" customWidth="1"/>
    <col min="14" max="14" width="10.140625" style="1" bestFit="1" customWidth="1"/>
    <col min="15" max="15" width="9.42578125" style="1" bestFit="1" customWidth="1"/>
    <col min="16" max="16" width="9.28515625" style="1" bestFit="1" customWidth="1"/>
    <col min="17" max="17" width="10.140625" style="1" bestFit="1" customWidth="1"/>
    <col min="18" max="18" width="9.42578125" style="1" bestFit="1" customWidth="1"/>
    <col min="19" max="19" width="9.28515625" style="1" bestFit="1" customWidth="1"/>
    <col min="20" max="20" width="10.140625" style="1" bestFit="1" customWidth="1"/>
    <col min="21" max="21" width="9.42578125" style="1" bestFit="1" customWidth="1"/>
    <col min="22" max="22" width="9.28515625" style="1" bestFit="1" customWidth="1"/>
    <col min="23" max="23" width="10.140625" style="1" bestFit="1" customWidth="1"/>
    <col min="24" max="24" width="9.42578125" style="1" bestFit="1" customWidth="1"/>
    <col min="25" max="25" width="9.28515625" style="1" bestFit="1" customWidth="1"/>
    <col min="26" max="26" width="10.140625" style="1" bestFit="1" customWidth="1"/>
    <col min="27" max="27" width="9.42578125" style="1" bestFit="1" customWidth="1"/>
    <col min="28" max="28" width="9.28515625" style="1" bestFit="1" customWidth="1"/>
    <col min="29" max="29" width="10.140625" style="1" bestFit="1" customWidth="1"/>
    <col min="30" max="30" width="9.42578125" style="1" bestFit="1" customWidth="1"/>
    <col min="31" max="31" width="9.28515625" style="1" bestFit="1" customWidth="1"/>
    <col min="32" max="32" width="10.140625" style="1" bestFit="1" customWidth="1"/>
    <col min="33" max="33" width="9.42578125" style="1" bestFit="1" customWidth="1"/>
    <col min="34" max="34" width="9.28515625" style="1" bestFit="1" customWidth="1"/>
    <col min="35" max="35" width="10.140625" style="1" bestFit="1" customWidth="1"/>
    <col min="36" max="36" width="9.85546875" style="1" bestFit="1" customWidth="1"/>
    <col min="37" max="37" width="9.28515625" style="1" bestFit="1" customWidth="1"/>
    <col min="38" max="38" width="10.140625" style="1" bestFit="1" customWidth="1"/>
    <col min="39" max="39" width="9.42578125" style="1" bestFit="1" customWidth="1"/>
    <col min="40" max="89" width="9.140625" style="336"/>
    <col min="90" max="16384" width="9.140625" style="1"/>
  </cols>
  <sheetData>
    <row r="1" spans="2:40" s="336" customFormat="1" ht="11.25" customHeight="1" thickBot="1"/>
    <row r="2" spans="2:40" ht="15.75" hidden="1" thickBot="1"/>
    <row r="3" spans="2:40" ht="15.75" thickBot="1">
      <c r="B3" s="1203" t="s">
        <v>252</v>
      </c>
      <c r="C3" s="1204"/>
      <c r="D3" s="1204"/>
      <c r="E3" s="1204"/>
      <c r="F3" s="1204"/>
      <c r="G3" s="1204"/>
      <c r="H3" s="1204"/>
      <c r="I3" s="1204"/>
      <c r="J3" s="1204"/>
      <c r="K3" s="1204"/>
      <c r="L3" s="1204"/>
      <c r="M3" s="1204"/>
      <c r="N3" s="1204"/>
      <c r="O3" s="1204"/>
      <c r="P3" s="1204"/>
      <c r="Q3" s="1204"/>
      <c r="R3" s="1204"/>
      <c r="S3" s="1204"/>
      <c r="T3" s="1204"/>
      <c r="U3" s="1204"/>
      <c r="V3" s="1204"/>
      <c r="W3" s="1204"/>
      <c r="X3" s="1204"/>
      <c r="Y3" s="1204"/>
      <c r="Z3" s="1204"/>
      <c r="AA3" s="1204"/>
      <c r="AB3" s="1204"/>
      <c r="AC3" s="1204"/>
      <c r="AD3" s="1204"/>
      <c r="AE3" s="1204"/>
      <c r="AF3" s="1204"/>
      <c r="AG3" s="1204"/>
      <c r="AH3" s="1204"/>
      <c r="AI3" s="1204"/>
      <c r="AJ3" s="1204"/>
      <c r="AK3" s="1204"/>
      <c r="AL3" s="1204"/>
      <c r="AM3" s="1205"/>
    </row>
    <row r="4" spans="2:40">
      <c r="B4" s="1208" t="s">
        <v>213</v>
      </c>
      <c r="C4" s="1206" t="s">
        <v>209</v>
      </c>
      <c r="D4" s="1200" t="s">
        <v>226</v>
      </c>
      <c r="E4" s="1201"/>
      <c r="F4" s="1202"/>
      <c r="G4" s="1200" t="s">
        <v>225</v>
      </c>
      <c r="H4" s="1201"/>
      <c r="I4" s="1201"/>
      <c r="J4" s="1200" t="s">
        <v>224</v>
      </c>
      <c r="K4" s="1201"/>
      <c r="L4" s="1202"/>
      <c r="M4" s="1200" t="s">
        <v>223</v>
      </c>
      <c r="N4" s="1201"/>
      <c r="O4" s="1202"/>
      <c r="P4" s="1200" t="s">
        <v>222</v>
      </c>
      <c r="Q4" s="1201"/>
      <c r="R4" s="1202"/>
      <c r="S4" s="1200" t="s">
        <v>221</v>
      </c>
      <c r="T4" s="1201"/>
      <c r="U4" s="1201"/>
      <c r="V4" s="1194" t="s">
        <v>220</v>
      </c>
      <c r="W4" s="1195"/>
      <c r="X4" s="1196"/>
      <c r="Y4" s="1194" t="s">
        <v>219</v>
      </c>
      <c r="Z4" s="1195"/>
      <c r="AA4" s="1196"/>
      <c r="AB4" s="1194" t="s">
        <v>218</v>
      </c>
      <c r="AC4" s="1195"/>
      <c r="AD4" s="1196"/>
      <c r="AE4" s="1194" t="s">
        <v>217</v>
      </c>
      <c r="AF4" s="1195"/>
      <c r="AG4" s="1196"/>
      <c r="AH4" s="1194" t="s">
        <v>216</v>
      </c>
      <c r="AI4" s="1195"/>
      <c r="AJ4" s="1196"/>
      <c r="AK4" s="1194" t="s">
        <v>215</v>
      </c>
      <c r="AL4" s="1195"/>
      <c r="AM4" s="1196"/>
    </row>
    <row r="5" spans="2:40">
      <c r="B5" s="1209"/>
      <c r="C5" s="1207"/>
      <c r="D5" s="365" t="s">
        <v>251</v>
      </c>
      <c r="E5" s="364" t="s">
        <v>207</v>
      </c>
      <c r="F5" s="363" t="s">
        <v>206</v>
      </c>
      <c r="G5" s="365" t="s">
        <v>251</v>
      </c>
      <c r="H5" s="364" t="s">
        <v>207</v>
      </c>
      <c r="I5" s="366" t="s">
        <v>206</v>
      </c>
      <c r="J5" s="365" t="s">
        <v>251</v>
      </c>
      <c r="K5" s="364" t="s">
        <v>207</v>
      </c>
      <c r="L5" s="363" t="s">
        <v>206</v>
      </c>
      <c r="M5" s="365" t="s">
        <v>251</v>
      </c>
      <c r="N5" s="364" t="s">
        <v>207</v>
      </c>
      <c r="O5" s="363" t="s">
        <v>206</v>
      </c>
      <c r="P5" s="365" t="s">
        <v>251</v>
      </c>
      <c r="Q5" s="364" t="s">
        <v>207</v>
      </c>
      <c r="R5" s="363" t="s">
        <v>206</v>
      </c>
      <c r="S5" s="365" t="s">
        <v>251</v>
      </c>
      <c r="T5" s="364" t="s">
        <v>207</v>
      </c>
      <c r="U5" s="366" t="s">
        <v>206</v>
      </c>
      <c r="V5" s="365" t="s">
        <v>251</v>
      </c>
      <c r="W5" s="364" t="s">
        <v>207</v>
      </c>
      <c r="X5" s="363" t="s">
        <v>206</v>
      </c>
      <c r="Y5" s="365" t="s">
        <v>251</v>
      </c>
      <c r="Z5" s="364" t="s">
        <v>207</v>
      </c>
      <c r="AA5" s="363" t="s">
        <v>206</v>
      </c>
      <c r="AB5" s="365" t="s">
        <v>251</v>
      </c>
      <c r="AC5" s="364" t="s">
        <v>207</v>
      </c>
      <c r="AD5" s="363" t="s">
        <v>206</v>
      </c>
      <c r="AE5" s="365" t="s">
        <v>251</v>
      </c>
      <c r="AF5" s="364" t="s">
        <v>207</v>
      </c>
      <c r="AG5" s="363" t="s">
        <v>206</v>
      </c>
      <c r="AH5" s="365" t="s">
        <v>251</v>
      </c>
      <c r="AI5" s="364" t="s">
        <v>207</v>
      </c>
      <c r="AJ5" s="363" t="s">
        <v>206</v>
      </c>
      <c r="AK5" s="365" t="s">
        <v>251</v>
      </c>
      <c r="AL5" s="364" t="s">
        <v>207</v>
      </c>
      <c r="AM5" s="363" t="s">
        <v>206</v>
      </c>
    </row>
    <row r="6" spans="2:40">
      <c r="B6" s="1197" t="str">
        <f>'2022'!C2</f>
        <v>FUNDO DE PAPEL</v>
      </c>
      <c r="C6" s="356" t="str">
        <f>'2022'!C3</f>
        <v>MXRF11</v>
      </c>
      <c r="D6" s="361"/>
      <c r="E6" s="360"/>
      <c r="F6" s="357">
        <v>0</v>
      </c>
      <c r="G6" s="361"/>
      <c r="H6" s="360"/>
      <c r="I6" s="362">
        <f t="shared" ref="I6:I21" si="0">H6*G6</f>
        <v>0</v>
      </c>
      <c r="J6" s="359">
        <v>5</v>
      </c>
      <c r="K6" s="358">
        <v>0.09</v>
      </c>
      <c r="L6" s="357">
        <f t="shared" ref="L6:L21" si="1">K6*J6</f>
        <v>0.44999999999999996</v>
      </c>
      <c r="M6" s="359">
        <v>5</v>
      </c>
      <c r="N6" s="358">
        <v>0.1</v>
      </c>
      <c r="O6" s="357">
        <f t="shared" ref="O6:O21" si="2">N6*M6</f>
        <v>0.5</v>
      </c>
      <c r="P6" s="359">
        <v>5</v>
      </c>
      <c r="Q6" s="358">
        <v>0.11</v>
      </c>
      <c r="R6" s="357">
        <f t="shared" ref="R6:R21" si="3">Q6*P6</f>
        <v>0.55000000000000004</v>
      </c>
      <c r="S6" s="359">
        <v>6</v>
      </c>
      <c r="T6" s="358">
        <v>0.11</v>
      </c>
      <c r="U6" s="362">
        <f t="shared" ref="U6:U21" si="4">T6*S6</f>
        <v>0.66</v>
      </c>
      <c r="V6" s="359">
        <v>6</v>
      </c>
      <c r="W6" s="358">
        <v>0.1</v>
      </c>
      <c r="X6" s="357">
        <f t="shared" ref="X6:X21" si="5">W6*V6</f>
        <v>0.60000000000000009</v>
      </c>
      <c r="Y6" s="359">
        <v>6</v>
      </c>
      <c r="Z6" s="358">
        <v>0.12</v>
      </c>
      <c r="AA6" s="357">
        <f t="shared" ref="AA6:AA21" si="6">Z6*Y6</f>
        <v>0.72</v>
      </c>
      <c r="AB6" s="359">
        <v>6</v>
      </c>
      <c r="AC6" s="358">
        <v>0.12</v>
      </c>
      <c r="AD6" s="357">
        <f t="shared" ref="AD6:AD21" si="7">AC6*AB6</f>
        <v>0.72</v>
      </c>
      <c r="AE6" s="359">
        <v>15</v>
      </c>
      <c r="AF6" s="358">
        <v>0.1</v>
      </c>
      <c r="AG6" s="357">
        <f t="shared" ref="AG6:AG21" si="8">AF6*AE6</f>
        <v>1.5</v>
      </c>
      <c r="AH6" s="359">
        <v>15</v>
      </c>
      <c r="AI6" s="358">
        <f>1.5/15</f>
        <v>0.1</v>
      </c>
      <c r="AJ6" s="357">
        <f t="shared" ref="AJ6:AJ21" si="9">AI6*AH6</f>
        <v>1.5</v>
      </c>
      <c r="AK6" s="359">
        <v>15</v>
      </c>
      <c r="AL6" s="358"/>
      <c r="AM6" s="357">
        <f t="shared" ref="AM6:AM21" si="10">AL6*AK6</f>
        <v>0</v>
      </c>
      <c r="AN6" s="340">
        <f t="shared" ref="AN6:AN21" si="11">SUM(AM6,AJ6,AG6,AD6,AA6,X6,U6,R6,O6,L6,I6,F6)</f>
        <v>7.1999999999999993</v>
      </c>
    </row>
    <row r="7" spans="2:40">
      <c r="B7" s="1198"/>
      <c r="C7" s="356" t="str">
        <f>'2022'!H3</f>
        <v>KISU11</v>
      </c>
      <c r="D7" s="361"/>
      <c r="E7" s="360"/>
      <c r="F7" s="357">
        <f t="shared" ref="F7:F21" si="12">E7*D7</f>
        <v>0</v>
      </c>
      <c r="G7" s="361"/>
      <c r="H7" s="360"/>
      <c r="I7" s="362">
        <f t="shared" si="0"/>
        <v>0</v>
      </c>
      <c r="J7" s="361"/>
      <c r="K7" s="360"/>
      <c r="L7" s="357">
        <f t="shared" si="1"/>
        <v>0</v>
      </c>
      <c r="M7" s="361"/>
      <c r="N7" s="360"/>
      <c r="O7" s="357">
        <f t="shared" si="2"/>
        <v>0</v>
      </c>
      <c r="P7" s="361"/>
      <c r="Q7" s="360"/>
      <c r="R7" s="357">
        <f t="shared" si="3"/>
        <v>0</v>
      </c>
      <c r="S7" s="361"/>
      <c r="T7" s="360"/>
      <c r="U7" s="362">
        <f t="shared" si="4"/>
        <v>0</v>
      </c>
      <c r="V7" s="361"/>
      <c r="W7" s="360"/>
      <c r="X7" s="357">
        <f t="shared" si="5"/>
        <v>0</v>
      </c>
      <c r="Y7" s="359">
        <v>10</v>
      </c>
      <c r="Z7" s="358">
        <v>7.0000000000000007E-2</v>
      </c>
      <c r="AA7" s="357">
        <f t="shared" si="6"/>
        <v>0.70000000000000007</v>
      </c>
      <c r="AB7" s="359">
        <v>10</v>
      </c>
      <c r="AC7" s="358">
        <v>7.0000000000000007E-2</v>
      </c>
      <c r="AD7" s="357">
        <f t="shared" si="7"/>
        <v>0.70000000000000007</v>
      </c>
      <c r="AE7" s="359">
        <v>10</v>
      </c>
      <c r="AF7" s="358">
        <v>7.4999999999999997E-2</v>
      </c>
      <c r="AG7" s="357">
        <f t="shared" si="8"/>
        <v>0.75</v>
      </c>
      <c r="AH7" s="359">
        <v>10</v>
      </c>
      <c r="AI7" s="358">
        <f>0.75/10</f>
        <v>7.4999999999999997E-2</v>
      </c>
      <c r="AJ7" s="357">
        <f t="shared" si="9"/>
        <v>0.75</v>
      </c>
      <c r="AK7" s="359">
        <v>10</v>
      </c>
      <c r="AL7" s="358"/>
      <c r="AM7" s="357">
        <f t="shared" si="10"/>
        <v>0</v>
      </c>
      <c r="AN7" s="340">
        <f t="shared" si="11"/>
        <v>2.9000000000000004</v>
      </c>
    </row>
    <row r="8" spans="2:40">
      <c r="B8" s="1198"/>
      <c r="C8" s="356" t="str">
        <f>'2022'!M3</f>
        <v>RZAK11</v>
      </c>
      <c r="D8" s="361"/>
      <c r="E8" s="360"/>
      <c r="F8" s="357">
        <f t="shared" si="12"/>
        <v>0</v>
      </c>
      <c r="G8" s="361"/>
      <c r="H8" s="360"/>
      <c r="I8" s="362">
        <f t="shared" si="0"/>
        <v>0</v>
      </c>
      <c r="J8" s="361"/>
      <c r="K8" s="360"/>
      <c r="L8" s="357">
        <f t="shared" si="1"/>
        <v>0</v>
      </c>
      <c r="M8" s="361"/>
      <c r="N8" s="360"/>
      <c r="O8" s="357">
        <f t="shared" si="2"/>
        <v>0</v>
      </c>
      <c r="P8" s="361"/>
      <c r="Q8" s="360"/>
      <c r="R8" s="357">
        <f t="shared" si="3"/>
        <v>0</v>
      </c>
      <c r="S8" s="361"/>
      <c r="T8" s="360"/>
      <c r="U8" s="362">
        <f t="shared" si="4"/>
        <v>0</v>
      </c>
      <c r="V8" s="361"/>
      <c r="W8" s="360"/>
      <c r="X8" s="357">
        <f t="shared" si="5"/>
        <v>0</v>
      </c>
      <c r="Y8" s="359">
        <v>1</v>
      </c>
      <c r="Z8" s="358">
        <v>1.5</v>
      </c>
      <c r="AA8" s="357">
        <f t="shared" si="6"/>
        <v>1.5</v>
      </c>
      <c r="AB8" s="359">
        <v>1</v>
      </c>
      <c r="AC8" s="358">
        <v>1.66</v>
      </c>
      <c r="AD8" s="357">
        <f t="shared" si="7"/>
        <v>1.66</v>
      </c>
      <c r="AE8" s="359">
        <v>1</v>
      </c>
      <c r="AF8" s="358">
        <v>1.45</v>
      </c>
      <c r="AG8" s="357">
        <f t="shared" si="8"/>
        <v>1.45</v>
      </c>
      <c r="AH8" s="359">
        <v>1</v>
      </c>
      <c r="AI8" s="358">
        <v>1.4</v>
      </c>
      <c r="AJ8" s="357">
        <f t="shared" si="9"/>
        <v>1.4</v>
      </c>
      <c r="AK8" s="359"/>
      <c r="AL8" s="358"/>
      <c r="AM8" s="357">
        <f t="shared" si="10"/>
        <v>0</v>
      </c>
      <c r="AN8" s="340">
        <f t="shared" si="11"/>
        <v>6.01</v>
      </c>
    </row>
    <row r="9" spans="2:40">
      <c r="B9" s="1199"/>
      <c r="C9" s="356" t="str">
        <f>'2022'!R3</f>
        <v>VGHF11</v>
      </c>
      <c r="D9" s="361"/>
      <c r="E9" s="360"/>
      <c r="F9" s="357">
        <f t="shared" si="12"/>
        <v>0</v>
      </c>
      <c r="G9" s="361"/>
      <c r="H9" s="360"/>
      <c r="I9" s="362">
        <f t="shared" si="0"/>
        <v>0</v>
      </c>
      <c r="J9" s="361"/>
      <c r="K9" s="360"/>
      <c r="L9" s="357">
        <f t="shared" si="1"/>
        <v>0</v>
      </c>
      <c r="M9" s="361"/>
      <c r="N9" s="360"/>
      <c r="O9" s="357">
        <f t="shared" si="2"/>
        <v>0</v>
      </c>
      <c r="P9" s="361"/>
      <c r="Q9" s="360"/>
      <c r="R9" s="357">
        <f t="shared" si="3"/>
        <v>0</v>
      </c>
      <c r="S9" s="361"/>
      <c r="T9" s="360"/>
      <c r="U9" s="362">
        <f t="shared" si="4"/>
        <v>0</v>
      </c>
      <c r="V9" s="361"/>
      <c r="W9" s="360"/>
      <c r="X9" s="357">
        <f t="shared" si="5"/>
        <v>0</v>
      </c>
      <c r="Y9" s="361"/>
      <c r="Z9" s="360"/>
      <c r="AA9" s="357">
        <f t="shared" si="6"/>
        <v>0</v>
      </c>
      <c r="AB9" s="361"/>
      <c r="AC9" s="360"/>
      <c r="AD9" s="357">
        <f t="shared" si="7"/>
        <v>0</v>
      </c>
      <c r="AE9" s="361"/>
      <c r="AF9" s="360"/>
      <c r="AG9" s="357">
        <f t="shared" si="8"/>
        <v>0</v>
      </c>
      <c r="AH9" s="359">
        <v>12</v>
      </c>
      <c r="AI9" s="358">
        <v>0.09</v>
      </c>
      <c r="AJ9" s="357">
        <f t="shared" si="9"/>
        <v>1.08</v>
      </c>
      <c r="AK9" s="359">
        <v>12</v>
      </c>
      <c r="AL9" s="358"/>
      <c r="AM9" s="357">
        <f t="shared" si="10"/>
        <v>0</v>
      </c>
      <c r="AN9" s="340">
        <f t="shared" si="11"/>
        <v>1.08</v>
      </c>
    </row>
    <row r="10" spans="2:40">
      <c r="B10" s="1197" t="str">
        <f>'2022'!Y2</f>
        <v>GALPÃO LOGÍSTICO</v>
      </c>
      <c r="C10" s="356" t="str">
        <f>'2022'!Y3</f>
        <v>XPLG11</v>
      </c>
      <c r="D10" s="361"/>
      <c r="E10" s="360"/>
      <c r="F10" s="357">
        <f t="shared" si="12"/>
        <v>0</v>
      </c>
      <c r="G10" s="361"/>
      <c r="H10" s="360"/>
      <c r="I10" s="362">
        <f t="shared" si="0"/>
        <v>0</v>
      </c>
      <c r="J10" s="359">
        <v>1</v>
      </c>
      <c r="K10" s="358">
        <v>0.66</v>
      </c>
      <c r="L10" s="357">
        <f t="shared" si="1"/>
        <v>0.66</v>
      </c>
      <c r="M10" s="359">
        <v>1</v>
      </c>
      <c r="N10" s="358">
        <v>0.66</v>
      </c>
      <c r="O10" s="357">
        <f t="shared" si="2"/>
        <v>0.66</v>
      </c>
      <c r="P10" s="359">
        <v>1</v>
      </c>
      <c r="Q10" s="358">
        <v>0.66</v>
      </c>
      <c r="R10" s="357">
        <f t="shared" si="3"/>
        <v>0.66</v>
      </c>
      <c r="S10" s="359">
        <v>1</v>
      </c>
      <c r="T10" s="358">
        <v>0.68</v>
      </c>
      <c r="U10" s="362">
        <f t="shared" si="4"/>
        <v>0.68</v>
      </c>
      <c r="V10" s="359">
        <v>1</v>
      </c>
      <c r="W10" s="358">
        <v>0.7</v>
      </c>
      <c r="X10" s="357">
        <f t="shared" si="5"/>
        <v>0.7</v>
      </c>
      <c r="Y10" s="359">
        <v>1</v>
      </c>
      <c r="Z10" s="358">
        <v>0.72</v>
      </c>
      <c r="AA10" s="357">
        <f t="shared" si="6"/>
        <v>0.72</v>
      </c>
      <c r="AB10" s="359">
        <v>1</v>
      </c>
      <c r="AC10" s="358">
        <v>0.72</v>
      </c>
      <c r="AD10" s="357">
        <f t="shared" si="7"/>
        <v>0.72</v>
      </c>
      <c r="AE10" s="359">
        <v>1</v>
      </c>
      <c r="AF10" s="358">
        <v>0.74</v>
      </c>
      <c r="AG10" s="357">
        <f t="shared" si="8"/>
        <v>0.74</v>
      </c>
      <c r="AH10" s="359">
        <v>1</v>
      </c>
      <c r="AI10" s="358">
        <v>0.74</v>
      </c>
      <c r="AJ10" s="357">
        <f t="shared" si="9"/>
        <v>0.74</v>
      </c>
      <c r="AK10" s="359">
        <v>1</v>
      </c>
      <c r="AL10" s="358"/>
      <c r="AM10" s="357">
        <f t="shared" si="10"/>
        <v>0</v>
      </c>
      <c r="AN10" s="340">
        <f t="shared" si="11"/>
        <v>6.28</v>
      </c>
    </row>
    <row r="11" spans="2:40">
      <c r="B11" s="1198"/>
      <c r="C11" s="356">
        <f>'2022'!AD3</f>
        <v>0</v>
      </c>
      <c r="D11" s="361"/>
      <c r="E11" s="360"/>
      <c r="F11" s="357">
        <f t="shared" si="12"/>
        <v>0</v>
      </c>
      <c r="G11" s="361"/>
      <c r="H11" s="360"/>
      <c r="I11" s="362">
        <f t="shared" si="0"/>
        <v>0</v>
      </c>
      <c r="J11" s="361"/>
      <c r="K11" s="360"/>
      <c r="L11" s="357">
        <f t="shared" si="1"/>
        <v>0</v>
      </c>
      <c r="M11" s="361"/>
      <c r="N11" s="360"/>
      <c r="O11" s="357">
        <f t="shared" si="2"/>
        <v>0</v>
      </c>
      <c r="P11" s="361"/>
      <c r="Q11" s="360"/>
      <c r="R11" s="357">
        <f t="shared" si="3"/>
        <v>0</v>
      </c>
      <c r="S11" s="361"/>
      <c r="T11" s="360"/>
      <c r="U11" s="362">
        <f t="shared" si="4"/>
        <v>0</v>
      </c>
      <c r="V11" s="361"/>
      <c r="W11" s="360"/>
      <c r="X11" s="357">
        <f t="shared" si="5"/>
        <v>0</v>
      </c>
      <c r="Y11" s="361"/>
      <c r="Z11" s="360"/>
      <c r="AA11" s="357">
        <f t="shared" si="6"/>
        <v>0</v>
      </c>
      <c r="AB11" s="361"/>
      <c r="AC11" s="360"/>
      <c r="AD11" s="357">
        <f t="shared" si="7"/>
        <v>0</v>
      </c>
      <c r="AE11" s="361"/>
      <c r="AF11" s="360"/>
      <c r="AG11" s="357">
        <f t="shared" si="8"/>
        <v>0</v>
      </c>
      <c r="AH11" s="361"/>
      <c r="AI11" s="360"/>
      <c r="AJ11" s="357">
        <f t="shared" si="9"/>
        <v>0</v>
      </c>
      <c r="AK11" s="359"/>
      <c r="AL11" s="358"/>
      <c r="AM11" s="357">
        <f t="shared" si="10"/>
        <v>0</v>
      </c>
      <c r="AN11" s="340">
        <f t="shared" si="11"/>
        <v>0</v>
      </c>
    </row>
    <row r="12" spans="2:40">
      <c r="B12" s="1198"/>
      <c r="C12" s="356">
        <f>'2022'!AI3</f>
        <v>0</v>
      </c>
      <c r="D12" s="361"/>
      <c r="E12" s="360"/>
      <c r="F12" s="357">
        <f t="shared" si="12"/>
        <v>0</v>
      </c>
      <c r="G12" s="361"/>
      <c r="H12" s="360"/>
      <c r="I12" s="362">
        <f t="shared" si="0"/>
        <v>0</v>
      </c>
      <c r="J12" s="361"/>
      <c r="K12" s="360"/>
      <c r="L12" s="357">
        <f t="shared" si="1"/>
        <v>0</v>
      </c>
      <c r="M12" s="361"/>
      <c r="N12" s="360"/>
      <c r="O12" s="357">
        <f t="shared" si="2"/>
        <v>0</v>
      </c>
      <c r="P12" s="361"/>
      <c r="Q12" s="360"/>
      <c r="R12" s="357">
        <f t="shared" si="3"/>
        <v>0</v>
      </c>
      <c r="S12" s="361"/>
      <c r="T12" s="360"/>
      <c r="U12" s="362">
        <f t="shared" si="4"/>
        <v>0</v>
      </c>
      <c r="V12" s="361"/>
      <c r="W12" s="360"/>
      <c r="X12" s="357">
        <f t="shared" si="5"/>
        <v>0</v>
      </c>
      <c r="Y12" s="361"/>
      <c r="Z12" s="360"/>
      <c r="AA12" s="357">
        <f t="shared" si="6"/>
        <v>0</v>
      </c>
      <c r="AB12" s="361"/>
      <c r="AC12" s="360"/>
      <c r="AD12" s="357">
        <f t="shared" si="7"/>
        <v>0</v>
      </c>
      <c r="AE12" s="361"/>
      <c r="AF12" s="360"/>
      <c r="AG12" s="357">
        <f t="shared" si="8"/>
        <v>0</v>
      </c>
      <c r="AH12" s="361"/>
      <c r="AI12" s="360"/>
      <c r="AJ12" s="357">
        <f t="shared" si="9"/>
        <v>0</v>
      </c>
      <c r="AK12" s="359"/>
      <c r="AL12" s="358"/>
      <c r="AM12" s="357">
        <f t="shared" si="10"/>
        <v>0</v>
      </c>
      <c r="AN12" s="340">
        <f t="shared" si="11"/>
        <v>0</v>
      </c>
    </row>
    <row r="13" spans="2:40">
      <c r="B13" s="1199"/>
      <c r="C13" s="356">
        <f>'2022'!AN3</f>
        <v>0</v>
      </c>
      <c r="D13" s="361"/>
      <c r="E13" s="360"/>
      <c r="F13" s="357">
        <f t="shared" si="12"/>
        <v>0</v>
      </c>
      <c r="G13" s="361"/>
      <c r="H13" s="360"/>
      <c r="I13" s="362">
        <f t="shared" si="0"/>
        <v>0</v>
      </c>
      <c r="J13" s="361"/>
      <c r="K13" s="360"/>
      <c r="L13" s="357">
        <f t="shared" si="1"/>
        <v>0</v>
      </c>
      <c r="M13" s="361"/>
      <c r="N13" s="360"/>
      <c r="O13" s="357">
        <f t="shared" si="2"/>
        <v>0</v>
      </c>
      <c r="P13" s="361"/>
      <c r="Q13" s="360"/>
      <c r="R13" s="357">
        <f t="shared" si="3"/>
        <v>0</v>
      </c>
      <c r="S13" s="361"/>
      <c r="T13" s="360"/>
      <c r="U13" s="362">
        <f t="shared" si="4"/>
        <v>0</v>
      </c>
      <c r="V13" s="361"/>
      <c r="W13" s="360"/>
      <c r="X13" s="357">
        <f t="shared" si="5"/>
        <v>0</v>
      </c>
      <c r="Y13" s="361"/>
      <c r="Z13" s="360"/>
      <c r="AA13" s="357">
        <f t="shared" si="6"/>
        <v>0</v>
      </c>
      <c r="AB13" s="361"/>
      <c r="AC13" s="360"/>
      <c r="AD13" s="357">
        <f t="shared" si="7"/>
        <v>0</v>
      </c>
      <c r="AE13" s="361"/>
      <c r="AF13" s="360"/>
      <c r="AG13" s="357">
        <f t="shared" si="8"/>
        <v>0</v>
      </c>
      <c r="AH13" s="361"/>
      <c r="AI13" s="360"/>
      <c r="AJ13" s="357">
        <f t="shared" si="9"/>
        <v>0</v>
      </c>
      <c r="AK13" s="359"/>
      <c r="AL13" s="358"/>
      <c r="AM13" s="357">
        <f t="shared" si="10"/>
        <v>0</v>
      </c>
      <c r="AN13" s="340">
        <f t="shared" si="11"/>
        <v>0</v>
      </c>
    </row>
    <row r="14" spans="2:40">
      <c r="B14" s="1197" t="str">
        <f>'2022'!C20</f>
        <v>FUNDO DE TIJOLO</v>
      </c>
      <c r="C14" s="356" t="str">
        <f>'2022'!C21</f>
        <v>XPCM11</v>
      </c>
      <c r="D14" s="361"/>
      <c r="E14" s="360"/>
      <c r="F14" s="357">
        <f t="shared" si="12"/>
        <v>0</v>
      </c>
      <c r="G14" s="361"/>
      <c r="H14" s="360"/>
      <c r="I14" s="362">
        <f t="shared" si="0"/>
        <v>0</v>
      </c>
      <c r="J14" s="361"/>
      <c r="K14" s="360"/>
      <c r="L14" s="357">
        <f t="shared" si="1"/>
        <v>0</v>
      </c>
      <c r="M14" s="361"/>
      <c r="N14" s="360"/>
      <c r="O14" s="357">
        <f t="shared" si="2"/>
        <v>0</v>
      </c>
      <c r="P14" s="361"/>
      <c r="Q14" s="360"/>
      <c r="R14" s="357">
        <f t="shared" si="3"/>
        <v>0</v>
      </c>
      <c r="S14" s="361"/>
      <c r="T14" s="360"/>
      <c r="U14" s="362">
        <f t="shared" si="4"/>
        <v>0</v>
      </c>
      <c r="V14" s="361"/>
      <c r="W14" s="360"/>
      <c r="X14" s="357">
        <f t="shared" si="5"/>
        <v>0</v>
      </c>
      <c r="Y14" s="359">
        <v>6</v>
      </c>
      <c r="Z14" s="358">
        <v>0.12</v>
      </c>
      <c r="AA14" s="357">
        <f t="shared" si="6"/>
        <v>0.72</v>
      </c>
      <c r="AB14" s="361"/>
      <c r="AC14" s="360"/>
      <c r="AD14" s="357">
        <f t="shared" si="7"/>
        <v>0</v>
      </c>
      <c r="AE14" s="361"/>
      <c r="AF14" s="360"/>
      <c r="AG14" s="357">
        <f t="shared" si="8"/>
        <v>0</v>
      </c>
      <c r="AH14" s="361"/>
      <c r="AI14" s="360"/>
      <c r="AJ14" s="357">
        <f t="shared" si="9"/>
        <v>0</v>
      </c>
      <c r="AK14" s="359"/>
      <c r="AL14" s="358"/>
      <c r="AM14" s="357">
        <f t="shared" si="10"/>
        <v>0</v>
      </c>
      <c r="AN14" s="340">
        <f t="shared" si="11"/>
        <v>0.72</v>
      </c>
    </row>
    <row r="15" spans="2:40">
      <c r="B15" s="1198"/>
      <c r="C15" s="356" t="str">
        <f>'2022'!H21</f>
        <v>BBPO11</v>
      </c>
      <c r="D15" s="361"/>
      <c r="E15" s="360"/>
      <c r="F15" s="357">
        <f t="shared" si="12"/>
        <v>0</v>
      </c>
      <c r="G15" s="361"/>
      <c r="H15" s="360"/>
      <c r="I15" s="362">
        <f t="shared" si="0"/>
        <v>0</v>
      </c>
      <c r="J15" s="361"/>
      <c r="K15" s="360"/>
      <c r="L15" s="357">
        <f t="shared" si="1"/>
        <v>0</v>
      </c>
      <c r="M15" s="361"/>
      <c r="N15" s="360"/>
      <c r="O15" s="357">
        <f t="shared" si="2"/>
        <v>0</v>
      </c>
      <c r="P15" s="361"/>
      <c r="Q15" s="360"/>
      <c r="R15" s="357">
        <f t="shared" si="3"/>
        <v>0</v>
      </c>
      <c r="S15" s="361"/>
      <c r="T15" s="360"/>
      <c r="U15" s="362">
        <f t="shared" si="4"/>
        <v>0</v>
      </c>
      <c r="V15" s="361"/>
      <c r="W15" s="360"/>
      <c r="X15" s="357">
        <f t="shared" si="5"/>
        <v>0</v>
      </c>
      <c r="Y15" s="361"/>
      <c r="Z15" s="360"/>
      <c r="AA15" s="357">
        <f t="shared" si="6"/>
        <v>0</v>
      </c>
      <c r="AB15" s="361"/>
      <c r="AC15" s="360"/>
      <c r="AD15" s="357">
        <f t="shared" si="7"/>
        <v>0</v>
      </c>
      <c r="AE15" s="361"/>
      <c r="AF15" s="360"/>
      <c r="AG15" s="357">
        <f t="shared" si="8"/>
        <v>0</v>
      </c>
      <c r="AH15" s="361"/>
      <c r="AI15" s="360"/>
      <c r="AJ15" s="357">
        <f t="shared" si="9"/>
        <v>0</v>
      </c>
      <c r="AK15" s="359">
        <v>1</v>
      </c>
      <c r="AL15" s="358"/>
      <c r="AM15" s="357">
        <f t="shared" si="10"/>
        <v>0</v>
      </c>
      <c r="AN15" s="340">
        <f t="shared" si="11"/>
        <v>0</v>
      </c>
    </row>
    <row r="16" spans="2:40">
      <c r="B16" s="1198"/>
      <c r="C16" s="356">
        <f>'2022'!M21</f>
        <v>0</v>
      </c>
      <c r="D16" s="361"/>
      <c r="E16" s="360"/>
      <c r="F16" s="357">
        <f t="shared" si="12"/>
        <v>0</v>
      </c>
      <c r="G16" s="361"/>
      <c r="H16" s="360"/>
      <c r="I16" s="362">
        <f t="shared" si="0"/>
        <v>0</v>
      </c>
      <c r="J16" s="361"/>
      <c r="K16" s="360"/>
      <c r="L16" s="357">
        <f t="shared" si="1"/>
        <v>0</v>
      </c>
      <c r="M16" s="361"/>
      <c r="N16" s="360"/>
      <c r="O16" s="357">
        <f t="shared" si="2"/>
        <v>0</v>
      </c>
      <c r="P16" s="361"/>
      <c r="Q16" s="360"/>
      <c r="R16" s="357">
        <f t="shared" si="3"/>
        <v>0</v>
      </c>
      <c r="S16" s="361"/>
      <c r="T16" s="360"/>
      <c r="U16" s="362">
        <f t="shared" si="4"/>
        <v>0</v>
      </c>
      <c r="V16" s="361"/>
      <c r="W16" s="360"/>
      <c r="X16" s="357">
        <f t="shared" si="5"/>
        <v>0</v>
      </c>
      <c r="Y16" s="361"/>
      <c r="Z16" s="360"/>
      <c r="AA16" s="357">
        <f t="shared" si="6"/>
        <v>0</v>
      </c>
      <c r="AB16" s="361"/>
      <c r="AC16" s="360"/>
      <c r="AD16" s="357">
        <f t="shared" si="7"/>
        <v>0</v>
      </c>
      <c r="AE16" s="361"/>
      <c r="AF16" s="360"/>
      <c r="AG16" s="357">
        <f t="shared" si="8"/>
        <v>0</v>
      </c>
      <c r="AH16" s="361"/>
      <c r="AI16" s="360"/>
      <c r="AJ16" s="357">
        <f t="shared" si="9"/>
        <v>0</v>
      </c>
      <c r="AK16" s="359"/>
      <c r="AL16" s="358"/>
      <c r="AM16" s="357">
        <f t="shared" si="10"/>
        <v>0</v>
      </c>
      <c r="AN16" s="340">
        <f t="shared" si="11"/>
        <v>0</v>
      </c>
    </row>
    <row r="17" spans="1:89">
      <c r="B17" s="1199"/>
      <c r="C17" s="356">
        <f>'2022'!R21</f>
        <v>0</v>
      </c>
      <c r="D17" s="361"/>
      <c r="E17" s="360"/>
      <c r="F17" s="357">
        <f t="shared" si="12"/>
        <v>0</v>
      </c>
      <c r="G17" s="361"/>
      <c r="H17" s="360"/>
      <c r="I17" s="362">
        <f t="shared" si="0"/>
        <v>0</v>
      </c>
      <c r="J17" s="361"/>
      <c r="K17" s="360"/>
      <c r="L17" s="357">
        <f t="shared" si="1"/>
        <v>0</v>
      </c>
      <c r="M17" s="361"/>
      <c r="N17" s="360"/>
      <c r="O17" s="357">
        <f t="shared" si="2"/>
        <v>0</v>
      </c>
      <c r="P17" s="361"/>
      <c r="Q17" s="360"/>
      <c r="R17" s="357">
        <f t="shared" si="3"/>
        <v>0</v>
      </c>
      <c r="S17" s="361"/>
      <c r="T17" s="360"/>
      <c r="U17" s="362">
        <f t="shared" si="4"/>
        <v>0</v>
      </c>
      <c r="V17" s="361"/>
      <c r="W17" s="360"/>
      <c r="X17" s="357">
        <f t="shared" si="5"/>
        <v>0</v>
      </c>
      <c r="Y17" s="361"/>
      <c r="Z17" s="360"/>
      <c r="AA17" s="357">
        <f t="shared" si="6"/>
        <v>0</v>
      </c>
      <c r="AB17" s="361"/>
      <c r="AC17" s="360"/>
      <c r="AD17" s="357">
        <f t="shared" si="7"/>
        <v>0</v>
      </c>
      <c r="AE17" s="361"/>
      <c r="AF17" s="360"/>
      <c r="AG17" s="357">
        <f t="shared" si="8"/>
        <v>0</v>
      </c>
      <c r="AH17" s="361"/>
      <c r="AI17" s="360"/>
      <c r="AJ17" s="357">
        <f t="shared" si="9"/>
        <v>0</v>
      </c>
      <c r="AK17" s="359"/>
      <c r="AL17" s="358"/>
      <c r="AM17" s="357">
        <f t="shared" si="10"/>
        <v>0</v>
      </c>
      <c r="AN17" s="340">
        <f t="shared" si="11"/>
        <v>0</v>
      </c>
    </row>
    <row r="18" spans="1:89">
      <c r="B18" s="1197">
        <f>'2022'!Y20</f>
        <v>0</v>
      </c>
      <c r="C18" s="356" t="str">
        <f>'2022'!Y21</f>
        <v>IRDM11</v>
      </c>
      <c r="D18" s="361"/>
      <c r="E18" s="360"/>
      <c r="F18" s="357">
        <f t="shared" si="12"/>
        <v>0</v>
      </c>
      <c r="G18" s="361"/>
      <c r="H18" s="360"/>
      <c r="I18" s="362">
        <f t="shared" si="0"/>
        <v>0</v>
      </c>
      <c r="J18" s="361"/>
      <c r="K18" s="360"/>
      <c r="L18" s="357">
        <f t="shared" si="1"/>
        <v>0</v>
      </c>
      <c r="M18" s="361"/>
      <c r="N18" s="360"/>
      <c r="O18" s="357">
        <f t="shared" si="2"/>
        <v>0</v>
      </c>
      <c r="P18" s="361"/>
      <c r="Q18" s="360"/>
      <c r="R18" s="357">
        <f t="shared" si="3"/>
        <v>0</v>
      </c>
      <c r="S18" s="361"/>
      <c r="T18" s="360"/>
      <c r="U18" s="362">
        <f t="shared" si="4"/>
        <v>0</v>
      </c>
      <c r="V18" s="361"/>
      <c r="W18" s="360"/>
      <c r="X18" s="357">
        <f t="shared" si="5"/>
        <v>0</v>
      </c>
      <c r="Y18" s="361"/>
      <c r="Z18" s="360"/>
      <c r="AA18" s="357">
        <f t="shared" si="6"/>
        <v>0</v>
      </c>
      <c r="AB18" s="359">
        <v>1</v>
      </c>
      <c r="AC18" s="358">
        <v>1.26</v>
      </c>
      <c r="AD18" s="357">
        <f t="shared" si="7"/>
        <v>1.26</v>
      </c>
      <c r="AE18" s="359">
        <v>1</v>
      </c>
      <c r="AF18" s="358">
        <v>0.85</v>
      </c>
      <c r="AG18" s="357">
        <f t="shared" si="8"/>
        <v>0.85</v>
      </c>
      <c r="AH18" s="359">
        <v>1</v>
      </c>
      <c r="AI18" s="358">
        <v>0.78</v>
      </c>
      <c r="AJ18" s="357">
        <f t="shared" si="9"/>
        <v>0.78</v>
      </c>
      <c r="AK18" s="359">
        <v>1</v>
      </c>
      <c r="AL18" s="358"/>
      <c r="AM18" s="357">
        <f t="shared" si="10"/>
        <v>0</v>
      </c>
      <c r="AN18" s="340">
        <f t="shared" si="11"/>
        <v>2.8899999999999997</v>
      </c>
    </row>
    <row r="19" spans="1:89">
      <c r="B19" s="1198"/>
      <c r="C19" s="356" t="str">
        <f>'2022'!AD21</f>
        <v>BIME11</v>
      </c>
      <c r="D19" s="361"/>
      <c r="E19" s="360"/>
      <c r="F19" s="357">
        <f t="shared" si="12"/>
        <v>0</v>
      </c>
      <c r="G19" s="361"/>
      <c r="H19" s="360"/>
      <c r="I19" s="362">
        <f t="shared" si="0"/>
        <v>0</v>
      </c>
      <c r="J19" s="361"/>
      <c r="K19" s="360"/>
      <c r="L19" s="357">
        <f t="shared" si="1"/>
        <v>0</v>
      </c>
      <c r="M19" s="361"/>
      <c r="N19" s="360"/>
      <c r="O19" s="357">
        <f t="shared" si="2"/>
        <v>0</v>
      </c>
      <c r="P19" s="361"/>
      <c r="Q19" s="360"/>
      <c r="R19" s="357">
        <f t="shared" si="3"/>
        <v>0</v>
      </c>
      <c r="S19" s="361"/>
      <c r="T19" s="360"/>
      <c r="U19" s="362">
        <f t="shared" si="4"/>
        <v>0</v>
      </c>
      <c r="V19" s="361"/>
      <c r="W19" s="360"/>
      <c r="X19" s="357">
        <f t="shared" si="5"/>
        <v>0</v>
      </c>
      <c r="Y19" s="361"/>
      <c r="Z19" s="360"/>
      <c r="AA19" s="357">
        <f t="shared" si="6"/>
        <v>0</v>
      </c>
      <c r="AB19" s="361"/>
      <c r="AC19" s="360"/>
      <c r="AD19" s="357">
        <f t="shared" si="7"/>
        <v>0</v>
      </c>
      <c r="AE19" s="361"/>
      <c r="AF19" s="360"/>
      <c r="AG19" s="357">
        <f t="shared" si="8"/>
        <v>0</v>
      </c>
      <c r="AH19" s="359">
        <v>2</v>
      </c>
      <c r="AI19" s="358">
        <v>0.04</v>
      </c>
      <c r="AJ19" s="357">
        <f t="shared" si="9"/>
        <v>0.08</v>
      </c>
      <c r="AK19" s="359">
        <v>12</v>
      </c>
      <c r="AL19" s="358"/>
      <c r="AM19" s="357">
        <f t="shared" si="10"/>
        <v>0</v>
      </c>
      <c r="AN19" s="340">
        <f t="shared" si="11"/>
        <v>0.08</v>
      </c>
    </row>
    <row r="20" spans="1:89">
      <c r="B20" s="1198"/>
      <c r="C20" s="356" t="str">
        <f>'2022'!AI21</f>
        <v>CPTS11</v>
      </c>
      <c r="D20" s="361"/>
      <c r="E20" s="360"/>
      <c r="F20" s="357">
        <f t="shared" si="12"/>
        <v>0</v>
      </c>
      <c r="G20" s="361"/>
      <c r="H20" s="360"/>
      <c r="I20" s="362">
        <f t="shared" si="0"/>
        <v>0</v>
      </c>
      <c r="J20" s="361"/>
      <c r="K20" s="360"/>
      <c r="L20" s="357">
        <f t="shared" si="1"/>
        <v>0</v>
      </c>
      <c r="M20" s="361"/>
      <c r="N20" s="360"/>
      <c r="O20" s="357">
        <f t="shared" si="2"/>
        <v>0</v>
      </c>
      <c r="P20" s="361"/>
      <c r="Q20" s="360"/>
      <c r="R20" s="357">
        <f t="shared" si="3"/>
        <v>0</v>
      </c>
      <c r="S20" s="361"/>
      <c r="T20" s="360"/>
      <c r="U20" s="362">
        <f t="shared" si="4"/>
        <v>0</v>
      </c>
      <c r="V20" s="361"/>
      <c r="W20" s="360"/>
      <c r="X20" s="357">
        <f t="shared" si="5"/>
        <v>0</v>
      </c>
      <c r="Y20" s="361"/>
      <c r="Z20" s="360"/>
      <c r="AA20" s="357">
        <f t="shared" si="6"/>
        <v>0</v>
      </c>
      <c r="AB20" s="361"/>
      <c r="AC20" s="360"/>
      <c r="AD20" s="357">
        <f t="shared" si="7"/>
        <v>0</v>
      </c>
      <c r="AE20" s="361"/>
      <c r="AF20" s="360"/>
      <c r="AG20" s="357">
        <f t="shared" si="8"/>
        <v>0</v>
      </c>
      <c r="AH20" s="359">
        <v>1</v>
      </c>
      <c r="AI20" s="358">
        <v>0.85</v>
      </c>
      <c r="AJ20" s="357">
        <f t="shared" si="9"/>
        <v>0.85</v>
      </c>
      <c r="AK20" s="359">
        <v>1</v>
      </c>
      <c r="AL20" s="358"/>
      <c r="AM20" s="357">
        <f t="shared" si="10"/>
        <v>0</v>
      </c>
      <c r="AN20" s="340">
        <f t="shared" si="11"/>
        <v>0.85</v>
      </c>
    </row>
    <row r="21" spans="1:89" ht="15.75" thickBot="1">
      <c r="B21" s="1199"/>
      <c r="C21" s="356" t="str">
        <f>'2022'!AN21</f>
        <v>URPR11</v>
      </c>
      <c r="D21" s="354"/>
      <c r="E21" s="353"/>
      <c r="F21" s="350">
        <f t="shared" si="12"/>
        <v>0</v>
      </c>
      <c r="G21" s="354"/>
      <c r="H21" s="353"/>
      <c r="I21" s="355">
        <f t="shared" si="0"/>
        <v>0</v>
      </c>
      <c r="J21" s="354"/>
      <c r="K21" s="353"/>
      <c r="L21" s="350">
        <f t="shared" si="1"/>
        <v>0</v>
      </c>
      <c r="M21" s="354"/>
      <c r="N21" s="353"/>
      <c r="O21" s="350">
        <f t="shared" si="2"/>
        <v>0</v>
      </c>
      <c r="P21" s="354"/>
      <c r="Q21" s="353"/>
      <c r="R21" s="350">
        <f t="shared" si="3"/>
        <v>0</v>
      </c>
      <c r="S21" s="354"/>
      <c r="T21" s="353"/>
      <c r="U21" s="355">
        <f t="shared" si="4"/>
        <v>0</v>
      </c>
      <c r="V21" s="354"/>
      <c r="W21" s="353"/>
      <c r="X21" s="350">
        <f t="shared" si="5"/>
        <v>0</v>
      </c>
      <c r="Y21" s="354"/>
      <c r="Z21" s="353"/>
      <c r="AA21" s="350">
        <f t="shared" si="6"/>
        <v>0</v>
      </c>
      <c r="AB21" s="354"/>
      <c r="AC21" s="353"/>
      <c r="AD21" s="350">
        <f t="shared" si="7"/>
        <v>0</v>
      </c>
      <c r="AE21" s="354"/>
      <c r="AF21" s="353"/>
      <c r="AG21" s="350">
        <f t="shared" si="8"/>
        <v>0</v>
      </c>
      <c r="AH21" s="352">
        <v>1</v>
      </c>
      <c r="AI21" s="351">
        <v>1.1299999999999999</v>
      </c>
      <c r="AJ21" s="350">
        <f t="shared" si="9"/>
        <v>1.1299999999999999</v>
      </c>
      <c r="AK21" s="352">
        <v>1</v>
      </c>
      <c r="AL21" s="351"/>
      <c r="AM21" s="350">
        <f t="shared" si="10"/>
        <v>0</v>
      </c>
      <c r="AN21" s="340">
        <f t="shared" si="11"/>
        <v>1.1299999999999999</v>
      </c>
    </row>
    <row r="22" spans="1:89" s="343" customFormat="1">
      <c r="A22" s="344"/>
      <c r="B22" s="349"/>
      <c r="C22" s="348"/>
      <c r="D22" s="347">
        <f>SUM(D6:D21)</f>
        <v>0</v>
      </c>
      <c r="E22" s="346"/>
      <c r="F22" s="345">
        <f>SUM(F6:F21)</f>
        <v>0</v>
      </c>
      <c r="G22" s="347">
        <f>SUM(G6:G21)</f>
        <v>0</v>
      </c>
      <c r="H22" s="346"/>
      <c r="I22" s="345">
        <f>SUM(I6:I21)</f>
        <v>0</v>
      </c>
      <c r="J22" s="347">
        <f>SUM(J6:J21)</f>
        <v>6</v>
      </c>
      <c r="K22" s="346"/>
      <c r="L22" s="345">
        <f>SUM(L6:L21)</f>
        <v>1.1099999999999999</v>
      </c>
      <c r="M22" s="347">
        <f>SUM(M6:M21)</f>
        <v>6</v>
      </c>
      <c r="N22" s="346"/>
      <c r="O22" s="345">
        <f>SUM(O6:O21)</f>
        <v>1.1600000000000001</v>
      </c>
      <c r="P22" s="347">
        <f>SUM(P6:P21)</f>
        <v>6</v>
      </c>
      <c r="Q22" s="346"/>
      <c r="R22" s="345">
        <f>SUM(R6:R21)</f>
        <v>1.21</v>
      </c>
      <c r="S22" s="347">
        <f>SUM(S6:S21)</f>
        <v>7</v>
      </c>
      <c r="T22" s="346"/>
      <c r="U22" s="345">
        <f>SUM(U6:U21)</f>
        <v>1.34</v>
      </c>
      <c r="V22" s="347">
        <f>SUM(V6:V21)</f>
        <v>7</v>
      </c>
      <c r="W22" s="346"/>
      <c r="X22" s="345">
        <f>SUM(X6:X21)</f>
        <v>1.3</v>
      </c>
      <c r="Y22" s="347">
        <f>SUM(Y6:Y21)</f>
        <v>24</v>
      </c>
      <c r="Z22" s="346"/>
      <c r="AA22" s="345">
        <f>SUM(AA6:AA21)</f>
        <v>4.3599999999999994</v>
      </c>
      <c r="AB22" s="347">
        <f>SUM(AB6:AB21)</f>
        <v>19</v>
      </c>
      <c r="AC22" s="346"/>
      <c r="AD22" s="345">
        <f>SUM(AD6:AD21)</f>
        <v>5.0599999999999996</v>
      </c>
      <c r="AE22" s="347">
        <f>SUM(AE6:AE21)</f>
        <v>28</v>
      </c>
      <c r="AF22" s="346"/>
      <c r="AG22" s="345">
        <f>SUM(AG6:AG21)</f>
        <v>5.29</v>
      </c>
      <c r="AH22" s="347">
        <f>SUM(AH6:AH21)</f>
        <v>44</v>
      </c>
      <c r="AI22" s="346"/>
      <c r="AJ22" s="345">
        <f>SUM(AJ6:AJ21)</f>
        <v>8.31</v>
      </c>
      <c r="AK22" s="347">
        <f>SUM(AK6:AK21)</f>
        <v>54</v>
      </c>
      <c r="AL22" s="346"/>
      <c r="AM22" s="345">
        <f>SUM(AM6:AM21)</f>
        <v>0</v>
      </c>
      <c r="AN22" s="344"/>
      <c r="AO22" s="344"/>
      <c r="AP22" s="344"/>
      <c r="AQ22" s="344"/>
      <c r="AR22" s="344"/>
      <c r="AS22" s="344"/>
      <c r="AT22" s="344"/>
      <c r="AU22" s="344"/>
      <c r="AV22" s="344"/>
      <c r="AW22" s="344"/>
      <c r="AX22" s="344"/>
      <c r="AY22" s="344"/>
      <c r="AZ22" s="344"/>
      <c r="BA22" s="344"/>
      <c r="BB22" s="344"/>
      <c r="BC22" s="344"/>
      <c r="BD22" s="344"/>
      <c r="BE22" s="344"/>
      <c r="BF22" s="344"/>
      <c r="BG22" s="344"/>
      <c r="BH22" s="344"/>
      <c r="BI22" s="344"/>
      <c r="BJ22" s="344"/>
      <c r="BK22" s="344"/>
      <c r="BL22" s="344"/>
      <c r="BM22" s="344"/>
      <c r="BN22" s="344"/>
      <c r="BO22" s="344"/>
      <c r="BP22" s="344"/>
      <c r="BQ22" s="344"/>
      <c r="BR22" s="344"/>
      <c r="BS22" s="344"/>
      <c r="BT22" s="344"/>
      <c r="BU22" s="344"/>
      <c r="BV22" s="344"/>
      <c r="BW22" s="344"/>
      <c r="BX22" s="344"/>
      <c r="BY22" s="344"/>
      <c r="BZ22" s="344"/>
      <c r="CA22" s="344"/>
      <c r="CB22" s="344"/>
      <c r="CC22" s="344"/>
      <c r="CD22" s="344"/>
      <c r="CE22" s="344"/>
      <c r="CF22" s="344"/>
      <c r="CG22" s="344"/>
      <c r="CH22" s="344"/>
      <c r="CI22" s="344"/>
      <c r="CJ22" s="344"/>
      <c r="CK22" s="344"/>
    </row>
    <row r="23" spans="1:89" s="336" customFormat="1">
      <c r="D23" s="337"/>
      <c r="E23" s="342" t="s">
        <v>10</v>
      </c>
      <c r="F23" s="342" t="s">
        <v>11</v>
      </c>
      <c r="G23" s="342" t="s">
        <v>12</v>
      </c>
      <c r="H23" s="342" t="s">
        <v>13</v>
      </c>
      <c r="I23" s="342" t="s">
        <v>14</v>
      </c>
      <c r="J23" s="342" t="s">
        <v>15</v>
      </c>
      <c r="K23" s="342" t="s">
        <v>16</v>
      </c>
      <c r="L23" s="342" t="s">
        <v>17</v>
      </c>
      <c r="M23" s="342" t="s">
        <v>18</v>
      </c>
      <c r="N23" s="342" t="s">
        <v>19</v>
      </c>
      <c r="O23" s="342" t="s">
        <v>20</v>
      </c>
      <c r="P23" s="342" t="s">
        <v>21</v>
      </c>
      <c r="Q23" s="341"/>
      <c r="T23" s="341"/>
      <c r="W23" s="341"/>
      <c r="Z23" s="341"/>
      <c r="AC23" s="341"/>
      <c r="AF23" s="341"/>
      <c r="AI23" s="341"/>
      <c r="AL23" s="341"/>
    </row>
    <row r="24" spans="1:89" s="336" customFormat="1"/>
    <row r="25" spans="1:89" s="336" customFormat="1">
      <c r="B25" s="1193" t="s">
        <v>250</v>
      </c>
      <c r="C25" s="1193"/>
    </row>
    <row r="26" spans="1:89" s="336" customFormat="1">
      <c r="B26" s="1193"/>
      <c r="C26" s="1193"/>
      <c r="Z26" s="1193" t="s">
        <v>249</v>
      </c>
      <c r="AA26" s="1193"/>
      <c r="AF26" s="336" t="s">
        <v>248</v>
      </c>
      <c r="AG26" s="339">
        <v>44791</v>
      </c>
      <c r="AH26" s="336">
        <v>9</v>
      </c>
      <c r="AI26" s="338">
        <v>5.19</v>
      </c>
      <c r="AJ26" s="340">
        <f>AI26*AH26</f>
        <v>46.71</v>
      </c>
    </row>
    <row r="27" spans="1:89" s="336" customFormat="1">
      <c r="B27" s="1193"/>
      <c r="C27" s="1193"/>
      <c r="Z27" s="1193"/>
      <c r="AA27" s="1193"/>
      <c r="AF27" s="336" t="s">
        <v>248</v>
      </c>
      <c r="AG27" s="339">
        <v>44889</v>
      </c>
      <c r="AH27" s="338">
        <v>0.42</v>
      </c>
    </row>
    <row r="28" spans="1:89" s="336" customFormat="1">
      <c r="B28" s="1193"/>
      <c r="C28" s="1193"/>
      <c r="Z28" s="1193"/>
      <c r="AA28" s="1193"/>
    </row>
    <row r="29" spans="1:89" s="336" customFormat="1">
      <c r="B29" s="1193"/>
      <c r="C29" s="1193"/>
      <c r="Z29" s="1193"/>
      <c r="AA29" s="1193"/>
    </row>
    <row r="30" spans="1:89" s="336" customFormat="1">
      <c r="Z30" s="1193"/>
      <c r="AA30" s="1193"/>
    </row>
    <row r="31" spans="1:89" s="336" customFormat="1"/>
    <row r="32" spans="1:89" s="336" customFormat="1"/>
    <row r="33" spans="2:3" s="336" customFormat="1"/>
    <row r="34" spans="2:3" s="336" customFormat="1"/>
    <row r="35" spans="2:3" s="336" customFormat="1"/>
    <row r="36" spans="2:3" s="336" customFormat="1">
      <c r="B36" s="1193" t="s">
        <v>247</v>
      </c>
      <c r="C36" s="1193"/>
    </row>
    <row r="37" spans="2:3" s="336" customFormat="1">
      <c r="B37" s="1193"/>
      <c r="C37" s="1193"/>
    </row>
    <row r="38" spans="2:3" s="336" customFormat="1">
      <c r="B38" s="1193"/>
      <c r="C38" s="1193"/>
    </row>
    <row r="39" spans="2:3" s="336" customFormat="1">
      <c r="B39" s="1193"/>
      <c r="C39" s="1193"/>
    </row>
    <row r="40" spans="2:3" s="336" customFormat="1">
      <c r="B40" s="1193"/>
      <c r="C40" s="1193"/>
    </row>
    <row r="41" spans="2:3" s="336" customFormat="1">
      <c r="B41" s="1193"/>
      <c r="C41" s="1193"/>
    </row>
    <row r="42" spans="2:3" s="336" customFormat="1">
      <c r="B42" s="1193"/>
      <c r="C42" s="1193"/>
    </row>
    <row r="43" spans="2:3" s="336" customFormat="1">
      <c r="B43" s="1193"/>
      <c r="C43" s="1193"/>
    </row>
    <row r="44" spans="2:3" s="336" customFormat="1"/>
    <row r="45" spans="2:3" s="336" customFormat="1"/>
    <row r="46" spans="2:3" s="336" customFormat="1"/>
    <row r="47" spans="2:3" s="336" customFormat="1"/>
    <row r="48" spans="2:3" s="336" customFormat="1"/>
    <row r="49" spans="2:3" s="336" customFormat="1"/>
    <row r="50" spans="2:3" s="336" customFormat="1"/>
    <row r="51" spans="2:3" s="336" customFormat="1"/>
    <row r="52" spans="2:3" s="336" customFormat="1"/>
    <row r="53" spans="2:3" s="336" customFormat="1"/>
    <row r="54" spans="2:3" s="336" customFormat="1"/>
    <row r="55" spans="2:3" s="336" customFormat="1"/>
    <row r="56" spans="2:3" s="336" customFormat="1"/>
    <row r="57" spans="2:3" s="336" customFormat="1">
      <c r="B57" s="1193" t="s">
        <v>246</v>
      </c>
      <c r="C57" s="1193"/>
    </row>
    <row r="58" spans="2:3" s="336" customFormat="1">
      <c r="B58" s="1193"/>
      <c r="C58" s="1193"/>
    </row>
    <row r="59" spans="2:3" s="336" customFormat="1">
      <c r="B59" s="1193"/>
      <c r="C59" s="1193"/>
    </row>
    <row r="60" spans="2:3" s="336" customFormat="1">
      <c r="B60" s="1193"/>
      <c r="C60" s="1193"/>
    </row>
    <row r="61" spans="2:3" s="336" customFormat="1">
      <c r="B61" s="1193"/>
      <c r="C61" s="1193"/>
    </row>
    <row r="62" spans="2:3" s="336" customFormat="1">
      <c r="B62" s="1193"/>
      <c r="C62" s="1193"/>
    </row>
    <row r="63" spans="2:3" s="336" customFormat="1">
      <c r="B63" s="1193"/>
      <c r="C63" s="1193"/>
    </row>
    <row r="64" spans="2:3" s="336" customFormat="1">
      <c r="B64" s="1193"/>
      <c r="C64" s="1193"/>
    </row>
    <row r="65" spans="5:16" s="336" customFormat="1"/>
    <row r="66" spans="5:16" s="336" customFormat="1"/>
    <row r="67" spans="5:16" s="336" customFormat="1"/>
    <row r="68" spans="5:16" s="336" customFormat="1"/>
    <row r="69" spans="5:16" s="336" customFormat="1"/>
    <row r="70" spans="5:16" s="336" customFormat="1"/>
    <row r="71" spans="5:16" s="336" customFormat="1">
      <c r="E71" s="337" t="s">
        <v>10</v>
      </c>
      <c r="F71" s="337" t="s">
        <v>11</v>
      </c>
      <c r="G71" s="337" t="s">
        <v>12</v>
      </c>
      <c r="H71" s="337" t="s">
        <v>13</v>
      </c>
      <c r="I71" s="337" t="s">
        <v>14</v>
      </c>
      <c r="J71" s="337" t="s">
        <v>15</v>
      </c>
      <c r="K71" s="337" t="s">
        <v>16</v>
      </c>
      <c r="L71" s="337" t="s">
        <v>17</v>
      </c>
      <c r="M71" s="337" t="s">
        <v>18</v>
      </c>
      <c r="N71" s="337" t="s">
        <v>19</v>
      </c>
      <c r="O71" s="337" t="s">
        <v>20</v>
      </c>
      <c r="P71" s="337" t="s">
        <v>21</v>
      </c>
    </row>
    <row r="72" spans="5:16" s="336" customFormat="1"/>
    <row r="73" spans="5:16" s="336" customFormat="1"/>
    <row r="74" spans="5:16" s="336" customFormat="1"/>
    <row r="75" spans="5:16" s="336" customFormat="1"/>
    <row r="76" spans="5:16" s="336" customFormat="1"/>
    <row r="77" spans="5:16" s="336" customFormat="1"/>
    <row r="78" spans="5:16" s="336" customFormat="1"/>
    <row r="79" spans="5:16" s="336" customFormat="1"/>
    <row r="80" spans="5:16" s="336" customFormat="1"/>
    <row r="81" s="336" customFormat="1"/>
    <row r="82" s="336" customFormat="1"/>
    <row r="83" s="336" customFormat="1"/>
    <row r="84" s="336" customFormat="1"/>
    <row r="85" s="336" customFormat="1"/>
    <row r="86" s="336" customFormat="1"/>
    <row r="87" s="336" customFormat="1"/>
    <row r="88" s="336" customFormat="1"/>
    <row r="89" s="336" customFormat="1"/>
    <row r="90" s="336" customFormat="1"/>
    <row r="91" s="336" customFormat="1"/>
    <row r="92" s="336" customFormat="1"/>
    <row r="93" s="336" customFormat="1"/>
    <row r="94" s="336" customFormat="1"/>
    <row r="95" s="336" customFormat="1"/>
    <row r="96" s="336" customFormat="1"/>
    <row r="97" s="336" customFormat="1"/>
    <row r="98" s="336" customFormat="1"/>
    <row r="99" s="336" customFormat="1"/>
    <row r="100" s="336" customFormat="1"/>
    <row r="101" s="336" customFormat="1"/>
    <row r="102" s="336" customFormat="1"/>
    <row r="103" s="336" customFormat="1"/>
    <row r="104" s="336" customFormat="1"/>
    <row r="105" s="336" customFormat="1"/>
    <row r="106" s="336" customFormat="1"/>
    <row r="107" s="336" customFormat="1"/>
    <row r="108" s="336" customFormat="1"/>
    <row r="109" s="336" customFormat="1"/>
    <row r="110" s="336" customFormat="1"/>
    <row r="111" s="336" customFormat="1"/>
    <row r="112" s="336" customFormat="1"/>
    <row r="113" s="336" customFormat="1"/>
    <row r="114" s="336" customFormat="1"/>
    <row r="115" s="336" customFormat="1"/>
    <row r="116" s="336" customFormat="1"/>
    <row r="117" s="336" customFormat="1"/>
    <row r="118" s="336" customFormat="1"/>
    <row r="119" s="336" customFormat="1"/>
    <row r="120" s="336" customFormat="1"/>
    <row r="121" s="336" customFormat="1"/>
    <row r="122" s="336" customFormat="1"/>
    <row r="123" s="336" customFormat="1"/>
    <row r="124" s="336" customFormat="1"/>
    <row r="125" s="336" customFormat="1"/>
    <row r="126" s="336" customFormat="1"/>
    <row r="127" s="336" customFormat="1"/>
    <row r="128" s="336" customFormat="1"/>
    <row r="129" s="336" customFormat="1"/>
    <row r="130" s="336" customFormat="1"/>
    <row r="131" s="336" customFormat="1"/>
    <row r="132" s="336" customFormat="1"/>
    <row r="133" s="336" customFormat="1"/>
    <row r="134" s="336" customFormat="1"/>
    <row r="135" s="336" customFormat="1"/>
    <row r="136" s="336" customFormat="1"/>
    <row r="137" s="336" customFormat="1"/>
    <row r="138" s="336" customFormat="1"/>
    <row r="139" s="336" customFormat="1"/>
    <row r="140" s="336" customFormat="1"/>
    <row r="141" s="336" customFormat="1"/>
    <row r="142" s="336" customFormat="1"/>
    <row r="143" s="336" customFormat="1"/>
    <row r="144" s="336" customFormat="1"/>
    <row r="145" s="336" customFormat="1"/>
    <row r="146" s="336" customFormat="1"/>
    <row r="147" s="336" customFormat="1"/>
    <row r="148" s="336" customFormat="1"/>
    <row r="149" s="336" customFormat="1"/>
    <row r="150" s="336" customFormat="1"/>
    <row r="151" s="336" customFormat="1"/>
    <row r="152" s="336" customFormat="1"/>
    <row r="153" s="336" customFormat="1"/>
    <row r="154" s="336" customFormat="1"/>
    <row r="155" s="336" customFormat="1"/>
    <row r="156" s="336" customFormat="1"/>
    <row r="157" s="336" customFormat="1"/>
    <row r="158" s="336" customFormat="1"/>
    <row r="159" s="336" customFormat="1"/>
    <row r="160" s="336" customFormat="1"/>
    <row r="161" s="336" customFormat="1"/>
    <row r="162" s="336" customFormat="1"/>
    <row r="163" s="336" customFormat="1"/>
    <row r="164" s="336" customFormat="1"/>
    <row r="165" s="336" customFormat="1"/>
    <row r="166" s="336" customFormat="1"/>
    <row r="167" s="336" customFormat="1"/>
    <row r="168" s="336" customFormat="1"/>
    <row r="169" s="336" customFormat="1"/>
    <row r="170" s="336" customFormat="1"/>
    <row r="171" s="336" customFormat="1"/>
    <row r="172" s="336" customFormat="1"/>
    <row r="173" s="336" customFormat="1"/>
    <row r="174" s="336" customFormat="1"/>
    <row r="175" s="336" customFormat="1"/>
    <row r="176" s="336" customFormat="1"/>
    <row r="177" s="336" customFormat="1"/>
    <row r="178" s="336" customFormat="1"/>
    <row r="179" s="336" customFormat="1"/>
    <row r="180" s="336" customFormat="1"/>
    <row r="181" s="336" customFormat="1"/>
    <row r="182" s="336" customFormat="1"/>
    <row r="183" s="336" customFormat="1"/>
    <row r="184" s="336" customFormat="1"/>
  </sheetData>
  <mergeCells count="23">
    <mergeCell ref="AK4:AM4"/>
    <mergeCell ref="B3:AM3"/>
    <mergeCell ref="C4:C5"/>
    <mergeCell ref="B4:B5"/>
    <mergeCell ref="P4:R4"/>
    <mergeCell ref="S4:U4"/>
    <mergeCell ref="V4:X4"/>
    <mergeCell ref="Y4:AA4"/>
    <mergeCell ref="AB4:AD4"/>
    <mergeCell ref="AE4:AG4"/>
    <mergeCell ref="B36:C43"/>
    <mergeCell ref="B25:C29"/>
    <mergeCell ref="Z26:AA30"/>
    <mergeCell ref="B57:C64"/>
    <mergeCell ref="AH4:AJ4"/>
    <mergeCell ref="B6:B9"/>
    <mergeCell ref="B10:B13"/>
    <mergeCell ref="B14:B17"/>
    <mergeCell ref="B18:B21"/>
    <mergeCell ref="G4:I4"/>
    <mergeCell ref="J4:L4"/>
    <mergeCell ref="M4:O4"/>
    <mergeCell ref="D4:F4"/>
  </mergeCells>
  <conditionalFormatting sqref="B18:B21">
    <cfRule type="expression" dxfId="58" priority="35">
      <formula>B18=0</formula>
    </cfRule>
  </conditionalFormatting>
  <conditionalFormatting sqref="F6">
    <cfRule type="expression" dxfId="57" priority="34">
      <formula>F6=0</formula>
    </cfRule>
  </conditionalFormatting>
  <conditionalFormatting sqref="F7:F21">
    <cfRule type="expression" dxfId="56" priority="33">
      <formula>F7=0</formula>
    </cfRule>
  </conditionalFormatting>
  <conditionalFormatting sqref="L6:L21">
    <cfRule type="expression" dxfId="55" priority="32">
      <formula>L6=0</formula>
    </cfRule>
  </conditionalFormatting>
  <conditionalFormatting sqref="I6:I21">
    <cfRule type="expression" dxfId="54" priority="31">
      <formula>I6=0</formula>
    </cfRule>
  </conditionalFormatting>
  <conditionalFormatting sqref="O6:O21">
    <cfRule type="expression" dxfId="53" priority="30">
      <formula>O6=0</formula>
    </cfRule>
  </conditionalFormatting>
  <conditionalFormatting sqref="R6:R21">
    <cfRule type="expression" dxfId="52" priority="29">
      <formula>R6=0</formula>
    </cfRule>
  </conditionalFormatting>
  <conditionalFormatting sqref="U6:U21">
    <cfRule type="expression" dxfId="51" priority="28">
      <formula>U6=0</formula>
    </cfRule>
  </conditionalFormatting>
  <conditionalFormatting sqref="X6:X21">
    <cfRule type="expression" dxfId="50" priority="27">
      <formula>X6=0</formula>
    </cfRule>
  </conditionalFormatting>
  <conditionalFormatting sqref="AA6:AA21">
    <cfRule type="expression" dxfId="49" priority="26">
      <formula>AA6=0</formula>
    </cfRule>
  </conditionalFormatting>
  <conditionalFormatting sqref="AD6:AD21">
    <cfRule type="expression" dxfId="48" priority="25">
      <formula>AD6=0</formula>
    </cfRule>
  </conditionalFormatting>
  <conditionalFormatting sqref="AG6:AG21">
    <cfRule type="expression" dxfId="47" priority="24">
      <formula>AG6=0</formula>
    </cfRule>
  </conditionalFormatting>
  <conditionalFormatting sqref="AJ6:AJ21">
    <cfRule type="expression" dxfId="46" priority="23">
      <formula>AJ6=0</formula>
    </cfRule>
  </conditionalFormatting>
  <conditionalFormatting sqref="AM6:AM21">
    <cfRule type="expression" dxfId="45" priority="22">
      <formula>AM6=0</formula>
    </cfRule>
  </conditionalFormatting>
  <conditionalFormatting sqref="AM22">
    <cfRule type="expression" dxfId="44" priority="21">
      <formula>AM22=0</formula>
    </cfRule>
  </conditionalFormatting>
  <conditionalFormatting sqref="AJ22:AK22">
    <cfRule type="expression" dxfId="43" priority="20">
      <formula>AJ22=0</formula>
    </cfRule>
  </conditionalFormatting>
  <conditionalFormatting sqref="AG22:AH22">
    <cfRule type="expression" dxfId="42" priority="19">
      <formula>AG22=0</formula>
    </cfRule>
  </conditionalFormatting>
  <conditionalFormatting sqref="AD22:AE22">
    <cfRule type="expression" dxfId="41" priority="18">
      <formula>AD22=0</formula>
    </cfRule>
  </conditionalFormatting>
  <conditionalFormatting sqref="AA22:AB22">
    <cfRule type="expression" dxfId="40" priority="17">
      <formula>AA22=0</formula>
    </cfRule>
  </conditionalFormatting>
  <conditionalFormatting sqref="X22:Y22">
    <cfRule type="expression" dxfId="39" priority="16">
      <formula>X22=0</formula>
    </cfRule>
  </conditionalFormatting>
  <conditionalFormatting sqref="X22:Y22">
    <cfRule type="expression" dxfId="38" priority="15">
      <formula>X22=0</formula>
    </cfRule>
  </conditionalFormatting>
  <conditionalFormatting sqref="U22:V22">
    <cfRule type="expression" dxfId="37" priority="14">
      <formula>U22=0</formula>
    </cfRule>
  </conditionalFormatting>
  <conditionalFormatting sqref="U22:V22">
    <cfRule type="expression" dxfId="36" priority="13">
      <formula>U22=0</formula>
    </cfRule>
  </conditionalFormatting>
  <conditionalFormatting sqref="R22:S22">
    <cfRule type="expression" dxfId="35" priority="12">
      <formula>R22=0</formula>
    </cfRule>
  </conditionalFormatting>
  <conditionalFormatting sqref="R22:S22">
    <cfRule type="expression" dxfId="34" priority="11">
      <formula>R22=0</formula>
    </cfRule>
  </conditionalFormatting>
  <conditionalFormatting sqref="O22:P22">
    <cfRule type="expression" dxfId="33" priority="10">
      <formula>O22=0</formula>
    </cfRule>
  </conditionalFormatting>
  <conditionalFormatting sqref="O22:P22">
    <cfRule type="expression" dxfId="32" priority="9">
      <formula>O22=0</formula>
    </cfRule>
  </conditionalFormatting>
  <conditionalFormatting sqref="L22:M22">
    <cfRule type="expression" dxfId="31" priority="8">
      <formula>L22=0</formula>
    </cfRule>
  </conditionalFormatting>
  <conditionalFormatting sqref="L22:M22">
    <cfRule type="expression" dxfId="30" priority="7">
      <formula>L22=0</formula>
    </cfRule>
  </conditionalFormatting>
  <conditionalFormatting sqref="I22:J22">
    <cfRule type="expression" dxfId="29" priority="6">
      <formula>I22=0</formula>
    </cfRule>
  </conditionalFormatting>
  <conditionalFormatting sqref="I22:J22">
    <cfRule type="expression" dxfId="28" priority="5">
      <formula>I22=0</formula>
    </cfRule>
  </conditionalFormatting>
  <conditionalFormatting sqref="F22:G22">
    <cfRule type="expression" dxfId="27" priority="4">
      <formula>F22=0</formula>
    </cfRule>
  </conditionalFormatting>
  <conditionalFormatting sqref="F22:G22">
    <cfRule type="expression" dxfId="26" priority="3">
      <formula>F22=0</formula>
    </cfRule>
  </conditionalFormatting>
  <conditionalFormatting sqref="D22">
    <cfRule type="expression" dxfId="25" priority="2">
      <formula>D22=0</formula>
    </cfRule>
  </conditionalFormatting>
  <conditionalFormatting sqref="D22">
    <cfRule type="expression" dxfId="24" priority="1">
      <formula>D22=0</formula>
    </cfRule>
  </conditionalFormatting>
  <pageMargins left="0.511811024" right="0.511811024" top="0.78740157499999996" bottom="0.78740157499999996" header="0.31496062000000002" footer="0.31496062000000002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X201"/>
  <sheetViews>
    <sheetView topLeftCell="P1" workbookViewId="0">
      <selection activeCell="U17" sqref="U17"/>
    </sheetView>
  </sheetViews>
  <sheetFormatPr defaultRowHeight="15"/>
  <cols>
    <col min="1" max="1" width="3" style="275" customWidth="1"/>
    <col min="2" max="2" width="2.5703125" style="1" customWidth="1"/>
    <col min="3" max="3" width="9.140625" style="1"/>
    <col min="4" max="4" width="9.5703125" style="1" bestFit="1" customWidth="1"/>
    <col min="5" max="5" width="9.5703125" style="169" customWidth="1"/>
    <col min="6" max="6" width="10.5703125" style="169" bestFit="1" customWidth="1"/>
    <col min="7" max="7" width="2.5703125" style="1" customWidth="1"/>
    <col min="8" max="9" width="9.5703125" style="1" bestFit="1" customWidth="1"/>
    <col min="10" max="10" width="9.5703125" style="169" customWidth="1"/>
    <col min="11" max="11" width="10.5703125" style="169" bestFit="1" customWidth="1"/>
    <col min="12" max="12" width="2.5703125" style="1" customWidth="1"/>
    <col min="13" max="13" width="9.140625" style="1"/>
    <col min="14" max="14" width="9.5703125" style="1" bestFit="1" customWidth="1"/>
    <col min="15" max="15" width="9.5703125" style="169" customWidth="1"/>
    <col min="16" max="16" width="10.5703125" style="169" bestFit="1" customWidth="1"/>
    <col min="17" max="17" width="2.5703125" style="1" customWidth="1"/>
    <col min="18" max="18" width="9.140625" style="1"/>
    <col min="19" max="19" width="9.5703125" style="1" bestFit="1" customWidth="1"/>
    <col min="20" max="20" width="9.5703125" style="169" customWidth="1"/>
    <col min="21" max="21" width="10.5703125" style="169" bestFit="1" customWidth="1"/>
    <col min="22" max="24" width="2.5703125" style="1" customWidth="1"/>
    <col min="25" max="25" width="9.140625" style="1"/>
    <col min="26" max="26" width="9.5703125" style="1" bestFit="1" customWidth="1"/>
    <col min="27" max="28" width="10.5703125" style="169" bestFit="1" customWidth="1"/>
    <col min="29" max="29" width="2.5703125" style="1" customWidth="1"/>
    <col min="30" max="30" width="9.140625" style="1"/>
    <col min="31" max="31" width="9.5703125" style="1" bestFit="1" customWidth="1"/>
    <col min="32" max="32" width="9.5703125" style="169" customWidth="1"/>
    <col min="33" max="33" width="10.5703125" style="169" bestFit="1" customWidth="1"/>
    <col min="34" max="34" width="2.5703125" style="1" customWidth="1"/>
    <col min="35" max="35" width="9.140625" style="1"/>
    <col min="36" max="36" width="9.5703125" style="1" bestFit="1" customWidth="1"/>
    <col min="37" max="37" width="9.5703125" style="169" customWidth="1"/>
    <col min="38" max="38" width="10.5703125" style="169" bestFit="1" customWidth="1"/>
    <col min="39" max="39" width="2.5703125" style="1" customWidth="1"/>
    <col min="40" max="40" width="9.140625" style="1"/>
    <col min="41" max="41" width="9.5703125" style="1" bestFit="1" customWidth="1"/>
    <col min="42" max="42" width="10.7109375" style="169" bestFit="1" customWidth="1"/>
    <col min="43" max="43" width="10.5703125" style="169" bestFit="1" customWidth="1"/>
    <col min="44" max="44" width="2.5703125" style="1" customWidth="1"/>
    <col min="45" max="50" width="9.140625" style="275"/>
    <col min="51" max="16384" width="9.140625" style="1"/>
  </cols>
  <sheetData>
    <row r="1" spans="2:44" s="275" customFormat="1">
      <c r="E1" s="276"/>
      <c r="F1" s="276"/>
      <c r="J1" s="276"/>
      <c r="K1" s="276"/>
      <c r="O1" s="276"/>
      <c r="P1" s="276"/>
      <c r="T1" s="276"/>
      <c r="U1" s="276"/>
      <c r="AA1" s="276"/>
      <c r="AB1" s="276"/>
      <c r="AF1" s="276"/>
      <c r="AG1" s="276"/>
      <c r="AK1" s="276"/>
      <c r="AL1" s="276"/>
      <c r="AP1" s="276"/>
      <c r="AQ1" s="276"/>
    </row>
    <row r="2" spans="2:44" ht="15.75">
      <c r="B2" s="334"/>
      <c r="C2" s="914" t="s">
        <v>204</v>
      </c>
      <c r="D2" s="914"/>
      <c r="E2" s="914"/>
      <c r="F2" s="914"/>
      <c r="G2" s="914"/>
      <c r="H2" s="914"/>
      <c r="I2" s="914"/>
      <c r="J2" s="914"/>
      <c r="K2" s="914"/>
      <c r="L2" s="914"/>
      <c r="M2" s="914"/>
      <c r="N2" s="914"/>
      <c r="O2" s="914"/>
      <c r="P2" s="914"/>
      <c r="Q2" s="914"/>
      <c r="R2" s="914"/>
      <c r="S2" s="914"/>
      <c r="T2" s="914"/>
      <c r="U2" s="914"/>
      <c r="V2" s="333"/>
      <c r="X2" s="332"/>
      <c r="Y2" s="915" t="s">
        <v>245</v>
      </c>
      <c r="Z2" s="916"/>
      <c r="AA2" s="916"/>
      <c r="AB2" s="916"/>
      <c r="AC2" s="917"/>
      <c r="AD2" s="916"/>
      <c r="AE2" s="916"/>
      <c r="AF2" s="916"/>
      <c r="AG2" s="916"/>
      <c r="AH2" s="917"/>
      <c r="AI2" s="916"/>
      <c r="AJ2" s="916"/>
      <c r="AK2" s="916"/>
      <c r="AL2" s="916"/>
      <c r="AM2" s="917"/>
      <c r="AN2" s="916"/>
      <c r="AO2" s="916"/>
      <c r="AP2" s="916"/>
      <c r="AQ2" s="918"/>
      <c r="AR2" s="331"/>
    </row>
    <row r="3" spans="2:44">
      <c r="B3" s="327"/>
      <c r="C3" s="912" t="s">
        <v>243</v>
      </c>
      <c r="D3" s="912"/>
      <c r="E3" s="912"/>
      <c r="F3" s="912"/>
      <c r="G3" s="329"/>
      <c r="H3" s="912" t="s">
        <v>242</v>
      </c>
      <c r="I3" s="912"/>
      <c r="J3" s="912"/>
      <c r="K3" s="912"/>
      <c r="L3" s="329"/>
      <c r="M3" s="912" t="s">
        <v>241</v>
      </c>
      <c r="N3" s="912"/>
      <c r="O3" s="912"/>
      <c r="P3" s="912"/>
      <c r="Q3" s="329"/>
      <c r="R3" s="912" t="s">
        <v>240</v>
      </c>
      <c r="S3" s="912"/>
      <c r="T3" s="912"/>
      <c r="U3" s="912"/>
      <c r="V3" s="325"/>
      <c r="X3" s="324"/>
      <c r="Y3" s="912" t="s">
        <v>239</v>
      </c>
      <c r="Z3" s="912"/>
      <c r="AA3" s="912"/>
      <c r="AB3" s="912"/>
      <c r="AC3" s="328"/>
      <c r="AD3" s="912"/>
      <c r="AE3" s="912"/>
      <c r="AF3" s="913"/>
      <c r="AG3" s="912"/>
      <c r="AH3" s="328"/>
      <c r="AI3" s="912"/>
      <c r="AJ3" s="912"/>
      <c r="AK3" s="913"/>
      <c r="AL3" s="912"/>
      <c r="AM3" s="328"/>
      <c r="AN3" s="912"/>
      <c r="AO3" s="912"/>
      <c r="AP3" s="913"/>
      <c r="AQ3" s="912"/>
      <c r="AR3" s="322"/>
    </row>
    <row r="4" spans="2:44">
      <c r="B4" s="327"/>
      <c r="C4" s="186" t="s">
        <v>1</v>
      </c>
      <c r="D4" s="186" t="s">
        <v>232</v>
      </c>
      <c r="E4" s="294" t="s">
        <v>231</v>
      </c>
      <c r="F4" s="294" t="s">
        <v>230</v>
      </c>
      <c r="G4" s="329"/>
      <c r="H4" s="186" t="s">
        <v>1</v>
      </c>
      <c r="I4" s="186" t="s">
        <v>232</v>
      </c>
      <c r="J4" s="294" t="s">
        <v>231</v>
      </c>
      <c r="K4" s="294" t="s">
        <v>230</v>
      </c>
      <c r="L4" s="329"/>
      <c r="M4" s="186" t="s">
        <v>1</v>
      </c>
      <c r="N4" s="186" t="s">
        <v>232</v>
      </c>
      <c r="O4" s="294" t="s">
        <v>231</v>
      </c>
      <c r="P4" s="294" t="s">
        <v>230</v>
      </c>
      <c r="Q4" s="329"/>
      <c r="R4" s="186" t="s">
        <v>1</v>
      </c>
      <c r="S4" s="186" t="s">
        <v>232</v>
      </c>
      <c r="T4" s="294" t="s">
        <v>231</v>
      </c>
      <c r="U4" s="294" t="s">
        <v>230</v>
      </c>
      <c r="V4" s="325"/>
      <c r="X4" s="324"/>
      <c r="Y4" s="186" t="s">
        <v>1</v>
      </c>
      <c r="Z4" s="186" t="s">
        <v>232</v>
      </c>
      <c r="AA4" s="294" t="s">
        <v>231</v>
      </c>
      <c r="AB4" s="294" t="s">
        <v>230</v>
      </c>
      <c r="AC4" s="328"/>
      <c r="AD4" s="186" t="s">
        <v>1</v>
      </c>
      <c r="AE4" s="186" t="s">
        <v>232</v>
      </c>
      <c r="AF4" s="294" t="s">
        <v>231</v>
      </c>
      <c r="AG4" s="294" t="s">
        <v>230</v>
      </c>
      <c r="AH4" s="328"/>
      <c r="AI4" s="186" t="s">
        <v>1</v>
      </c>
      <c r="AJ4" s="186" t="s">
        <v>232</v>
      </c>
      <c r="AK4" s="294" t="s">
        <v>231</v>
      </c>
      <c r="AL4" s="294" t="s">
        <v>230</v>
      </c>
      <c r="AM4" s="328"/>
      <c r="AN4" s="186" t="s">
        <v>1</v>
      </c>
      <c r="AO4" s="186" t="s">
        <v>232</v>
      </c>
      <c r="AP4" s="294" t="s">
        <v>231</v>
      </c>
      <c r="AQ4" s="294" t="s">
        <v>230</v>
      </c>
      <c r="AR4" s="322"/>
    </row>
    <row r="5" spans="2:44">
      <c r="B5" s="327"/>
      <c r="C5" s="299"/>
      <c r="D5" s="188"/>
      <c r="E5" s="298"/>
      <c r="F5" s="294">
        <f t="shared" ref="F5:F16" si="0">E5*D5</f>
        <v>0</v>
      </c>
      <c r="G5" s="329"/>
      <c r="H5" s="299"/>
      <c r="I5" s="188"/>
      <c r="J5" s="298"/>
      <c r="K5" s="294">
        <f t="shared" ref="K5:K16" si="1">J5*I5</f>
        <v>0</v>
      </c>
      <c r="L5" s="329"/>
      <c r="M5" s="299"/>
      <c r="N5" s="188"/>
      <c r="O5" s="298"/>
      <c r="P5" s="294">
        <f t="shared" ref="P5:P16" si="2">O5*N5</f>
        <v>0</v>
      </c>
      <c r="Q5" s="329"/>
      <c r="R5" s="299"/>
      <c r="S5" s="188"/>
      <c r="T5" s="298"/>
      <c r="U5" s="294">
        <f t="shared" ref="U5:U16" si="3">T5*S5</f>
        <v>0</v>
      </c>
      <c r="V5" s="325"/>
      <c r="X5" s="324"/>
      <c r="Y5" s="299"/>
      <c r="Z5" s="188"/>
      <c r="AA5" s="298"/>
      <c r="AB5" s="294">
        <f t="shared" ref="AB5:AB16" si="4">AA5*Z5</f>
        <v>0</v>
      </c>
      <c r="AC5" s="328"/>
      <c r="AD5" s="299"/>
      <c r="AE5" s="188"/>
      <c r="AF5" s="298"/>
      <c r="AG5" s="294">
        <f t="shared" ref="AG5:AG16" si="5">AF5*AE5</f>
        <v>0</v>
      </c>
      <c r="AH5" s="328"/>
      <c r="AI5" s="299"/>
      <c r="AJ5" s="188"/>
      <c r="AK5" s="298"/>
      <c r="AL5" s="294">
        <f t="shared" ref="AL5:AL16" si="6">AK5*AJ5</f>
        <v>0</v>
      </c>
      <c r="AM5" s="328"/>
      <c r="AN5" s="299"/>
      <c r="AO5" s="188"/>
      <c r="AP5" s="298"/>
      <c r="AQ5" s="294">
        <f t="shared" ref="AQ5:AQ16" si="7">AP5*AO5</f>
        <v>0</v>
      </c>
      <c r="AR5" s="322"/>
    </row>
    <row r="6" spans="2:44">
      <c r="B6" s="327"/>
      <c r="C6" s="299"/>
      <c r="D6" s="188"/>
      <c r="E6" s="298"/>
      <c r="F6" s="294">
        <f t="shared" si="0"/>
        <v>0</v>
      </c>
      <c r="G6" s="329"/>
      <c r="H6" s="299"/>
      <c r="I6" s="188"/>
      <c r="J6" s="298"/>
      <c r="K6" s="294">
        <f t="shared" si="1"/>
        <v>0</v>
      </c>
      <c r="L6" s="329"/>
      <c r="M6" s="299"/>
      <c r="N6" s="188"/>
      <c r="O6" s="298"/>
      <c r="P6" s="294">
        <f t="shared" si="2"/>
        <v>0</v>
      </c>
      <c r="Q6" s="329"/>
      <c r="R6" s="299"/>
      <c r="S6" s="188"/>
      <c r="T6" s="298"/>
      <c r="U6" s="294">
        <f t="shared" si="3"/>
        <v>0</v>
      </c>
      <c r="V6" s="325"/>
      <c r="X6" s="324"/>
      <c r="Y6" s="299"/>
      <c r="Z6" s="188"/>
      <c r="AA6" s="298"/>
      <c r="AB6" s="294">
        <f t="shared" si="4"/>
        <v>0</v>
      </c>
      <c r="AC6" s="328"/>
      <c r="AD6" s="299"/>
      <c r="AE6" s="188"/>
      <c r="AF6" s="298"/>
      <c r="AG6" s="294">
        <f t="shared" si="5"/>
        <v>0</v>
      </c>
      <c r="AH6" s="328"/>
      <c r="AI6" s="299"/>
      <c r="AJ6" s="188"/>
      <c r="AK6" s="298"/>
      <c r="AL6" s="294">
        <f t="shared" si="6"/>
        <v>0</v>
      </c>
      <c r="AM6" s="328"/>
      <c r="AN6" s="299"/>
      <c r="AO6" s="188"/>
      <c r="AP6" s="298"/>
      <c r="AQ6" s="294">
        <f t="shared" si="7"/>
        <v>0</v>
      </c>
      <c r="AR6" s="322"/>
    </row>
    <row r="7" spans="2:44">
      <c r="B7" s="327"/>
      <c r="C7" s="299">
        <v>44622</v>
      </c>
      <c r="D7" s="188">
        <v>5</v>
      </c>
      <c r="E7" s="298">
        <v>9.07</v>
      </c>
      <c r="F7" s="294">
        <f t="shared" si="0"/>
        <v>45.35</v>
      </c>
      <c r="G7" s="329"/>
      <c r="H7" s="299"/>
      <c r="I7" s="188"/>
      <c r="J7" s="298"/>
      <c r="K7" s="294">
        <f t="shared" si="1"/>
        <v>0</v>
      </c>
      <c r="L7" s="329"/>
      <c r="M7" s="299"/>
      <c r="N7" s="188"/>
      <c r="O7" s="298"/>
      <c r="P7" s="294">
        <f t="shared" si="2"/>
        <v>0</v>
      </c>
      <c r="Q7" s="329"/>
      <c r="R7" s="299"/>
      <c r="S7" s="188"/>
      <c r="T7" s="298"/>
      <c r="U7" s="294">
        <f t="shared" si="3"/>
        <v>0</v>
      </c>
      <c r="V7" s="325"/>
      <c r="X7" s="324"/>
      <c r="Y7" s="299">
        <v>44622</v>
      </c>
      <c r="Z7" s="188">
        <v>1</v>
      </c>
      <c r="AA7" s="298">
        <v>91.78</v>
      </c>
      <c r="AB7" s="294">
        <f t="shared" si="4"/>
        <v>91.78</v>
      </c>
      <c r="AC7" s="328"/>
      <c r="AD7" s="299"/>
      <c r="AE7" s="188"/>
      <c r="AF7" s="298"/>
      <c r="AG7" s="294">
        <f t="shared" si="5"/>
        <v>0</v>
      </c>
      <c r="AH7" s="328"/>
      <c r="AI7" s="299"/>
      <c r="AJ7" s="188"/>
      <c r="AK7" s="298"/>
      <c r="AL7" s="294">
        <f t="shared" si="6"/>
        <v>0</v>
      </c>
      <c r="AM7" s="328"/>
      <c r="AN7" s="299"/>
      <c r="AO7" s="188"/>
      <c r="AP7" s="298"/>
      <c r="AQ7" s="294">
        <f t="shared" si="7"/>
        <v>0</v>
      </c>
      <c r="AR7" s="322"/>
    </row>
    <row r="8" spans="2:44">
      <c r="B8" s="327"/>
      <c r="C8" s="299"/>
      <c r="D8" s="188"/>
      <c r="E8" s="298"/>
      <c r="F8" s="294">
        <f t="shared" si="0"/>
        <v>0</v>
      </c>
      <c r="G8" s="329"/>
      <c r="H8" s="299"/>
      <c r="I8" s="188"/>
      <c r="J8" s="298"/>
      <c r="K8" s="294">
        <f t="shared" si="1"/>
        <v>0</v>
      </c>
      <c r="L8" s="329"/>
      <c r="M8" s="299"/>
      <c r="N8" s="188"/>
      <c r="O8" s="298"/>
      <c r="P8" s="294">
        <f t="shared" si="2"/>
        <v>0</v>
      </c>
      <c r="Q8" s="329"/>
      <c r="R8" s="299"/>
      <c r="S8" s="188"/>
      <c r="T8" s="298"/>
      <c r="U8" s="294">
        <f t="shared" si="3"/>
        <v>0</v>
      </c>
      <c r="V8" s="325"/>
      <c r="X8" s="324"/>
      <c r="Y8" s="299"/>
      <c r="Z8" s="188"/>
      <c r="AA8" s="298"/>
      <c r="AB8" s="294">
        <f t="shared" si="4"/>
        <v>0</v>
      </c>
      <c r="AC8" s="328"/>
      <c r="AD8" s="299"/>
      <c r="AE8" s="188"/>
      <c r="AF8" s="298"/>
      <c r="AG8" s="294">
        <f t="shared" si="5"/>
        <v>0</v>
      </c>
      <c r="AH8" s="328"/>
      <c r="AI8" s="299"/>
      <c r="AJ8" s="188"/>
      <c r="AK8" s="298"/>
      <c r="AL8" s="294">
        <f t="shared" si="6"/>
        <v>0</v>
      </c>
      <c r="AM8" s="328"/>
      <c r="AN8" s="299"/>
      <c r="AO8" s="188"/>
      <c r="AP8" s="298"/>
      <c r="AQ8" s="294">
        <f t="shared" si="7"/>
        <v>0</v>
      </c>
      <c r="AR8" s="322"/>
    </row>
    <row r="9" spans="2:44">
      <c r="B9" s="327"/>
      <c r="C9" s="299">
        <v>44706</v>
      </c>
      <c r="D9" s="188">
        <v>1</v>
      </c>
      <c r="E9" s="298">
        <v>9.83</v>
      </c>
      <c r="F9" s="294">
        <f t="shared" si="0"/>
        <v>9.83</v>
      </c>
      <c r="G9" s="329"/>
      <c r="H9" s="299"/>
      <c r="I9" s="188"/>
      <c r="J9" s="298"/>
      <c r="K9" s="294">
        <f t="shared" si="1"/>
        <v>0</v>
      </c>
      <c r="L9" s="329"/>
      <c r="M9" s="299"/>
      <c r="N9" s="188"/>
      <c r="O9" s="298"/>
      <c r="P9" s="294">
        <f t="shared" si="2"/>
        <v>0</v>
      </c>
      <c r="Q9" s="329"/>
      <c r="R9" s="299"/>
      <c r="S9" s="188"/>
      <c r="T9" s="298"/>
      <c r="U9" s="294">
        <f t="shared" si="3"/>
        <v>0</v>
      </c>
      <c r="V9" s="325"/>
      <c r="X9" s="324"/>
      <c r="Y9" s="299"/>
      <c r="Z9" s="188"/>
      <c r="AA9" s="298"/>
      <c r="AB9" s="294">
        <f t="shared" si="4"/>
        <v>0</v>
      </c>
      <c r="AC9" s="328"/>
      <c r="AD9" s="299"/>
      <c r="AE9" s="188"/>
      <c r="AF9" s="298"/>
      <c r="AG9" s="294">
        <f t="shared" si="5"/>
        <v>0</v>
      </c>
      <c r="AH9" s="328"/>
      <c r="AI9" s="299"/>
      <c r="AJ9" s="188"/>
      <c r="AK9" s="298"/>
      <c r="AL9" s="294">
        <f t="shared" si="6"/>
        <v>0</v>
      </c>
      <c r="AM9" s="328"/>
      <c r="AN9" s="299"/>
      <c r="AO9" s="188"/>
      <c r="AP9" s="298"/>
      <c r="AQ9" s="294">
        <f t="shared" si="7"/>
        <v>0</v>
      </c>
      <c r="AR9" s="322"/>
    </row>
    <row r="10" spans="2:44">
      <c r="B10" s="327"/>
      <c r="C10" s="299"/>
      <c r="D10" s="188"/>
      <c r="E10" s="298"/>
      <c r="F10" s="294">
        <f t="shared" si="0"/>
        <v>0</v>
      </c>
      <c r="G10" s="329"/>
      <c r="H10" s="299"/>
      <c r="I10" s="188"/>
      <c r="J10" s="298"/>
      <c r="K10" s="294">
        <f t="shared" si="1"/>
        <v>0</v>
      </c>
      <c r="L10" s="329"/>
      <c r="M10" s="299"/>
      <c r="N10" s="188"/>
      <c r="O10" s="298"/>
      <c r="P10" s="294">
        <f t="shared" si="2"/>
        <v>0</v>
      </c>
      <c r="Q10" s="329"/>
      <c r="R10" s="299"/>
      <c r="S10" s="188"/>
      <c r="T10" s="298"/>
      <c r="U10" s="294">
        <f t="shared" si="3"/>
        <v>0</v>
      </c>
      <c r="V10" s="325"/>
      <c r="X10" s="324"/>
      <c r="Y10" s="299"/>
      <c r="Z10" s="188"/>
      <c r="AA10" s="298"/>
      <c r="AB10" s="294">
        <f t="shared" si="4"/>
        <v>0</v>
      </c>
      <c r="AC10" s="328"/>
      <c r="AD10" s="299"/>
      <c r="AE10" s="188"/>
      <c r="AF10" s="298"/>
      <c r="AG10" s="294">
        <f t="shared" si="5"/>
        <v>0</v>
      </c>
      <c r="AH10" s="328"/>
      <c r="AI10" s="299"/>
      <c r="AJ10" s="188"/>
      <c r="AK10" s="298"/>
      <c r="AL10" s="294">
        <f t="shared" si="6"/>
        <v>0</v>
      </c>
      <c r="AM10" s="328"/>
      <c r="AN10" s="299"/>
      <c r="AO10" s="188"/>
      <c r="AP10" s="298"/>
      <c r="AQ10" s="294">
        <f t="shared" si="7"/>
        <v>0</v>
      </c>
      <c r="AR10" s="322"/>
    </row>
    <row r="11" spans="2:44">
      <c r="B11" s="327"/>
      <c r="C11" s="299"/>
      <c r="D11" s="188"/>
      <c r="E11" s="298"/>
      <c r="F11" s="294">
        <f t="shared" si="0"/>
        <v>0</v>
      </c>
      <c r="G11" s="329"/>
      <c r="H11" s="299">
        <v>44754</v>
      </c>
      <c r="I11" s="188">
        <v>10</v>
      </c>
      <c r="J11" s="298">
        <v>7.54</v>
      </c>
      <c r="K11" s="294">
        <f t="shared" si="1"/>
        <v>75.400000000000006</v>
      </c>
      <c r="L11" s="329"/>
      <c r="M11" s="299">
        <v>44757</v>
      </c>
      <c r="N11" s="188">
        <v>1</v>
      </c>
      <c r="O11" s="298">
        <v>96.7</v>
      </c>
      <c r="P11" s="294">
        <f t="shared" si="2"/>
        <v>96.7</v>
      </c>
      <c r="Q11" s="329"/>
      <c r="R11" s="299"/>
      <c r="S11" s="188"/>
      <c r="T11" s="298"/>
      <c r="U11" s="294">
        <f t="shared" si="3"/>
        <v>0</v>
      </c>
      <c r="V11" s="325"/>
      <c r="X11" s="324"/>
      <c r="Y11" s="299"/>
      <c r="Z11" s="188"/>
      <c r="AA11" s="298"/>
      <c r="AB11" s="294">
        <f t="shared" si="4"/>
        <v>0</v>
      </c>
      <c r="AC11" s="328"/>
      <c r="AD11" s="299"/>
      <c r="AE11" s="188"/>
      <c r="AF11" s="298"/>
      <c r="AG11" s="294">
        <f t="shared" si="5"/>
        <v>0</v>
      </c>
      <c r="AH11" s="328"/>
      <c r="AI11" s="299"/>
      <c r="AJ11" s="188"/>
      <c r="AK11" s="298"/>
      <c r="AL11" s="294">
        <f t="shared" si="6"/>
        <v>0</v>
      </c>
      <c r="AM11" s="328"/>
      <c r="AN11" s="299"/>
      <c r="AO11" s="188"/>
      <c r="AP11" s="298"/>
      <c r="AQ11" s="294">
        <f t="shared" si="7"/>
        <v>0</v>
      </c>
      <c r="AR11" s="322"/>
    </row>
    <row r="12" spans="2:44">
      <c r="B12" s="327"/>
      <c r="C12" s="299">
        <v>44803</v>
      </c>
      <c r="D12" s="188">
        <v>9</v>
      </c>
      <c r="E12" s="298">
        <v>10.29</v>
      </c>
      <c r="F12" s="294">
        <f t="shared" si="0"/>
        <v>92.609999999999985</v>
      </c>
      <c r="G12" s="329"/>
      <c r="H12" s="299"/>
      <c r="I12" s="188"/>
      <c r="J12" s="298"/>
      <c r="K12" s="294">
        <f t="shared" si="1"/>
        <v>0</v>
      </c>
      <c r="L12" s="329"/>
      <c r="M12" s="299"/>
      <c r="N12" s="188"/>
      <c r="O12" s="298"/>
      <c r="P12" s="294">
        <f t="shared" si="2"/>
        <v>0</v>
      </c>
      <c r="Q12" s="329"/>
      <c r="R12" s="299"/>
      <c r="S12" s="188"/>
      <c r="T12" s="298"/>
      <c r="U12" s="294">
        <f t="shared" si="3"/>
        <v>0</v>
      </c>
      <c r="V12" s="325"/>
      <c r="X12" s="324"/>
      <c r="Y12" s="299"/>
      <c r="Z12" s="188"/>
      <c r="AA12" s="298"/>
      <c r="AB12" s="294">
        <f t="shared" si="4"/>
        <v>0</v>
      </c>
      <c r="AC12" s="328"/>
      <c r="AD12" s="299"/>
      <c r="AE12" s="188"/>
      <c r="AF12" s="298"/>
      <c r="AG12" s="294">
        <f t="shared" si="5"/>
        <v>0</v>
      </c>
      <c r="AH12" s="328"/>
      <c r="AI12" s="299"/>
      <c r="AJ12" s="188"/>
      <c r="AK12" s="298"/>
      <c r="AL12" s="294">
        <f t="shared" si="6"/>
        <v>0</v>
      </c>
      <c r="AM12" s="328"/>
      <c r="AN12" s="299"/>
      <c r="AO12" s="188"/>
      <c r="AP12" s="298"/>
      <c r="AQ12" s="294">
        <f t="shared" si="7"/>
        <v>0</v>
      </c>
      <c r="AR12" s="322"/>
    </row>
    <row r="13" spans="2:44">
      <c r="B13" s="327"/>
      <c r="C13" s="299"/>
      <c r="D13" s="188"/>
      <c r="E13" s="298"/>
      <c r="F13" s="294">
        <f t="shared" si="0"/>
        <v>0</v>
      </c>
      <c r="G13" s="329"/>
      <c r="H13" s="299"/>
      <c r="I13" s="188"/>
      <c r="J13" s="298"/>
      <c r="K13" s="294">
        <f t="shared" si="1"/>
        <v>0</v>
      </c>
      <c r="L13" s="329"/>
      <c r="M13" s="299"/>
      <c r="N13" s="188"/>
      <c r="O13" s="298"/>
      <c r="P13" s="294">
        <f t="shared" si="2"/>
        <v>0</v>
      </c>
      <c r="Q13" s="329"/>
      <c r="R13" s="299"/>
      <c r="S13" s="188"/>
      <c r="T13" s="298"/>
      <c r="U13" s="294">
        <f t="shared" si="3"/>
        <v>0</v>
      </c>
      <c r="V13" s="325"/>
      <c r="X13" s="324"/>
      <c r="Y13" s="299"/>
      <c r="Z13" s="188"/>
      <c r="AA13" s="298"/>
      <c r="AB13" s="294">
        <f t="shared" si="4"/>
        <v>0</v>
      </c>
      <c r="AC13" s="328"/>
      <c r="AD13" s="299"/>
      <c r="AE13" s="188"/>
      <c r="AF13" s="298"/>
      <c r="AG13" s="294">
        <f t="shared" si="5"/>
        <v>0</v>
      </c>
      <c r="AH13" s="328"/>
      <c r="AI13" s="299"/>
      <c r="AJ13" s="188"/>
      <c r="AK13" s="298"/>
      <c r="AL13" s="294">
        <f t="shared" si="6"/>
        <v>0</v>
      </c>
      <c r="AM13" s="328"/>
      <c r="AN13" s="299"/>
      <c r="AO13" s="188"/>
      <c r="AP13" s="298"/>
      <c r="AQ13" s="294">
        <f t="shared" si="7"/>
        <v>0</v>
      </c>
      <c r="AR13" s="322"/>
    </row>
    <row r="14" spans="2:44">
      <c r="B14" s="327"/>
      <c r="C14" s="299"/>
      <c r="D14" s="188"/>
      <c r="E14" s="298"/>
      <c r="F14" s="294">
        <f t="shared" si="0"/>
        <v>0</v>
      </c>
      <c r="G14" s="329"/>
      <c r="H14" s="299"/>
      <c r="I14" s="188"/>
      <c r="J14" s="298"/>
      <c r="K14" s="294">
        <f t="shared" si="1"/>
        <v>0</v>
      </c>
      <c r="L14" s="329"/>
      <c r="M14" s="299"/>
      <c r="N14" s="188"/>
      <c r="O14" s="298"/>
      <c r="P14" s="294">
        <f t="shared" si="2"/>
        <v>0</v>
      </c>
      <c r="Q14" s="329"/>
      <c r="R14" s="299"/>
      <c r="S14" s="188"/>
      <c r="T14" s="298"/>
      <c r="U14" s="294">
        <f t="shared" si="3"/>
        <v>0</v>
      </c>
      <c r="V14" s="325"/>
      <c r="X14" s="324"/>
      <c r="Y14" s="299"/>
      <c r="Z14" s="188"/>
      <c r="AA14" s="298"/>
      <c r="AB14" s="294">
        <f t="shared" si="4"/>
        <v>0</v>
      </c>
      <c r="AC14" s="328"/>
      <c r="AD14" s="299"/>
      <c r="AE14" s="188"/>
      <c r="AF14" s="298"/>
      <c r="AG14" s="294">
        <f t="shared" si="5"/>
        <v>0</v>
      </c>
      <c r="AH14" s="328"/>
      <c r="AI14" s="299"/>
      <c r="AJ14" s="188"/>
      <c r="AK14" s="298"/>
      <c r="AL14" s="294">
        <f t="shared" si="6"/>
        <v>0</v>
      </c>
      <c r="AM14" s="328"/>
      <c r="AN14" s="299"/>
      <c r="AO14" s="188"/>
      <c r="AP14" s="298"/>
      <c r="AQ14" s="294">
        <f t="shared" si="7"/>
        <v>0</v>
      </c>
      <c r="AR14" s="322"/>
    </row>
    <row r="15" spans="2:44">
      <c r="B15" s="327"/>
      <c r="C15" s="299"/>
      <c r="D15" s="188"/>
      <c r="E15" s="298"/>
      <c r="F15" s="294">
        <f t="shared" si="0"/>
        <v>0</v>
      </c>
      <c r="G15" s="329"/>
      <c r="H15" s="299"/>
      <c r="I15" s="188"/>
      <c r="J15" s="298"/>
      <c r="K15" s="294">
        <f t="shared" si="1"/>
        <v>0</v>
      </c>
      <c r="L15" s="329"/>
      <c r="M15" s="299"/>
      <c r="N15" s="188"/>
      <c r="O15" s="298"/>
      <c r="P15" s="294">
        <f t="shared" si="2"/>
        <v>0</v>
      </c>
      <c r="Q15" s="329"/>
      <c r="R15" s="299">
        <v>44868</v>
      </c>
      <c r="S15" s="188">
        <v>12</v>
      </c>
      <c r="T15" s="298">
        <v>9.56</v>
      </c>
      <c r="U15" s="294">
        <f t="shared" si="3"/>
        <v>114.72</v>
      </c>
      <c r="V15" s="325"/>
      <c r="X15" s="324"/>
      <c r="Y15" s="299"/>
      <c r="Z15" s="188"/>
      <c r="AA15" s="298"/>
      <c r="AB15" s="294">
        <f t="shared" si="4"/>
        <v>0</v>
      </c>
      <c r="AC15" s="328"/>
      <c r="AD15" s="299"/>
      <c r="AE15" s="188"/>
      <c r="AF15" s="298"/>
      <c r="AG15" s="294">
        <f t="shared" si="5"/>
        <v>0</v>
      </c>
      <c r="AH15" s="328"/>
      <c r="AI15" s="299"/>
      <c r="AJ15" s="188"/>
      <c r="AK15" s="298"/>
      <c r="AL15" s="294">
        <f t="shared" si="6"/>
        <v>0</v>
      </c>
      <c r="AM15" s="328"/>
      <c r="AN15" s="299"/>
      <c r="AO15" s="188"/>
      <c r="AP15" s="298"/>
      <c r="AQ15" s="294">
        <f t="shared" si="7"/>
        <v>0</v>
      </c>
      <c r="AR15" s="322"/>
    </row>
    <row r="16" spans="2:44">
      <c r="B16" s="327"/>
      <c r="C16" s="299"/>
      <c r="D16" s="188"/>
      <c r="E16" s="298"/>
      <c r="F16" s="294">
        <f t="shared" si="0"/>
        <v>0</v>
      </c>
      <c r="G16" s="329"/>
      <c r="H16" s="299"/>
      <c r="I16" s="188"/>
      <c r="J16" s="298"/>
      <c r="K16" s="294">
        <f t="shared" si="1"/>
        <v>0</v>
      </c>
      <c r="L16" s="329"/>
      <c r="M16" s="299"/>
      <c r="N16" s="188"/>
      <c r="O16" s="298"/>
      <c r="P16" s="294">
        <f t="shared" si="2"/>
        <v>0</v>
      </c>
      <c r="Q16" s="329"/>
      <c r="R16" s="299"/>
      <c r="S16" s="188"/>
      <c r="T16" s="298"/>
      <c r="U16" s="294">
        <f t="shared" si="3"/>
        <v>0</v>
      </c>
      <c r="V16" s="325"/>
      <c r="X16" s="324"/>
      <c r="Y16" s="299"/>
      <c r="Z16" s="188"/>
      <c r="AA16" s="298"/>
      <c r="AB16" s="294">
        <f t="shared" si="4"/>
        <v>0</v>
      </c>
      <c r="AC16" s="328"/>
      <c r="AD16" s="299"/>
      <c r="AE16" s="188"/>
      <c r="AF16" s="298"/>
      <c r="AG16" s="294">
        <f t="shared" si="5"/>
        <v>0</v>
      </c>
      <c r="AH16" s="328"/>
      <c r="AI16" s="299"/>
      <c r="AJ16" s="188"/>
      <c r="AK16" s="298"/>
      <c r="AL16" s="294">
        <f t="shared" si="6"/>
        <v>0</v>
      </c>
      <c r="AM16" s="328"/>
      <c r="AN16" s="299"/>
      <c r="AO16" s="188"/>
      <c r="AP16" s="298"/>
      <c r="AQ16" s="294">
        <f t="shared" si="7"/>
        <v>0</v>
      </c>
      <c r="AR16" s="322"/>
    </row>
    <row r="17" spans="2:44">
      <c r="B17" s="327"/>
      <c r="C17" s="186" t="s">
        <v>229</v>
      </c>
      <c r="D17" s="186">
        <f>SUM(D5:D16)</f>
        <v>15</v>
      </c>
      <c r="E17" s="294"/>
      <c r="F17" s="294">
        <f>SUM(F5:F16)</f>
        <v>147.79</v>
      </c>
      <c r="G17" s="326"/>
      <c r="H17" s="186" t="s">
        <v>229</v>
      </c>
      <c r="I17" s="186">
        <f>SUM(I5:I16)</f>
        <v>10</v>
      </c>
      <c r="J17" s="294"/>
      <c r="K17" s="294">
        <f>SUM(K5:K16)</f>
        <v>75.400000000000006</v>
      </c>
      <c r="L17" s="326"/>
      <c r="M17" s="186" t="s">
        <v>229</v>
      </c>
      <c r="N17" s="186">
        <f>SUM(N5:N16)</f>
        <v>1</v>
      </c>
      <c r="O17" s="294"/>
      <c r="P17" s="294">
        <f>SUM(P5:P16)</f>
        <v>96.7</v>
      </c>
      <c r="Q17" s="326"/>
      <c r="R17" s="186" t="s">
        <v>229</v>
      </c>
      <c r="S17" s="186">
        <f>SUM(S5:S16)</f>
        <v>12</v>
      </c>
      <c r="T17" s="294"/>
      <c r="U17" s="294">
        <f>SUM(U5:U16)</f>
        <v>114.72</v>
      </c>
      <c r="V17" s="325"/>
      <c r="X17" s="324"/>
      <c r="Y17" s="186" t="s">
        <v>229</v>
      </c>
      <c r="Z17" s="186">
        <f>SUM(Z5:Z16)</f>
        <v>1</v>
      </c>
      <c r="AA17" s="294"/>
      <c r="AB17" s="294">
        <f>SUM(AB5:AB16)</f>
        <v>91.78</v>
      </c>
      <c r="AC17" s="323"/>
      <c r="AD17" s="186" t="s">
        <v>229</v>
      </c>
      <c r="AE17" s="186">
        <f>SUM(AE5:AE16)</f>
        <v>0</v>
      </c>
      <c r="AF17" s="294"/>
      <c r="AG17" s="294">
        <f>SUM(AG5:AG16)</f>
        <v>0</v>
      </c>
      <c r="AH17" s="323"/>
      <c r="AI17" s="186" t="s">
        <v>229</v>
      </c>
      <c r="AJ17" s="186">
        <f>SUM(AJ5:AJ16)</f>
        <v>0</v>
      </c>
      <c r="AK17" s="294"/>
      <c r="AL17" s="294">
        <f>SUM(AL5:AL16)</f>
        <v>0</v>
      </c>
      <c r="AM17" s="323"/>
      <c r="AN17" s="186" t="s">
        <v>229</v>
      </c>
      <c r="AO17" s="186">
        <f>SUM(AO5:AO16)</f>
        <v>0</v>
      </c>
      <c r="AP17" s="294"/>
      <c r="AQ17" s="294">
        <f>SUM(AQ5:AQ16)</f>
        <v>0</v>
      </c>
      <c r="AR17" s="322"/>
    </row>
    <row r="18" spans="2:44">
      <c r="B18" s="321"/>
      <c r="C18" s="320"/>
      <c r="D18" s="320"/>
      <c r="E18" s="316"/>
      <c r="F18" s="316"/>
      <c r="G18" s="326"/>
      <c r="H18" s="320"/>
      <c r="I18" s="320"/>
      <c r="J18" s="316"/>
      <c r="K18" s="316"/>
      <c r="L18" s="326"/>
      <c r="M18" s="320"/>
      <c r="N18" s="320"/>
      <c r="O18" s="316"/>
      <c r="P18" s="316"/>
      <c r="Q18" s="326"/>
      <c r="R18" s="320"/>
      <c r="S18" s="320"/>
      <c r="T18" s="316"/>
      <c r="U18" s="316"/>
      <c r="V18" s="315"/>
      <c r="X18" s="314"/>
      <c r="Y18" s="335"/>
      <c r="Z18" s="335"/>
      <c r="AA18" s="310"/>
      <c r="AB18" s="310"/>
      <c r="AC18" s="323"/>
      <c r="AD18" s="335"/>
      <c r="AE18" s="335"/>
      <c r="AF18" s="310"/>
      <c r="AG18" s="310"/>
      <c r="AH18" s="323"/>
      <c r="AI18" s="335"/>
      <c r="AJ18" s="335"/>
      <c r="AK18" s="310"/>
      <c r="AL18" s="310"/>
      <c r="AM18" s="323"/>
      <c r="AN18" s="335"/>
      <c r="AO18" s="335"/>
      <c r="AP18" s="310"/>
      <c r="AQ18" s="310"/>
      <c r="AR18" s="309"/>
    </row>
    <row r="19" spans="2:44" s="275" customFormat="1">
      <c r="C19" s="308"/>
      <c r="D19" s="308"/>
      <c r="E19" s="307"/>
      <c r="F19" s="307"/>
      <c r="H19" s="308"/>
      <c r="I19" s="308"/>
      <c r="J19" s="307"/>
      <c r="K19" s="307"/>
      <c r="M19" s="308"/>
      <c r="N19" s="308"/>
      <c r="O19" s="307"/>
      <c r="P19" s="307"/>
      <c r="R19" s="308"/>
      <c r="S19" s="308"/>
      <c r="T19" s="307"/>
      <c r="U19" s="307"/>
      <c r="Y19" s="308"/>
      <c r="Z19" s="308"/>
      <c r="AA19" s="307"/>
      <c r="AB19" s="307"/>
      <c r="AD19" s="308"/>
      <c r="AE19" s="308"/>
      <c r="AF19" s="307"/>
      <c r="AG19" s="307"/>
      <c r="AI19" s="308"/>
      <c r="AJ19" s="308"/>
      <c r="AK19" s="307"/>
      <c r="AL19" s="307"/>
      <c r="AN19" s="308"/>
      <c r="AO19" s="308"/>
      <c r="AP19" s="307"/>
      <c r="AQ19" s="307"/>
    </row>
    <row r="20" spans="2:44" ht="15.75">
      <c r="B20" s="306"/>
      <c r="C20" s="923" t="s">
        <v>203</v>
      </c>
      <c r="D20" s="924"/>
      <c r="E20" s="924"/>
      <c r="F20" s="924"/>
      <c r="G20" s="925"/>
      <c r="H20" s="924"/>
      <c r="I20" s="924"/>
      <c r="J20" s="924"/>
      <c r="K20" s="924"/>
      <c r="L20" s="925"/>
      <c r="M20" s="924"/>
      <c r="N20" s="924"/>
      <c r="O20" s="924"/>
      <c r="P20" s="924"/>
      <c r="Q20" s="925"/>
      <c r="R20" s="924"/>
      <c r="S20" s="924"/>
      <c r="T20" s="924"/>
      <c r="U20" s="926"/>
      <c r="V20" s="305"/>
      <c r="X20" s="304"/>
      <c r="Y20" s="919"/>
      <c r="Z20" s="920"/>
      <c r="AA20" s="920"/>
      <c r="AB20" s="920"/>
      <c r="AC20" s="921"/>
      <c r="AD20" s="920"/>
      <c r="AE20" s="920"/>
      <c r="AF20" s="920"/>
      <c r="AG20" s="920"/>
      <c r="AH20" s="921"/>
      <c r="AI20" s="920"/>
      <c r="AJ20" s="920"/>
      <c r="AK20" s="920"/>
      <c r="AL20" s="920"/>
      <c r="AM20" s="921"/>
      <c r="AN20" s="920"/>
      <c r="AO20" s="920"/>
      <c r="AP20" s="920"/>
      <c r="AQ20" s="922"/>
      <c r="AR20" s="303"/>
    </row>
    <row r="21" spans="2:44">
      <c r="B21" s="297"/>
      <c r="C21" s="912" t="s">
        <v>244</v>
      </c>
      <c r="D21" s="912"/>
      <c r="E21" s="912"/>
      <c r="F21" s="912"/>
      <c r="G21" s="301"/>
      <c r="H21" s="912" t="s">
        <v>238</v>
      </c>
      <c r="I21" s="912"/>
      <c r="J21" s="912"/>
      <c r="K21" s="912"/>
      <c r="L21" s="301"/>
      <c r="M21" s="912"/>
      <c r="N21" s="912"/>
      <c r="O21" s="912"/>
      <c r="P21" s="912"/>
      <c r="Q21" s="301"/>
      <c r="R21" s="912"/>
      <c r="S21" s="912"/>
      <c r="T21" s="912"/>
      <c r="U21" s="912"/>
      <c r="V21" s="296"/>
      <c r="X21" s="295"/>
      <c r="Y21" s="912" t="s">
        <v>237</v>
      </c>
      <c r="Z21" s="912"/>
      <c r="AA21" s="912"/>
      <c r="AB21" s="912"/>
      <c r="AC21" s="300"/>
      <c r="AD21" s="912" t="s">
        <v>236</v>
      </c>
      <c r="AE21" s="912"/>
      <c r="AF21" s="913"/>
      <c r="AG21" s="912"/>
      <c r="AH21" s="300"/>
      <c r="AI21" s="912" t="s">
        <v>235</v>
      </c>
      <c r="AJ21" s="912"/>
      <c r="AK21" s="913"/>
      <c r="AL21" s="912"/>
      <c r="AM21" s="300"/>
      <c r="AN21" s="912" t="s">
        <v>234</v>
      </c>
      <c r="AO21" s="912"/>
      <c r="AP21" s="913"/>
      <c r="AQ21" s="912"/>
      <c r="AR21" s="293"/>
    </row>
    <row r="22" spans="2:44">
      <c r="B22" s="297"/>
      <c r="C22" s="186" t="s">
        <v>1</v>
      </c>
      <c r="D22" s="186" t="s">
        <v>232</v>
      </c>
      <c r="E22" s="294" t="s">
        <v>231</v>
      </c>
      <c r="F22" s="294" t="s">
        <v>230</v>
      </c>
      <c r="G22" s="301"/>
      <c r="H22" s="186" t="s">
        <v>1</v>
      </c>
      <c r="I22" s="186" t="s">
        <v>232</v>
      </c>
      <c r="J22" s="294" t="s">
        <v>231</v>
      </c>
      <c r="K22" s="294" t="s">
        <v>230</v>
      </c>
      <c r="L22" s="301"/>
      <c r="M22" s="186" t="s">
        <v>1</v>
      </c>
      <c r="N22" s="186" t="s">
        <v>232</v>
      </c>
      <c r="O22" s="294" t="s">
        <v>231</v>
      </c>
      <c r="P22" s="294" t="s">
        <v>233</v>
      </c>
      <c r="Q22" s="301"/>
      <c r="R22" s="186" t="s">
        <v>1</v>
      </c>
      <c r="S22" s="186" t="s">
        <v>232</v>
      </c>
      <c r="T22" s="294" t="s">
        <v>231</v>
      </c>
      <c r="U22" s="294" t="s">
        <v>230</v>
      </c>
      <c r="V22" s="296"/>
      <c r="X22" s="295"/>
      <c r="Y22" s="186" t="s">
        <v>1</v>
      </c>
      <c r="Z22" s="186" t="s">
        <v>232</v>
      </c>
      <c r="AA22" s="294" t="s">
        <v>231</v>
      </c>
      <c r="AB22" s="294" t="s">
        <v>230</v>
      </c>
      <c r="AC22" s="300"/>
      <c r="AD22" s="186" t="s">
        <v>1</v>
      </c>
      <c r="AE22" s="186" t="s">
        <v>232</v>
      </c>
      <c r="AF22" s="294" t="s">
        <v>231</v>
      </c>
      <c r="AG22" s="294" t="s">
        <v>230</v>
      </c>
      <c r="AH22" s="300"/>
      <c r="AI22" s="186" t="s">
        <v>1</v>
      </c>
      <c r="AJ22" s="186" t="s">
        <v>232</v>
      </c>
      <c r="AK22" s="294" t="s">
        <v>231</v>
      </c>
      <c r="AL22" s="294" t="s">
        <v>230</v>
      </c>
      <c r="AM22" s="300"/>
      <c r="AN22" s="186" t="s">
        <v>1</v>
      </c>
      <c r="AO22" s="186" t="s">
        <v>232</v>
      </c>
      <c r="AP22" s="294" t="s">
        <v>231</v>
      </c>
      <c r="AQ22" s="294" t="s">
        <v>230</v>
      </c>
      <c r="AR22" s="293"/>
    </row>
    <row r="23" spans="2:44">
      <c r="B23" s="297"/>
      <c r="C23" s="299"/>
      <c r="D23" s="188"/>
      <c r="E23" s="298"/>
      <c r="F23" s="294">
        <f t="shared" ref="F23:F34" si="8">E23*D23</f>
        <v>0</v>
      </c>
      <c r="G23" s="301"/>
      <c r="H23" s="299"/>
      <c r="I23" s="188"/>
      <c r="J23" s="298"/>
      <c r="K23" s="294">
        <f t="shared" ref="K23:K34" si="9">J23*I23</f>
        <v>0</v>
      </c>
      <c r="L23" s="301"/>
      <c r="M23" s="299"/>
      <c r="N23" s="188"/>
      <c r="O23" s="298"/>
      <c r="P23" s="294">
        <f t="shared" ref="P23:P34" si="10">O23*N23</f>
        <v>0</v>
      </c>
      <c r="Q23" s="301"/>
      <c r="R23" s="299"/>
      <c r="S23" s="188"/>
      <c r="T23" s="298"/>
      <c r="U23" s="294">
        <f t="shared" ref="U23:U34" si="11">T23*S23</f>
        <v>0</v>
      </c>
      <c r="V23" s="296"/>
      <c r="X23" s="295"/>
      <c r="Y23" s="299"/>
      <c r="Z23" s="188"/>
      <c r="AA23" s="298"/>
      <c r="AB23" s="294">
        <f t="shared" ref="AB23:AB34" si="12">AA23*Z23</f>
        <v>0</v>
      </c>
      <c r="AC23" s="300"/>
      <c r="AD23" s="299"/>
      <c r="AE23" s="188"/>
      <c r="AF23" s="298"/>
      <c r="AG23" s="294">
        <f t="shared" ref="AG23:AG34" si="13">AF23*AE23</f>
        <v>0</v>
      </c>
      <c r="AH23" s="300"/>
      <c r="AI23" s="299"/>
      <c r="AJ23" s="188"/>
      <c r="AK23" s="298"/>
      <c r="AL23" s="294">
        <f t="shared" ref="AL23:AL34" si="14">AK23*AJ23</f>
        <v>0</v>
      </c>
      <c r="AM23" s="300"/>
      <c r="AN23" s="299"/>
      <c r="AO23" s="188"/>
      <c r="AP23" s="298"/>
      <c r="AQ23" s="294">
        <f t="shared" ref="AQ23:AQ34" si="15">AP23*AO23</f>
        <v>0</v>
      </c>
      <c r="AR23" s="293"/>
    </row>
    <row r="24" spans="2:44">
      <c r="B24" s="297"/>
      <c r="C24" s="299"/>
      <c r="D24" s="188"/>
      <c r="E24" s="298"/>
      <c r="F24" s="294">
        <f t="shared" si="8"/>
        <v>0</v>
      </c>
      <c r="G24" s="301"/>
      <c r="H24" s="299"/>
      <c r="I24" s="188"/>
      <c r="J24" s="298"/>
      <c r="K24" s="294">
        <f t="shared" si="9"/>
        <v>0</v>
      </c>
      <c r="L24" s="301"/>
      <c r="M24" s="299"/>
      <c r="N24" s="188"/>
      <c r="O24" s="298"/>
      <c r="P24" s="294">
        <f t="shared" si="10"/>
        <v>0</v>
      </c>
      <c r="Q24" s="301"/>
      <c r="R24" s="299"/>
      <c r="S24" s="188"/>
      <c r="T24" s="298"/>
      <c r="U24" s="294">
        <f t="shared" si="11"/>
        <v>0</v>
      </c>
      <c r="V24" s="296"/>
      <c r="X24" s="295"/>
      <c r="Y24" s="299"/>
      <c r="Z24" s="188"/>
      <c r="AA24" s="298"/>
      <c r="AB24" s="294">
        <f t="shared" si="12"/>
        <v>0</v>
      </c>
      <c r="AC24" s="300"/>
      <c r="AD24" s="299"/>
      <c r="AE24" s="188"/>
      <c r="AF24" s="298"/>
      <c r="AG24" s="294">
        <f t="shared" si="13"/>
        <v>0</v>
      </c>
      <c r="AH24" s="300"/>
      <c r="AI24" s="299"/>
      <c r="AJ24" s="188"/>
      <c r="AK24" s="298"/>
      <c r="AL24" s="294">
        <f t="shared" si="14"/>
        <v>0</v>
      </c>
      <c r="AM24" s="300"/>
      <c r="AN24" s="299"/>
      <c r="AO24" s="188"/>
      <c r="AP24" s="298"/>
      <c r="AQ24" s="294">
        <f t="shared" si="15"/>
        <v>0</v>
      </c>
      <c r="AR24" s="293"/>
    </row>
    <row r="25" spans="2:44">
      <c r="B25" s="297"/>
      <c r="C25" s="299"/>
      <c r="D25" s="188"/>
      <c r="E25" s="298"/>
      <c r="F25" s="294">
        <f t="shared" si="8"/>
        <v>0</v>
      </c>
      <c r="G25" s="301"/>
      <c r="H25" s="299"/>
      <c r="I25" s="188"/>
      <c r="J25" s="298"/>
      <c r="K25" s="294">
        <f t="shared" si="9"/>
        <v>0</v>
      </c>
      <c r="L25" s="301"/>
      <c r="M25" s="299"/>
      <c r="N25" s="188"/>
      <c r="O25" s="298"/>
      <c r="P25" s="294">
        <f t="shared" si="10"/>
        <v>0</v>
      </c>
      <c r="Q25" s="301"/>
      <c r="R25" s="299"/>
      <c r="S25" s="188"/>
      <c r="T25" s="298"/>
      <c r="U25" s="294">
        <f t="shared" si="11"/>
        <v>0</v>
      </c>
      <c r="V25" s="296"/>
      <c r="X25" s="295"/>
      <c r="Y25" s="299"/>
      <c r="Z25" s="188"/>
      <c r="AA25" s="298"/>
      <c r="AB25" s="294">
        <f t="shared" si="12"/>
        <v>0</v>
      </c>
      <c r="AC25" s="300"/>
      <c r="AD25" s="299"/>
      <c r="AE25" s="188"/>
      <c r="AF25" s="298"/>
      <c r="AG25" s="294">
        <f t="shared" si="13"/>
        <v>0</v>
      </c>
      <c r="AH25" s="300"/>
      <c r="AI25" s="299"/>
      <c r="AJ25" s="188"/>
      <c r="AK25" s="298"/>
      <c r="AL25" s="294">
        <f t="shared" si="14"/>
        <v>0</v>
      </c>
      <c r="AM25" s="300"/>
      <c r="AN25" s="299"/>
      <c r="AO25" s="188"/>
      <c r="AP25" s="298"/>
      <c r="AQ25" s="294">
        <f t="shared" si="15"/>
        <v>0</v>
      </c>
      <c r="AR25" s="293"/>
    </row>
    <row r="26" spans="2:44">
      <c r="B26" s="297"/>
      <c r="C26" s="299"/>
      <c r="D26" s="188"/>
      <c r="E26" s="298"/>
      <c r="F26" s="294">
        <f t="shared" si="8"/>
        <v>0</v>
      </c>
      <c r="G26" s="301"/>
      <c r="H26" s="299"/>
      <c r="I26" s="188"/>
      <c r="J26" s="298"/>
      <c r="K26" s="294">
        <f t="shared" si="9"/>
        <v>0</v>
      </c>
      <c r="L26" s="301"/>
      <c r="M26" s="299"/>
      <c r="N26" s="188"/>
      <c r="O26" s="298"/>
      <c r="P26" s="294">
        <f t="shared" si="10"/>
        <v>0</v>
      </c>
      <c r="Q26" s="301"/>
      <c r="R26" s="299"/>
      <c r="S26" s="188"/>
      <c r="T26" s="298"/>
      <c r="U26" s="294">
        <f t="shared" si="11"/>
        <v>0</v>
      </c>
      <c r="V26" s="296"/>
      <c r="X26" s="295"/>
      <c r="Y26" s="299"/>
      <c r="Z26" s="188"/>
      <c r="AA26" s="298"/>
      <c r="AB26" s="294">
        <f t="shared" si="12"/>
        <v>0</v>
      </c>
      <c r="AC26" s="300"/>
      <c r="AD26" s="299"/>
      <c r="AE26" s="188"/>
      <c r="AF26" s="298"/>
      <c r="AG26" s="294">
        <f t="shared" si="13"/>
        <v>0</v>
      </c>
      <c r="AH26" s="300"/>
      <c r="AI26" s="299"/>
      <c r="AJ26" s="188"/>
      <c r="AK26" s="298"/>
      <c r="AL26" s="294">
        <f t="shared" si="14"/>
        <v>0</v>
      </c>
      <c r="AM26" s="300"/>
      <c r="AN26" s="299"/>
      <c r="AO26" s="188"/>
      <c r="AP26" s="298"/>
      <c r="AQ26" s="294">
        <f t="shared" si="15"/>
        <v>0</v>
      </c>
      <c r="AR26" s="293"/>
    </row>
    <row r="27" spans="2:44">
      <c r="B27" s="297"/>
      <c r="C27" s="299"/>
      <c r="D27" s="188"/>
      <c r="E27" s="298"/>
      <c r="F27" s="294">
        <f t="shared" si="8"/>
        <v>0</v>
      </c>
      <c r="G27" s="301"/>
      <c r="H27" s="299"/>
      <c r="I27" s="188"/>
      <c r="J27" s="298"/>
      <c r="K27" s="294">
        <f t="shared" si="9"/>
        <v>0</v>
      </c>
      <c r="L27" s="301"/>
      <c r="M27" s="299"/>
      <c r="N27" s="188"/>
      <c r="O27" s="298"/>
      <c r="P27" s="294">
        <f t="shared" si="10"/>
        <v>0</v>
      </c>
      <c r="Q27" s="301"/>
      <c r="R27" s="299"/>
      <c r="S27" s="188"/>
      <c r="T27" s="298"/>
      <c r="U27" s="294">
        <f t="shared" si="11"/>
        <v>0</v>
      </c>
      <c r="V27" s="296"/>
      <c r="X27" s="295"/>
      <c r="Y27" s="299"/>
      <c r="Z27" s="188"/>
      <c r="AA27" s="298"/>
      <c r="AB27" s="294">
        <f t="shared" si="12"/>
        <v>0</v>
      </c>
      <c r="AC27" s="300"/>
      <c r="AD27" s="299"/>
      <c r="AE27" s="188"/>
      <c r="AF27" s="298"/>
      <c r="AG27" s="294">
        <f t="shared" si="13"/>
        <v>0</v>
      </c>
      <c r="AH27" s="300"/>
      <c r="AI27" s="299"/>
      <c r="AJ27" s="188"/>
      <c r="AK27" s="298"/>
      <c r="AL27" s="294">
        <f t="shared" si="14"/>
        <v>0</v>
      </c>
      <c r="AM27" s="300"/>
      <c r="AN27" s="299"/>
      <c r="AO27" s="188"/>
      <c r="AP27" s="298"/>
      <c r="AQ27" s="294">
        <f t="shared" si="15"/>
        <v>0</v>
      </c>
      <c r="AR27" s="293"/>
    </row>
    <row r="28" spans="2:44">
      <c r="B28" s="297"/>
      <c r="C28" s="299"/>
      <c r="D28" s="188"/>
      <c r="E28" s="298"/>
      <c r="F28" s="294">
        <f t="shared" si="8"/>
        <v>0</v>
      </c>
      <c r="G28" s="301"/>
      <c r="H28" s="299"/>
      <c r="I28" s="188"/>
      <c r="J28" s="298"/>
      <c r="K28" s="294">
        <f t="shared" si="9"/>
        <v>0</v>
      </c>
      <c r="L28" s="301"/>
      <c r="M28" s="299"/>
      <c r="N28" s="188"/>
      <c r="O28" s="298"/>
      <c r="P28" s="294">
        <f t="shared" si="10"/>
        <v>0</v>
      </c>
      <c r="Q28" s="301"/>
      <c r="R28" s="299"/>
      <c r="S28" s="188"/>
      <c r="T28" s="298"/>
      <c r="U28" s="294">
        <f t="shared" si="11"/>
        <v>0</v>
      </c>
      <c r="V28" s="296"/>
      <c r="X28" s="295"/>
      <c r="Y28" s="299"/>
      <c r="Z28" s="188"/>
      <c r="AA28" s="298"/>
      <c r="AB28" s="294">
        <f t="shared" si="12"/>
        <v>0</v>
      </c>
      <c r="AC28" s="300"/>
      <c r="AD28" s="299"/>
      <c r="AE28" s="188"/>
      <c r="AF28" s="298"/>
      <c r="AG28" s="294">
        <f t="shared" si="13"/>
        <v>0</v>
      </c>
      <c r="AH28" s="300"/>
      <c r="AI28" s="299"/>
      <c r="AJ28" s="188"/>
      <c r="AK28" s="298"/>
      <c r="AL28" s="294">
        <f t="shared" si="14"/>
        <v>0</v>
      </c>
      <c r="AM28" s="300"/>
      <c r="AN28" s="299"/>
      <c r="AO28" s="188"/>
      <c r="AP28" s="298"/>
      <c r="AQ28" s="294">
        <f t="shared" si="15"/>
        <v>0</v>
      </c>
      <c r="AR28" s="293"/>
    </row>
    <row r="29" spans="2:44">
      <c r="B29" s="297"/>
      <c r="C29" s="299">
        <v>44754</v>
      </c>
      <c r="D29" s="188">
        <v>6</v>
      </c>
      <c r="E29" s="298">
        <v>14.2</v>
      </c>
      <c r="F29" s="294">
        <f t="shared" si="8"/>
        <v>85.199999999999989</v>
      </c>
      <c r="G29" s="301"/>
      <c r="H29" s="299"/>
      <c r="I29" s="188"/>
      <c r="J29" s="298"/>
      <c r="K29" s="294">
        <f t="shared" si="9"/>
        <v>0</v>
      </c>
      <c r="L29" s="301"/>
      <c r="M29" s="299"/>
      <c r="N29" s="188"/>
      <c r="O29" s="298"/>
      <c r="P29" s="294">
        <f t="shared" si="10"/>
        <v>0</v>
      </c>
      <c r="Q29" s="301"/>
      <c r="R29" s="299"/>
      <c r="S29" s="188"/>
      <c r="T29" s="298"/>
      <c r="U29" s="294">
        <f t="shared" si="11"/>
        <v>0</v>
      </c>
      <c r="V29" s="296"/>
      <c r="X29" s="295"/>
      <c r="Y29" s="299"/>
      <c r="Z29" s="188"/>
      <c r="AA29" s="298"/>
      <c r="AB29" s="294">
        <f t="shared" si="12"/>
        <v>0</v>
      </c>
      <c r="AC29" s="300"/>
      <c r="AD29" s="299"/>
      <c r="AE29" s="188"/>
      <c r="AF29" s="298"/>
      <c r="AG29" s="294">
        <f t="shared" si="13"/>
        <v>0</v>
      </c>
      <c r="AH29" s="300"/>
      <c r="AI29" s="299"/>
      <c r="AJ29" s="188"/>
      <c r="AK29" s="298"/>
      <c r="AL29" s="294">
        <f t="shared" si="14"/>
        <v>0</v>
      </c>
      <c r="AM29" s="300"/>
      <c r="AN29" s="299"/>
      <c r="AO29" s="188"/>
      <c r="AP29" s="298"/>
      <c r="AQ29" s="294">
        <f t="shared" si="15"/>
        <v>0</v>
      </c>
      <c r="AR29" s="293"/>
    </row>
    <row r="30" spans="2:44">
      <c r="B30" s="297"/>
      <c r="C30" s="299"/>
      <c r="D30" s="188"/>
      <c r="E30" s="298"/>
      <c r="F30" s="294">
        <f t="shared" si="8"/>
        <v>0</v>
      </c>
      <c r="G30" s="301"/>
      <c r="H30" s="299"/>
      <c r="I30" s="188"/>
      <c r="J30" s="298"/>
      <c r="K30" s="294">
        <f t="shared" si="9"/>
        <v>0</v>
      </c>
      <c r="L30" s="301"/>
      <c r="M30" s="299"/>
      <c r="N30" s="188"/>
      <c r="O30" s="298"/>
      <c r="P30" s="294">
        <f t="shared" si="10"/>
        <v>0</v>
      </c>
      <c r="Q30" s="301"/>
      <c r="R30" s="299"/>
      <c r="S30" s="188"/>
      <c r="T30" s="298"/>
      <c r="U30" s="294">
        <f t="shared" si="11"/>
        <v>0</v>
      </c>
      <c r="V30" s="296"/>
      <c r="X30" s="295"/>
      <c r="Y30" s="299"/>
      <c r="Z30" s="188"/>
      <c r="AA30" s="298"/>
      <c r="AB30" s="294">
        <f t="shared" si="12"/>
        <v>0</v>
      </c>
      <c r="AC30" s="300"/>
      <c r="AD30" s="299"/>
      <c r="AE30" s="188"/>
      <c r="AF30" s="298"/>
      <c r="AG30" s="294">
        <f t="shared" si="13"/>
        <v>0</v>
      </c>
      <c r="AH30" s="300"/>
      <c r="AI30" s="299"/>
      <c r="AJ30" s="188"/>
      <c r="AK30" s="298"/>
      <c r="AL30" s="294">
        <f t="shared" si="14"/>
        <v>0</v>
      </c>
      <c r="AM30" s="300"/>
      <c r="AN30" s="299"/>
      <c r="AO30" s="188"/>
      <c r="AP30" s="298"/>
      <c r="AQ30" s="294">
        <f t="shared" si="15"/>
        <v>0</v>
      </c>
      <c r="AR30" s="293"/>
    </row>
    <row r="31" spans="2:44">
      <c r="B31" s="297"/>
      <c r="C31" s="299"/>
      <c r="D31" s="188"/>
      <c r="E31" s="298"/>
      <c r="F31" s="294">
        <f t="shared" si="8"/>
        <v>0</v>
      </c>
      <c r="G31" s="301"/>
      <c r="H31" s="299"/>
      <c r="I31" s="188"/>
      <c r="J31" s="298"/>
      <c r="K31" s="294">
        <f t="shared" si="9"/>
        <v>0</v>
      </c>
      <c r="L31" s="301"/>
      <c r="M31" s="299"/>
      <c r="N31" s="188"/>
      <c r="O31" s="298"/>
      <c r="P31" s="294">
        <f t="shared" si="10"/>
        <v>0</v>
      </c>
      <c r="Q31" s="301"/>
      <c r="R31" s="299"/>
      <c r="S31" s="188"/>
      <c r="T31" s="298"/>
      <c r="U31" s="294">
        <f t="shared" si="11"/>
        <v>0</v>
      </c>
      <c r="V31" s="296"/>
      <c r="X31" s="295"/>
      <c r="Y31" s="299">
        <v>44815</v>
      </c>
      <c r="Z31" s="188">
        <v>1</v>
      </c>
      <c r="AA31" s="298">
        <v>103.31</v>
      </c>
      <c r="AB31" s="294">
        <f t="shared" si="12"/>
        <v>103.31</v>
      </c>
      <c r="AC31" s="300"/>
      <c r="AD31" s="299"/>
      <c r="AE31" s="188"/>
      <c r="AF31" s="298"/>
      <c r="AG31" s="294">
        <f t="shared" si="13"/>
        <v>0</v>
      </c>
      <c r="AH31" s="300"/>
      <c r="AI31" s="299"/>
      <c r="AJ31" s="188"/>
      <c r="AK31" s="298"/>
      <c r="AL31" s="294">
        <f t="shared" si="14"/>
        <v>0</v>
      </c>
      <c r="AM31" s="300"/>
      <c r="AN31" s="299"/>
      <c r="AO31" s="188"/>
      <c r="AP31" s="298"/>
      <c r="AQ31" s="294">
        <f t="shared" si="15"/>
        <v>0</v>
      </c>
      <c r="AR31" s="293"/>
    </row>
    <row r="32" spans="2:44">
      <c r="B32" s="297"/>
      <c r="C32" s="299"/>
      <c r="D32" s="188"/>
      <c r="E32" s="298"/>
      <c r="F32" s="294">
        <f t="shared" si="8"/>
        <v>0</v>
      </c>
      <c r="G32" s="301"/>
      <c r="H32" s="299"/>
      <c r="I32" s="188"/>
      <c r="J32" s="298"/>
      <c r="K32" s="294">
        <f t="shared" si="9"/>
        <v>0</v>
      </c>
      <c r="L32" s="301"/>
      <c r="M32" s="299"/>
      <c r="N32" s="188"/>
      <c r="O32" s="298"/>
      <c r="P32" s="294">
        <f t="shared" si="10"/>
        <v>0</v>
      </c>
      <c r="Q32" s="301"/>
      <c r="R32" s="299"/>
      <c r="S32" s="188"/>
      <c r="T32" s="298"/>
      <c r="U32" s="294">
        <f t="shared" si="11"/>
        <v>0</v>
      </c>
      <c r="V32" s="296"/>
      <c r="X32" s="295"/>
      <c r="Y32" s="299"/>
      <c r="Z32" s="188"/>
      <c r="AA32" s="298"/>
      <c r="AB32" s="294">
        <f t="shared" si="12"/>
        <v>0</v>
      </c>
      <c r="AC32" s="300"/>
      <c r="AD32" s="299">
        <v>44851</v>
      </c>
      <c r="AE32" s="188">
        <v>2</v>
      </c>
      <c r="AF32" s="298">
        <v>9.08</v>
      </c>
      <c r="AG32" s="294">
        <f t="shared" si="13"/>
        <v>18.16</v>
      </c>
      <c r="AH32" s="300"/>
      <c r="AI32" s="299">
        <v>44851</v>
      </c>
      <c r="AJ32" s="188">
        <v>1</v>
      </c>
      <c r="AK32" s="298">
        <v>91.03</v>
      </c>
      <c r="AL32" s="294">
        <f t="shared" si="14"/>
        <v>91.03</v>
      </c>
      <c r="AM32" s="300"/>
      <c r="AN32" s="299">
        <v>44851</v>
      </c>
      <c r="AO32" s="188">
        <v>1</v>
      </c>
      <c r="AP32" s="298">
        <v>102.15</v>
      </c>
      <c r="AQ32" s="294">
        <f t="shared" si="15"/>
        <v>102.15</v>
      </c>
      <c r="AR32" s="293"/>
    </row>
    <row r="33" spans="2:44">
      <c r="B33" s="297"/>
      <c r="C33" s="299"/>
      <c r="D33" s="188"/>
      <c r="E33" s="298"/>
      <c r="F33" s="294">
        <f t="shared" si="8"/>
        <v>0</v>
      </c>
      <c r="G33" s="301"/>
      <c r="H33" s="299">
        <v>44886</v>
      </c>
      <c r="I33" s="188">
        <v>1</v>
      </c>
      <c r="J33" s="298">
        <v>90.26</v>
      </c>
      <c r="K33" s="294">
        <f t="shared" si="9"/>
        <v>90.26</v>
      </c>
      <c r="L33" s="301"/>
      <c r="M33" s="299"/>
      <c r="N33" s="188"/>
      <c r="O33" s="298"/>
      <c r="P33" s="294">
        <f t="shared" si="10"/>
        <v>0</v>
      </c>
      <c r="Q33" s="301"/>
      <c r="R33" s="299"/>
      <c r="S33" s="188"/>
      <c r="T33" s="298"/>
      <c r="U33" s="294">
        <f t="shared" si="11"/>
        <v>0</v>
      </c>
      <c r="V33" s="296"/>
      <c r="X33" s="295"/>
      <c r="Y33" s="299"/>
      <c r="Z33" s="188"/>
      <c r="AA33" s="298"/>
      <c r="AB33" s="294">
        <f t="shared" si="12"/>
        <v>0</v>
      </c>
      <c r="AC33" s="300"/>
      <c r="AD33" s="299">
        <v>44886</v>
      </c>
      <c r="AE33" s="188">
        <v>8</v>
      </c>
      <c r="AF33" s="298">
        <v>8.1412499999999994</v>
      </c>
      <c r="AG33" s="294">
        <f t="shared" si="13"/>
        <v>65.13</v>
      </c>
      <c r="AH33" s="300"/>
      <c r="AI33" s="299"/>
      <c r="AJ33" s="188"/>
      <c r="AK33" s="298"/>
      <c r="AL33" s="294">
        <f t="shared" si="14"/>
        <v>0</v>
      </c>
      <c r="AM33" s="300"/>
      <c r="AN33" s="299"/>
      <c r="AO33" s="188"/>
      <c r="AP33" s="298"/>
      <c r="AQ33" s="294">
        <f t="shared" si="15"/>
        <v>0</v>
      </c>
      <c r="AR33" s="293"/>
    </row>
    <row r="34" spans="2:44">
      <c r="B34" s="297"/>
      <c r="C34" s="299"/>
      <c r="D34" s="188"/>
      <c r="E34" s="298"/>
      <c r="F34" s="294">
        <f t="shared" si="8"/>
        <v>0</v>
      </c>
      <c r="G34" s="301"/>
      <c r="H34" s="299"/>
      <c r="I34" s="188"/>
      <c r="J34" s="298"/>
      <c r="K34" s="294">
        <f t="shared" si="9"/>
        <v>0</v>
      </c>
      <c r="L34" s="301"/>
      <c r="M34" s="299"/>
      <c r="N34" s="188"/>
      <c r="O34" s="298"/>
      <c r="P34" s="294">
        <f t="shared" si="10"/>
        <v>0</v>
      </c>
      <c r="Q34" s="301"/>
      <c r="R34" s="299"/>
      <c r="S34" s="188"/>
      <c r="T34" s="298"/>
      <c r="U34" s="294">
        <f t="shared" si="11"/>
        <v>0</v>
      </c>
      <c r="V34" s="296"/>
      <c r="X34" s="295"/>
      <c r="Y34" s="299"/>
      <c r="Z34" s="188"/>
      <c r="AA34" s="298"/>
      <c r="AB34" s="294">
        <f t="shared" si="12"/>
        <v>0</v>
      </c>
      <c r="AC34" s="300"/>
      <c r="AD34" s="299"/>
      <c r="AE34" s="188"/>
      <c r="AF34" s="298"/>
      <c r="AG34" s="294">
        <f t="shared" si="13"/>
        <v>0</v>
      </c>
      <c r="AH34" s="300"/>
      <c r="AI34" s="299"/>
      <c r="AJ34" s="188"/>
      <c r="AK34" s="298"/>
      <c r="AL34" s="294">
        <f t="shared" si="14"/>
        <v>0</v>
      </c>
      <c r="AM34" s="300"/>
      <c r="AN34" s="299"/>
      <c r="AO34" s="188"/>
      <c r="AP34" s="298"/>
      <c r="AQ34" s="294">
        <f t="shared" si="15"/>
        <v>0</v>
      </c>
      <c r="AR34" s="293"/>
    </row>
    <row r="35" spans="2:44">
      <c r="B35" s="297"/>
      <c r="C35" s="186" t="s">
        <v>229</v>
      </c>
      <c r="D35" s="186">
        <f>SUM(D23:D34)</f>
        <v>6</v>
      </c>
      <c r="E35" s="294"/>
      <c r="F35" s="294">
        <f>SUM(F23:F34)</f>
        <v>85.199999999999989</v>
      </c>
      <c r="G35" s="291"/>
      <c r="H35" s="186" t="s">
        <v>229</v>
      </c>
      <c r="I35" s="186">
        <f>SUM(I23:I34)</f>
        <v>1</v>
      </c>
      <c r="J35" s="294"/>
      <c r="K35" s="294">
        <f>SUM(K23:K34)</f>
        <v>90.26</v>
      </c>
      <c r="L35" s="291"/>
      <c r="M35" s="186" t="s">
        <v>229</v>
      </c>
      <c r="N35" s="186">
        <f>SUM(N23:N34)</f>
        <v>0</v>
      </c>
      <c r="O35" s="294"/>
      <c r="P35" s="294">
        <f>SUM(P23:P34)</f>
        <v>0</v>
      </c>
      <c r="Q35" s="291"/>
      <c r="R35" s="186" t="s">
        <v>229</v>
      </c>
      <c r="S35" s="186">
        <f>SUM(S23:S34)</f>
        <v>0</v>
      </c>
      <c r="T35" s="294"/>
      <c r="U35" s="294">
        <f>SUM(U23:U34)</f>
        <v>0</v>
      </c>
      <c r="V35" s="296"/>
      <c r="X35" s="295"/>
      <c r="Y35" s="186" t="s">
        <v>229</v>
      </c>
      <c r="Z35" s="186">
        <f>SUM(Z23:Z34)</f>
        <v>1</v>
      </c>
      <c r="AA35" s="294"/>
      <c r="AB35" s="294">
        <f>SUM(AB23:AB34)</f>
        <v>103.31</v>
      </c>
      <c r="AC35" s="285"/>
      <c r="AD35" s="186" t="s">
        <v>229</v>
      </c>
      <c r="AE35" s="186">
        <f>SUM(AE23:AE34)</f>
        <v>10</v>
      </c>
      <c r="AF35" s="294"/>
      <c r="AG35" s="294">
        <f>SUM(AG23:AG34)</f>
        <v>83.289999999999992</v>
      </c>
      <c r="AH35" s="285"/>
      <c r="AI35" s="186" t="s">
        <v>229</v>
      </c>
      <c r="AJ35" s="186">
        <f>SUM(AJ23:AJ34)</f>
        <v>1</v>
      </c>
      <c r="AK35" s="294"/>
      <c r="AL35" s="294">
        <f>SUM(AL23:AL34)</f>
        <v>91.03</v>
      </c>
      <c r="AM35" s="285"/>
      <c r="AN35" s="186" t="s">
        <v>229</v>
      </c>
      <c r="AO35" s="186">
        <f>SUM(AO23:AO34)</f>
        <v>1</v>
      </c>
      <c r="AP35" s="294"/>
      <c r="AQ35" s="294">
        <f>SUM(AQ23:AQ34)</f>
        <v>102.15</v>
      </c>
      <c r="AR35" s="293"/>
    </row>
    <row r="36" spans="2:44">
      <c r="B36" s="292"/>
      <c r="C36" s="291"/>
      <c r="D36" s="291"/>
      <c r="E36" s="288"/>
      <c r="F36" s="288"/>
      <c r="G36" s="291"/>
      <c r="H36" s="291"/>
      <c r="I36" s="291"/>
      <c r="J36" s="288"/>
      <c r="K36" s="288"/>
      <c r="L36" s="291"/>
      <c r="M36" s="291"/>
      <c r="N36" s="291"/>
      <c r="O36" s="288"/>
      <c r="P36" s="288"/>
      <c r="Q36" s="291"/>
      <c r="R36" s="291"/>
      <c r="S36" s="291"/>
      <c r="T36" s="288"/>
      <c r="U36" s="288"/>
      <c r="V36" s="287"/>
      <c r="X36" s="286"/>
      <c r="Y36" s="285"/>
      <c r="Z36" s="285"/>
      <c r="AA36" s="282"/>
      <c r="AB36" s="282"/>
      <c r="AC36" s="285"/>
      <c r="AD36" s="285"/>
      <c r="AE36" s="285"/>
      <c r="AF36" s="282"/>
      <c r="AG36" s="282"/>
      <c r="AH36" s="285"/>
      <c r="AI36" s="285"/>
      <c r="AJ36" s="285"/>
      <c r="AK36" s="282"/>
      <c r="AL36" s="282"/>
      <c r="AM36" s="285"/>
      <c r="AN36" s="285"/>
      <c r="AO36" s="285"/>
      <c r="AP36" s="282"/>
      <c r="AQ36" s="282"/>
      <c r="AR36" s="281"/>
    </row>
    <row r="37" spans="2:44" s="275" customFormat="1">
      <c r="E37" s="276"/>
      <c r="F37" s="276"/>
      <c r="J37" s="276"/>
      <c r="K37" s="276"/>
      <c r="O37" s="276"/>
      <c r="P37" s="276"/>
      <c r="T37" s="276"/>
      <c r="U37" s="276"/>
      <c r="AA37" s="276"/>
      <c r="AB37" s="276"/>
      <c r="AF37" s="276"/>
      <c r="AG37" s="276"/>
      <c r="AK37" s="276"/>
      <c r="AL37" s="276"/>
      <c r="AP37" s="276"/>
      <c r="AQ37" s="276"/>
    </row>
    <row r="38" spans="2:44" s="275" customFormat="1">
      <c r="E38" s="276"/>
      <c r="F38" s="276"/>
      <c r="J38" s="276"/>
      <c r="K38" s="276"/>
      <c r="O38" s="276"/>
      <c r="P38" s="276"/>
      <c r="T38" s="276"/>
      <c r="U38" s="276"/>
      <c r="AA38" s="276"/>
      <c r="AB38" s="276"/>
      <c r="AF38" s="276"/>
      <c r="AG38" s="276"/>
      <c r="AK38" s="276"/>
      <c r="AL38" s="276"/>
      <c r="AP38" s="276"/>
      <c r="AQ38" s="276"/>
    </row>
    <row r="39" spans="2:44" s="275" customFormat="1">
      <c r="C39" s="275" t="s">
        <v>228</v>
      </c>
      <c r="E39" s="276"/>
      <c r="F39" s="276"/>
      <c r="J39" s="276"/>
      <c r="K39" s="276"/>
      <c r="O39" s="276"/>
      <c r="P39" s="276"/>
      <c r="T39" s="276"/>
      <c r="U39" s="276"/>
      <c r="AA39" s="276"/>
      <c r="AB39" s="276"/>
      <c r="AF39" s="276"/>
      <c r="AG39" s="276"/>
      <c r="AK39" s="276"/>
      <c r="AL39" s="276"/>
      <c r="AP39" s="276"/>
      <c r="AQ39" s="276"/>
    </row>
    <row r="40" spans="2:44" s="275" customFormat="1">
      <c r="D40" s="278">
        <v>44798</v>
      </c>
      <c r="E40" s="280">
        <v>6</v>
      </c>
      <c r="F40" s="276">
        <v>15.02</v>
      </c>
      <c r="H40" s="279">
        <f>F40*E40</f>
        <v>90.12</v>
      </c>
      <c r="J40" s="276"/>
      <c r="K40" s="276"/>
      <c r="O40" s="276"/>
      <c r="P40" s="276"/>
      <c r="T40" s="276"/>
      <c r="U40" s="276"/>
      <c r="AA40" s="276"/>
      <c r="AB40" s="276"/>
      <c r="AF40" s="276"/>
      <c r="AG40" s="276"/>
      <c r="AK40" s="276"/>
      <c r="AL40" s="276"/>
      <c r="AP40" s="276"/>
      <c r="AQ40" s="276"/>
    </row>
    <row r="41" spans="2:44" s="275" customFormat="1">
      <c r="E41" s="277"/>
      <c r="F41" s="276"/>
      <c r="J41" s="276"/>
      <c r="K41" s="276"/>
      <c r="O41" s="276"/>
      <c r="P41" s="276"/>
      <c r="T41" s="276"/>
      <c r="U41" s="276"/>
      <c r="AA41" s="276"/>
      <c r="AB41" s="276"/>
      <c r="AF41" s="276"/>
      <c r="AG41" s="276"/>
      <c r="AK41" s="276"/>
      <c r="AL41" s="276"/>
      <c r="AP41" s="276"/>
      <c r="AQ41" s="276"/>
    </row>
    <row r="42" spans="2:44" s="275" customFormat="1">
      <c r="E42" s="277"/>
      <c r="F42" s="276"/>
      <c r="J42" s="276"/>
      <c r="K42" s="276"/>
      <c r="O42" s="276"/>
      <c r="P42" s="276"/>
      <c r="T42" s="276"/>
      <c r="U42" s="276"/>
      <c r="AA42" s="276"/>
      <c r="AB42" s="276"/>
      <c r="AF42" s="276"/>
      <c r="AG42" s="276"/>
      <c r="AK42" s="276"/>
      <c r="AL42" s="276"/>
      <c r="AP42" s="276"/>
      <c r="AQ42" s="276"/>
    </row>
    <row r="43" spans="2:44" s="275" customFormat="1">
      <c r="E43" s="277">
        <f>F35+K35+K17+F17+P17+U17+AB17+AB35+AG35+AL35+AQ35</f>
        <v>1081.6299999999999</v>
      </c>
      <c r="F43" s="276"/>
      <c r="J43" s="276"/>
      <c r="K43" s="276"/>
      <c r="O43" s="276"/>
      <c r="P43" s="276"/>
      <c r="T43" s="276"/>
      <c r="U43" s="276"/>
      <c r="AA43" s="276"/>
      <c r="AB43" s="276"/>
      <c r="AF43" s="276"/>
      <c r="AG43" s="276"/>
      <c r="AK43" s="276"/>
      <c r="AL43" s="276"/>
      <c r="AP43" s="276"/>
      <c r="AQ43" s="276"/>
    </row>
    <row r="44" spans="2:44" s="275" customFormat="1">
      <c r="E44" s="277"/>
      <c r="F44" s="276"/>
      <c r="J44" s="276"/>
      <c r="K44" s="276"/>
      <c r="O44" s="276"/>
      <c r="P44" s="276"/>
      <c r="T44" s="276"/>
      <c r="U44" s="276"/>
      <c r="AA44" s="276"/>
      <c r="AB44" s="276"/>
      <c r="AF44" s="276"/>
      <c r="AG44" s="276"/>
      <c r="AK44" s="276"/>
      <c r="AL44" s="276"/>
      <c r="AP44" s="276"/>
      <c r="AQ44" s="276"/>
    </row>
    <row r="45" spans="2:44" s="275" customFormat="1">
      <c r="E45" s="277"/>
      <c r="F45" s="276"/>
      <c r="J45" s="276"/>
      <c r="K45" s="276"/>
      <c r="O45" s="276"/>
      <c r="P45" s="276"/>
      <c r="T45" s="276"/>
      <c r="U45" s="276"/>
      <c r="AA45" s="276"/>
      <c r="AB45" s="276"/>
      <c r="AF45" s="276"/>
      <c r="AG45" s="276"/>
      <c r="AK45" s="276"/>
      <c r="AL45" s="276"/>
      <c r="AP45" s="276"/>
      <c r="AQ45" s="276"/>
    </row>
    <row r="46" spans="2:44" s="275" customFormat="1">
      <c r="E46" s="277"/>
      <c r="F46" s="276"/>
      <c r="J46" s="276"/>
      <c r="K46" s="276"/>
      <c r="O46" s="276"/>
      <c r="P46" s="276"/>
      <c r="T46" s="276"/>
      <c r="U46" s="276"/>
      <c r="AA46" s="276"/>
      <c r="AB46" s="276"/>
      <c r="AF46" s="276"/>
      <c r="AG46" s="276"/>
      <c r="AK46" s="276"/>
      <c r="AL46" s="276"/>
      <c r="AP46" s="276"/>
      <c r="AQ46" s="276"/>
    </row>
    <row r="47" spans="2:44" s="275" customFormat="1">
      <c r="E47" s="277"/>
      <c r="F47" s="276"/>
      <c r="J47" s="276"/>
      <c r="K47" s="276"/>
      <c r="O47" s="276"/>
      <c r="P47" s="276"/>
      <c r="T47" s="276"/>
      <c r="U47" s="276"/>
      <c r="AA47" s="276"/>
      <c r="AB47" s="276"/>
      <c r="AF47" s="276"/>
      <c r="AG47" s="276"/>
      <c r="AK47" s="276"/>
      <c r="AL47" s="276"/>
      <c r="AP47" s="276"/>
      <c r="AQ47" s="276"/>
    </row>
    <row r="48" spans="2:44" s="275" customFormat="1">
      <c r="E48" s="277"/>
      <c r="F48" s="276"/>
      <c r="J48" s="276"/>
      <c r="K48" s="276"/>
      <c r="O48" s="276"/>
      <c r="P48" s="276"/>
      <c r="T48" s="276"/>
      <c r="U48" s="276"/>
      <c r="AA48" s="276"/>
      <c r="AB48" s="276"/>
      <c r="AF48" s="276"/>
      <c r="AG48" s="276"/>
      <c r="AK48" s="276"/>
      <c r="AL48" s="276"/>
      <c r="AP48" s="276"/>
      <c r="AQ48" s="276"/>
    </row>
    <row r="49" spans="5:43" s="275" customFormat="1">
      <c r="E49" s="277"/>
      <c r="F49" s="276"/>
      <c r="J49" s="276"/>
      <c r="K49" s="276"/>
      <c r="O49" s="276"/>
      <c r="P49" s="276"/>
      <c r="T49" s="276"/>
      <c r="U49" s="276"/>
      <c r="AA49" s="276"/>
      <c r="AB49" s="276"/>
      <c r="AF49" s="276"/>
      <c r="AG49" s="276"/>
      <c r="AK49" s="276"/>
      <c r="AL49" s="276"/>
      <c r="AP49" s="276"/>
      <c r="AQ49" s="276"/>
    </row>
    <row r="50" spans="5:43" s="275" customFormat="1">
      <c r="E50" s="277"/>
      <c r="F50" s="276"/>
      <c r="J50" s="276"/>
      <c r="K50" s="276"/>
      <c r="O50" s="276"/>
      <c r="P50" s="276"/>
      <c r="T50" s="276"/>
      <c r="U50" s="276"/>
      <c r="AA50" s="276"/>
      <c r="AB50" s="276"/>
      <c r="AF50" s="276"/>
      <c r="AG50" s="276"/>
      <c r="AK50" s="276"/>
      <c r="AL50" s="276"/>
      <c r="AP50" s="276"/>
      <c r="AQ50" s="276"/>
    </row>
    <row r="51" spans="5:43" s="275" customFormat="1">
      <c r="E51" s="277"/>
      <c r="F51" s="276"/>
      <c r="J51" s="276"/>
      <c r="K51" s="276"/>
      <c r="O51" s="276"/>
      <c r="P51" s="276"/>
      <c r="T51" s="276"/>
      <c r="U51" s="276"/>
      <c r="AA51" s="276"/>
      <c r="AB51" s="276"/>
      <c r="AF51" s="276"/>
      <c r="AG51" s="276"/>
      <c r="AK51" s="276"/>
      <c r="AL51" s="276"/>
      <c r="AP51" s="276"/>
      <c r="AQ51" s="276"/>
    </row>
    <row r="52" spans="5:43" s="275" customFormat="1">
      <c r="E52" s="277"/>
      <c r="F52" s="276"/>
      <c r="J52" s="276"/>
      <c r="K52" s="276"/>
      <c r="O52" s="276"/>
      <c r="P52" s="276"/>
      <c r="T52" s="276"/>
      <c r="U52" s="276"/>
      <c r="AA52" s="276"/>
      <c r="AB52" s="276"/>
      <c r="AF52" s="276"/>
      <c r="AG52" s="276"/>
      <c r="AK52" s="276"/>
      <c r="AL52" s="276"/>
      <c r="AP52" s="276"/>
      <c r="AQ52" s="276"/>
    </row>
    <row r="53" spans="5:43" s="275" customFormat="1">
      <c r="E53" s="277"/>
      <c r="F53" s="276"/>
      <c r="J53" s="276"/>
      <c r="K53" s="276"/>
      <c r="O53" s="276"/>
      <c r="P53" s="276"/>
      <c r="T53" s="276"/>
      <c r="U53" s="276"/>
      <c r="AA53" s="276"/>
      <c r="AB53" s="276"/>
      <c r="AF53" s="276"/>
      <c r="AG53" s="276"/>
      <c r="AK53" s="276"/>
      <c r="AL53" s="276"/>
      <c r="AP53" s="276"/>
      <c r="AQ53" s="276"/>
    </row>
    <row r="54" spans="5:43" s="275" customFormat="1">
      <c r="E54" s="277"/>
      <c r="F54" s="276"/>
      <c r="J54" s="276"/>
      <c r="K54" s="276"/>
      <c r="O54" s="276"/>
      <c r="P54" s="276"/>
      <c r="T54" s="276"/>
      <c r="U54" s="276"/>
      <c r="AA54" s="276"/>
      <c r="AB54" s="276"/>
      <c r="AF54" s="276"/>
      <c r="AG54" s="276"/>
      <c r="AK54" s="276"/>
      <c r="AL54" s="276"/>
      <c r="AP54" s="276"/>
      <c r="AQ54" s="276"/>
    </row>
    <row r="55" spans="5:43" s="275" customFormat="1">
      <c r="E55" s="277"/>
      <c r="F55" s="276"/>
      <c r="J55" s="276"/>
      <c r="K55" s="276"/>
      <c r="O55" s="276"/>
      <c r="P55" s="276"/>
      <c r="T55" s="276"/>
      <c r="U55" s="276"/>
      <c r="AA55" s="276"/>
      <c r="AB55" s="276"/>
      <c r="AF55" s="276"/>
      <c r="AG55" s="276"/>
      <c r="AK55" s="276"/>
      <c r="AL55" s="276"/>
      <c r="AP55" s="276"/>
      <c r="AQ55" s="276"/>
    </row>
    <row r="56" spans="5:43" s="275" customFormat="1">
      <c r="E56" s="277"/>
      <c r="F56" s="276"/>
      <c r="J56" s="276"/>
      <c r="K56" s="276"/>
      <c r="O56" s="276"/>
      <c r="P56" s="276"/>
      <c r="T56" s="276"/>
      <c r="U56" s="276"/>
      <c r="AA56" s="276"/>
      <c r="AB56" s="276"/>
      <c r="AF56" s="276"/>
      <c r="AG56" s="276"/>
      <c r="AK56" s="276"/>
      <c r="AL56" s="276"/>
      <c r="AP56" s="276"/>
      <c r="AQ56" s="276"/>
    </row>
    <row r="57" spans="5:43" s="275" customFormat="1">
      <c r="E57" s="277"/>
      <c r="F57" s="276"/>
      <c r="J57" s="276"/>
      <c r="K57" s="276"/>
      <c r="O57" s="276"/>
      <c r="P57" s="276"/>
      <c r="T57" s="276"/>
      <c r="U57" s="276"/>
      <c r="AA57" s="276"/>
      <c r="AB57" s="276"/>
      <c r="AF57" s="276"/>
      <c r="AG57" s="276"/>
      <c r="AK57" s="276"/>
      <c r="AL57" s="276"/>
      <c r="AP57" s="276"/>
      <c r="AQ57" s="276"/>
    </row>
    <row r="58" spans="5:43" s="275" customFormat="1">
      <c r="E58" s="277"/>
      <c r="F58" s="276"/>
      <c r="J58" s="276"/>
      <c r="K58" s="276"/>
      <c r="O58" s="276"/>
      <c r="P58" s="276"/>
      <c r="T58" s="276"/>
      <c r="U58" s="276"/>
      <c r="AA58" s="276"/>
      <c r="AB58" s="276"/>
      <c r="AF58" s="276"/>
      <c r="AG58" s="276"/>
      <c r="AK58" s="276"/>
      <c r="AL58" s="276"/>
      <c r="AP58" s="276"/>
      <c r="AQ58" s="276"/>
    </row>
    <row r="59" spans="5:43" s="275" customFormat="1">
      <c r="E59" s="277"/>
      <c r="F59" s="276"/>
      <c r="J59" s="276"/>
      <c r="K59" s="276"/>
      <c r="O59" s="276"/>
      <c r="P59" s="276"/>
      <c r="T59" s="276"/>
      <c r="U59" s="276"/>
      <c r="AA59" s="276"/>
      <c r="AB59" s="276"/>
      <c r="AF59" s="276"/>
      <c r="AG59" s="276"/>
      <c r="AK59" s="276"/>
      <c r="AL59" s="276"/>
      <c r="AP59" s="276"/>
      <c r="AQ59" s="276"/>
    </row>
    <row r="60" spans="5:43" s="275" customFormat="1">
      <c r="E60" s="277"/>
      <c r="F60" s="276"/>
      <c r="J60" s="276"/>
      <c r="K60" s="276"/>
      <c r="O60" s="276"/>
      <c r="P60" s="276"/>
      <c r="T60" s="276"/>
      <c r="U60" s="276"/>
      <c r="AA60" s="276"/>
      <c r="AB60" s="276"/>
      <c r="AF60" s="276"/>
      <c r="AG60" s="276"/>
      <c r="AK60" s="276"/>
      <c r="AL60" s="276"/>
      <c r="AP60" s="276"/>
      <c r="AQ60" s="276"/>
    </row>
    <row r="61" spans="5:43" s="275" customFormat="1">
      <c r="E61" s="277"/>
      <c r="F61" s="276"/>
      <c r="J61" s="276"/>
      <c r="K61" s="276"/>
      <c r="O61" s="276"/>
      <c r="P61" s="276"/>
      <c r="T61" s="276"/>
      <c r="U61" s="276"/>
      <c r="AA61" s="276"/>
      <c r="AB61" s="276"/>
      <c r="AF61" s="276"/>
      <c r="AG61" s="276"/>
      <c r="AK61" s="276"/>
      <c r="AL61" s="276"/>
      <c r="AP61" s="276"/>
      <c r="AQ61" s="276"/>
    </row>
    <row r="62" spans="5:43" s="275" customFormat="1">
      <c r="E62" s="277"/>
      <c r="F62" s="276"/>
      <c r="J62" s="276"/>
      <c r="K62" s="276"/>
      <c r="O62" s="276"/>
      <c r="P62" s="276"/>
      <c r="T62" s="276"/>
      <c r="U62" s="276"/>
      <c r="AA62" s="276"/>
      <c r="AB62" s="276"/>
      <c r="AF62" s="276"/>
      <c r="AG62" s="276"/>
      <c r="AK62" s="276"/>
      <c r="AL62" s="276"/>
      <c r="AP62" s="276"/>
      <c r="AQ62" s="276"/>
    </row>
    <row r="63" spans="5:43" s="275" customFormat="1">
      <c r="E63" s="277"/>
      <c r="F63" s="276"/>
      <c r="J63" s="276"/>
      <c r="K63" s="276"/>
      <c r="O63" s="276"/>
      <c r="P63" s="276"/>
      <c r="T63" s="276"/>
      <c r="U63" s="276"/>
      <c r="AA63" s="276"/>
      <c r="AB63" s="276"/>
      <c r="AF63" s="276"/>
      <c r="AG63" s="276"/>
      <c r="AK63" s="276"/>
      <c r="AL63" s="276"/>
      <c r="AP63" s="276"/>
      <c r="AQ63" s="276"/>
    </row>
    <row r="64" spans="5:43" s="275" customFormat="1">
      <c r="E64" s="277"/>
      <c r="F64" s="276"/>
      <c r="J64" s="276"/>
      <c r="K64" s="276"/>
      <c r="O64" s="276"/>
      <c r="P64" s="276"/>
      <c r="T64" s="276"/>
      <c r="U64" s="276"/>
      <c r="AA64" s="276"/>
      <c r="AB64" s="276"/>
      <c r="AF64" s="276"/>
      <c r="AG64" s="276"/>
      <c r="AK64" s="276"/>
      <c r="AL64" s="276"/>
      <c r="AP64" s="276"/>
      <c r="AQ64" s="276"/>
    </row>
    <row r="65" spans="5:43" s="275" customFormat="1">
      <c r="E65" s="277"/>
      <c r="F65" s="276"/>
      <c r="J65" s="276"/>
      <c r="K65" s="276"/>
      <c r="O65" s="276"/>
      <c r="P65" s="276"/>
      <c r="T65" s="276"/>
      <c r="U65" s="276"/>
      <c r="AA65" s="276"/>
      <c r="AB65" s="276"/>
      <c r="AF65" s="276"/>
      <c r="AG65" s="276"/>
      <c r="AK65" s="276"/>
      <c r="AL65" s="276"/>
      <c r="AP65" s="276"/>
      <c r="AQ65" s="276"/>
    </row>
    <row r="66" spans="5:43" s="275" customFormat="1">
      <c r="E66" s="277"/>
      <c r="F66" s="276"/>
      <c r="J66" s="276"/>
      <c r="K66" s="276"/>
      <c r="O66" s="276"/>
      <c r="P66" s="276"/>
      <c r="T66" s="276"/>
      <c r="U66" s="276"/>
      <c r="AA66" s="276"/>
      <c r="AB66" s="276"/>
      <c r="AF66" s="276"/>
      <c r="AG66" s="276"/>
      <c r="AK66" s="276"/>
      <c r="AL66" s="276"/>
      <c r="AP66" s="276"/>
      <c r="AQ66" s="276"/>
    </row>
    <row r="67" spans="5:43" s="275" customFormat="1">
      <c r="E67" s="277"/>
      <c r="F67" s="276"/>
      <c r="J67" s="276"/>
      <c r="K67" s="276"/>
      <c r="O67" s="276"/>
      <c r="P67" s="276"/>
      <c r="T67" s="276"/>
      <c r="U67" s="276"/>
      <c r="AA67" s="276"/>
      <c r="AB67" s="276"/>
      <c r="AF67" s="276"/>
      <c r="AG67" s="276"/>
      <c r="AK67" s="276"/>
      <c r="AL67" s="276"/>
      <c r="AP67" s="276"/>
      <c r="AQ67" s="276"/>
    </row>
    <row r="68" spans="5:43" s="275" customFormat="1">
      <c r="E68" s="277"/>
      <c r="F68" s="276"/>
      <c r="J68" s="276"/>
      <c r="K68" s="276"/>
      <c r="O68" s="276"/>
      <c r="P68" s="276"/>
      <c r="T68" s="276"/>
      <c r="U68" s="276"/>
      <c r="AA68" s="276"/>
      <c r="AB68" s="276"/>
      <c r="AF68" s="276"/>
      <c r="AG68" s="276"/>
      <c r="AK68" s="276"/>
      <c r="AL68" s="276"/>
      <c r="AP68" s="276"/>
      <c r="AQ68" s="276"/>
    </row>
    <row r="69" spans="5:43" s="275" customFormat="1">
      <c r="E69" s="277"/>
      <c r="F69" s="276"/>
      <c r="J69" s="276"/>
      <c r="K69" s="276"/>
      <c r="O69" s="276"/>
      <c r="P69" s="276"/>
      <c r="T69" s="276"/>
      <c r="U69" s="276"/>
      <c r="AA69" s="276"/>
      <c r="AB69" s="276"/>
      <c r="AF69" s="276"/>
      <c r="AG69" s="276"/>
      <c r="AK69" s="276"/>
      <c r="AL69" s="276"/>
      <c r="AP69" s="276"/>
      <c r="AQ69" s="276"/>
    </row>
    <row r="70" spans="5:43" s="275" customFormat="1">
      <c r="E70" s="277"/>
      <c r="F70" s="276"/>
      <c r="J70" s="276"/>
      <c r="K70" s="276"/>
      <c r="O70" s="276"/>
      <c r="P70" s="276"/>
      <c r="T70" s="276"/>
      <c r="U70" s="276"/>
      <c r="AA70" s="276"/>
      <c r="AB70" s="276"/>
      <c r="AF70" s="276"/>
      <c r="AG70" s="276"/>
      <c r="AK70" s="276"/>
      <c r="AL70" s="276"/>
      <c r="AP70" s="276"/>
      <c r="AQ70" s="276"/>
    </row>
    <row r="71" spans="5:43" s="275" customFormat="1">
      <c r="E71" s="277"/>
      <c r="F71" s="276"/>
      <c r="J71" s="276"/>
      <c r="K71" s="276"/>
      <c r="O71" s="276"/>
      <c r="P71" s="276"/>
      <c r="T71" s="276"/>
      <c r="U71" s="276"/>
      <c r="AA71" s="276"/>
      <c r="AB71" s="276"/>
      <c r="AF71" s="276"/>
      <c r="AG71" s="276"/>
      <c r="AK71" s="276"/>
      <c r="AL71" s="276"/>
      <c r="AP71" s="276"/>
      <c r="AQ71" s="276"/>
    </row>
    <row r="72" spans="5:43" s="275" customFormat="1">
      <c r="E72" s="277"/>
      <c r="F72" s="276"/>
      <c r="J72" s="276"/>
      <c r="K72" s="276"/>
      <c r="O72" s="276"/>
      <c r="P72" s="276"/>
      <c r="T72" s="276"/>
      <c r="U72" s="276"/>
      <c r="AA72" s="276"/>
      <c r="AB72" s="276"/>
      <c r="AF72" s="276"/>
      <c r="AG72" s="276"/>
      <c r="AK72" s="276"/>
      <c r="AL72" s="276"/>
      <c r="AP72" s="276"/>
      <c r="AQ72" s="276"/>
    </row>
    <row r="73" spans="5:43" s="275" customFormat="1">
      <c r="E73" s="277"/>
      <c r="F73" s="276"/>
      <c r="J73" s="276"/>
      <c r="K73" s="276"/>
      <c r="O73" s="276"/>
      <c r="P73" s="276"/>
      <c r="T73" s="276"/>
      <c r="U73" s="276"/>
      <c r="AA73" s="276"/>
      <c r="AB73" s="276"/>
      <c r="AF73" s="276"/>
      <c r="AG73" s="276"/>
      <c r="AK73" s="276"/>
      <c r="AL73" s="276"/>
      <c r="AP73" s="276"/>
      <c r="AQ73" s="276"/>
    </row>
    <row r="74" spans="5:43" s="275" customFormat="1">
      <c r="E74" s="277"/>
      <c r="F74" s="276"/>
      <c r="J74" s="276"/>
      <c r="K74" s="276"/>
      <c r="O74" s="276"/>
      <c r="P74" s="276"/>
      <c r="T74" s="276"/>
      <c r="U74" s="276"/>
      <c r="AA74" s="276"/>
      <c r="AB74" s="276"/>
      <c r="AF74" s="276"/>
      <c r="AG74" s="276"/>
      <c r="AK74" s="276"/>
      <c r="AL74" s="276"/>
      <c r="AP74" s="276"/>
      <c r="AQ74" s="276"/>
    </row>
    <row r="75" spans="5:43" s="275" customFormat="1">
      <c r="E75" s="277"/>
      <c r="F75" s="276"/>
      <c r="J75" s="276"/>
      <c r="K75" s="276"/>
      <c r="O75" s="276"/>
      <c r="P75" s="276"/>
      <c r="T75" s="276"/>
      <c r="U75" s="276"/>
      <c r="AA75" s="276"/>
      <c r="AB75" s="276"/>
      <c r="AF75" s="276"/>
      <c r="AG75" s="276"/>
      <c r="AK75" s="276"/>
      <c r="AL75" s="276"/>
      <c r="AP75" s="276"/>
      <c r="AQ75" s="276"/>
    </row>
    <row r="76" spans="5:43" s="275" customFormat="1">
      <c r="E76" s="277"/>
      <c r="F76" s="276"/>
      <c r="J76" s="276"/>
      <c r="K76" s="276"/>
      <c r="O76" s="276"/>
      <c r="P76" s="276"/>
      <c r="T76" s="276"/>
      <c r="U76" s="276"/>
      <c r="AA76" s="276"/>
      <c r="AB76" s="276"/>
      <c r="AF76" s="276"/>
      <c r="AG76" s="276"/>
      <c r="AK76" s="276"/>
      <c r="AL76" s="276"/>
      <c r="AP76" s="276"/>
      <c r="AQ76" s="276"/>
    </row>
    <row r="77" spans="5:43" s="275" customFormat="1">
      <c r="E77" s="276"/>
      <c r="F77" s="276"/>
      <c r="J77" s="276"/>
      <c r="K77" s="276"/>
      <c r="O77" s="276"/>
      <c r="P77" s="276"/>
      <c r="T77" s="276"/>
      <c r="U77" s="276"/>
      <c r="AA77" s="276"/>
      <c r="AB77" s="276"/>
      <c r="AF77" s="276"/>
      <c r="AG77" s="276"/>
      <c r="AK77" s="276"/>
      <c r="AL77" s="276"/>
      <c r="AP77" s="276"/>
      <c r="AQ77" s="276"/>
    </row>
    <row r="78" spans="5:43" s="275" customFormat="1">
      <c r="E78" s="276"/>
      <c r="F78" s="276"/>
      <c r="J78" s="276"/>
      <c r="K78" s="276"/>
      <c r="O78" s="276"/>
      <c r="P78" s="276"/>
      <c r="T78" s="276"/>
      <c r="U78" s="276"/>
      <c r="AA78" s="276"/>
      <c r="AB78" s="276"/>
      <c r="AF78" s="276"/>
      <c r="AG78" s="276"/>
      <c r="AK78" s="276"/>
      <c r="AL78" s="276"/>
      <c r="AP78" s="276"/>
      <c r="AQ78" s="276"/>
    </row>
    <row r="79" spans="5:43" s="275" customFormat="1">
      <c r="E79" s="276"/>
      <c r="F79" s="276"/>
      <c r="J79" s="276"/>
      <c r="K79" s="276"/>
      <c r="O79" s="276"/>
      <c r="P79" s="276"/>
      <c r="T79" s="276"/>
      <c r="U79" s="276"/>
      <c r="AA79" s="276"/>
      <c r="AB79" s="276"/>
      <c r="AF79" s="276"/>
      <c r="AG79" s="276"/>
      <c r="AK79" s="276"/>
      <c r="AL79" s="276"/>
      <c r="AP79" s="276"/>
      <c r="AQ79" s="276"/>
    </row>
    <row r="80" spans="5:43" s="275" customFormat="1">
      <c r="E80" s="276"/>
      <c r="F80" s="276"/>
      <c r="J80" s="276"/>
      <c r="K80" s="276"/>
      <c r="O80" s="276"/>
      <c r="P80" s="276"/>
      <c r="T80" s="276"/>
      <c r="U80" s="276"/>
      <c r="AA80" s="276"/>
      <c r="AB80" s="276"/>
      <c r="AF80" s="276"/>
      <c r="AG80" s="276"/>
      <c r="AK80" s="276"/>
      <c r="AL80" s="276"/>
      <c r="AP80" s="276"/>
      <c r="AQ80" s="276"/>
    </row>
    <row r="81" spans="5:43" s="275" customFormat="1">
      <c r="E81" s="276"/>
      <c r="F81" s="276"/>
      <c r="J81" s="276"/>
      <c r="K81" s="276"/>
      <c r="O81" s="276"/>
      <c r="P81" s="276"/>
      <c r="T81" s="276"/>
      <c r="U81" s="276"/>
      <c r="AA81" s="276"/>
      <c r="AB81" s="276"/>
      <c r="AF81" s="276"/>
      <c r="AG81" s="276"/>
      <c r="AK81" s="276"/>
      <c r="AL81" s="276"/>
      <c r="AP81" s="276"/>
      <c r="AQ81" s="276"/>
    </row>
    <row r="82" spans="5:43" s="275" customFormat="1">
      <c r="E82" s="276"/>
      <c r="F82" s="276"/>
      <c r="J82" s="276"/>
      <c r="K82" s="276"/>
      <c r="O82" s="276"/>
      <c r="P82" s="276"/>
      <c r="T82" s="276"/>
      <c r="U82" s="276"/>
      <c r="AA82" s="276"/>
      <c r="AB82" s="276"/>
      <c r="AF82" s="276"/>
      <c r="AG82" s="276"/>
      <c r="AK82" s="276"/>
      <c r="AL82" s="276"/>
      <c r="AP82" s="276"/>
      <c r="AQ82" s="276"/>
    </row>
    <row r="83" spans="5:43" s="275" customFormat="1">
      <c r="E83" s="276"/>
      <c r="F83" s="276"/>
      <c r="J83" s="276"/>
      <c r="K83" s="276"/>
      <c r="O83" s="276"/>
      <c r="P83" s="276"/>
      <c r="T83" s="276"/>
      <c r="U83" s="276"/>
      <c r="AA83" s="276"/>
      <c r="AB83" s="276"/>
      <c r="AF83" s="276"/>
      <c r="AG83" s="276"/>
      <c r="AK83" s="276"/>
      <c r="AL83" s="276"/>
      <c r="AP83" s="276"/>
      <c r="AQ83" s="276"/>
    </row>
    <row r="84" spans="5:43" s="275" customFormat="1">
      <c r="E84" s="276"/>
      <c r="F84" s="276"/>
      <c r="J84" s="276"/>
      <c r="K84" s="276"/>
      <c r="O84" s="276"/>
      <c r="P84" s="276"/>
      <c r="T84" s="276"/>
      <c r="U84" s="276"/>
      <c r="AA84" s="276"/>
      <c r="AB84" s="276"/>
      <c r="AF84" s="276"/>
      <c r="AG84" s="276"/>
      <c r="AK84" s="276"/>
      <c r="AL84" s="276"/>
      <c r="AP84" s="276"/>
      <c r="AQ84" s="276"/>
    </row>
    <row r="85" spans="5:43" s="275" customFormat="1">
      <c r="E85" s="276"/>
      <c r="F85" s="276"/>
      <c r="J85" s="276"/>
      <c r="K85" s="276"/>
      <c r="O85" s="276"/>
      <c r="P85" s="276"/>
      <c r="T85" s="276"/>
      <c r="U85" s="276"/>
      <c r="AA85" s="276"/>
      <c r="AB85" s="276"/>
      <c r="AF85" s="276"/>
      <c r="AG85" s="276"/>
      <c r="AK85" s="276"/>
      <c r="AL85" s="276"/>
      <c r="AP85" s="276"/>
      <c r="AQ85" s="276"/>
    </row>
    <row r="86" spans="5:43" s="275" customFormat="1">
      <c r="E86" s="276"/>
      <c r="F86" s="276"/>
      <c r="J86" s="276"/>
      <c r="K86" s="276"/>
      <c r="O86" s="276"/>
      <c r="P86" s="276"/>
      <c r="T86" s="276"/>
      <c r="U86" s="276"/>
      <c r="AA86" s="276"/>
      <c r="AB86" s="276"/>
      <c r="AF86" s="276"/>
      <c r="AG86" s="276"/>
      <c r="AK86" s="276"/>
      <c r="AL86" s="276"/>
      <c r="AP86" s="276"/>
      <c r="AQ86" s="276"/>
    </row>
    <row r="87" spans="5:43" s="275" customFormat="1">
      <c r="E87" s="276"/>
      <c r="F87" s="276"/>
      <c r="J87" s="276"/>
      <c r="K87" s="276"/>
      <c r="O87" s="276"/>
      <c r="P87" s="276"/>
      <c r="T87" s="276"/>
      <c r="U87" s="276"/>
      <c r="AA87" s="276"/>
      <c r="AB87" s="276"/>
      <c r="AF87" s="276"/>
      <c r="AG87" s="276"/>
      <c r="AK87" s="276"/>
      <c r="AL87" s="276"/>
      <c r="AP87" s="276"/>
      <c r="AQ87" s="276"/>
    </row>
    <row r="88" spans="5:43" s="275" customFormat="1">
      <c r="E88" s="276"/>
      <c r="F88" s="276"/>
      <c r="J88" s="276"/>
      <c r="K88" s="276"/>
      <c r="O88" s="276"/>
      <c r="P88" s="276"/>
      <c r="T88" s="276"/>
      <c r="U88" s="276"/>
      <c r="AA88" s="276"/>
      <c r="AB88" s="276"/>
      <c r="AF88" s="276"/>
      <c r="AG88" s="276"/>
      <c r="AK88" s="276"/>
      <c r="AL88" s="276"/>
      <c r="AP88" s="276"/>
      <c r="AQ88" s="276"/>
    </row>
    <row r="89" spans="5:43" s="275" customFormat="1">
      <c r="E89" s="276"/>
      <c r="F89" s="276"/>
      <c r="J89" s="276"/>
      <c r="K89" s="276"/>
      <c r="O89" s="276"/>
      <c r="P89" s="276"/>
      <c r="T89" s="276"/>
      <c r="U89" s="276"/>
      <c r="AA89" s="276"/>
      <c r="AB89" s="276"/>
      <c r="AF89" s="276"/>
      <c r="AG89" s="276"/>
      <c r="AK89" s="276"/>
      <c r="AL89" s="276"/>
      <c r="AP89" s="276"/>
      <c r="AQ89" s="276"/>
    </row>
    <row r="90" spans="5:43" s="275" customFormat="1">
      <c r="E90" s="276"/>
      <c r="F90" s="276"/>
      <c r="J90" s="276"/>
      <c r="K90" s="276"/>
      <c r="O90" s="276"/>
      <c r="P90" s="276"/>
      <c r="T90" s="276"/>
      <c r="U90" s="276"/>
      <c r="AA90" s="276"/>
      <c r="AB90" s="276"/>
      <c r="AF90" s="276"/>
      <c r="AG90" s="276"/>
      <c r="AK90" s="276"/>
      <c r="AL90" s="276"/>
      <c r="AP90" s="276"/>
      <c r="AQ90" s="276"/>
    </row>
    <row r="91" spans="5:43" s="275" customFormat="1">
      <c r="E91" s="276"/>
      <c r="F91" s="276"/>
      <c r="J91" s="276"/>
      <c r="K91" s="276"/>
      <c r="O91" s="276"/>
      <c r="P91" s="276"/>
      <c r="T91" s="276"/>
      <c r="U91" s="276"/>
      <c r="AA91" s="276"/>
      <c r="AB91" s="276"/>
      <c r="AF91" s="276"/>
      <c r="AG91" s="276"/>
      <c r="AK91" s="276"/>
      <c r="AL91" s="276"/>
      <c r="AP91" s="276"/>
      <c r="AQ91" s="276"/>
    </row>
    <row r="92" spans="5:43" s="275" customFormat="1">
      <c r="E92" s="276"/>
      <c r="F92" s="276"/>
      <c r="J92" s="276"/>
      <c r="K92" s="276"/>
      <c r="O92" s="276"/>
      <c r="P92" s="276"/>
      <c r="T92" s="276"/>
      <c r="U92" s="276"/>
      <c r="AA92" s="276"/>
      <c r="AB92" s="276"/>
      <c r="AF92" s="276"/>
      <c r="AG92" s="276"/>
      <c r="AK92" s="276"/>
      <c r="AL92" s="276"/>
      <c r="AP92" s="276"/>
      <c r="AQ92" s="276"/>
    </row>
    <row r="93" spans="5:43" s="275" customFormat="1">
      <c r="E93" s="276"/>
      <c r="F93" s="276"/>
      <c r="J93" s="276"/>
      <c r="K93" s="276"/>
      <c r="O93" s="276"/>
      <c r="P93" s="276"/>
      <c r="T93" s="276"/>
      <c r="U93" s="276"/>
      <c r="AA93" s="276"/>
      <c r="AB93" s="276"/>
      <c r="AF93" s="276"/>
      <c r="AG93" s="276"/>
      <c r="AK93" s="276"/>
      <c r="AL93" s="276"/>
      <c r="AP93" s="276"/>
      <c r="AQ93" s="276"/>
    </row>
    <row r="94" spans="5:43" s="275" customFormat="1">
      <c r="E94" s="276"/>
      <c r="F94" s="276"/>
      <c r="J94" s="276"/>
      <c r="K94" s="276"/>
      <c r="O94" s="276"/>
      <c r="P94" s="276"/>
      <c r="T94" s="276"/>
      <c r="U94" s="276"/>
      <c r="AA94" s="276"/>
      <c r="AB94" s="276"/>
      <c r="AF94" s="276"/>
      <c r="AG94" s="276"/>
      <c r="AK94" s="276"/>
      <c r="AL94" s="276"/>
      <c r="AP94" s="276"/>
      <c r="AQ94" s="276"/>
    </row>
    <row r="95" spans="5:43" s="275" customFormat="1">
      <c r="E95" s="276"/>
      <c r="F95" s="276"/>
      <c r="J95" s="276"/>
      <c r="K95" s="276"/>
      <c r="O95" s="276"/>
      <c r="P95" s="276"/>
      <c r="T95" s="276"/>
      <c r="U95" s="276"/>
      <c r="AA95" s="276"/>
      <c r="AB95" s="276"/>
      <c r="AF95" s="276"/>
      <c r="AG95" s="276"/>
      <c r="AK95" s="276"/>
      <c r="AL95" s="276"/>
      <c r="AP95" s="276"/>
      <c r="AQ95" s="276"/>
    </row>
    <row r="96" spans="5:43" s="275" customFormat="1">
      <c r="E96" s="276"/>
      <c r="F96" s="276"/>
      <c r="J96" s="276"/>
      <c r="K96" s="276"/>
      <c r="O96" s="276"/>
      <c r="P96" s="276"/>
      <c r="T96" s="276"/>
      <c r="U96" s="276"/>
      <c r="AA96" s="276"/>
      <c r="AB96" s="276"/>
      <c r="AF96" s="276"/>
      <c r="AG96" s="276"/>
      <c r="AK96" s="276"/>
      <c r="AL96" s="276"/>
      <c r="AP96" s="276"/>
      <c r="AQ96" s="276"/>
    </row>
    <row r="97" spans="5:43" s="275" customFormat="1">
      <c r="E97" s="276"/>
      <c r="F97" s="276"/>
      <c r="J97" s="276"/>
      <c r="K97" s="276"/>
      <c r="O97" s="276"/>
      <c r="P97" s="276"/>
      <c r="T97" s="276"/>
      <c r="U97" s="276"/>
      <c r="AA97" s="276"/>
      <c r="AB97" s="276"/>
      <c r="AF97" s="276"/>
      <c r="AG97" s="276"/>
      <c r="AK97" s="276"/>
      <c r="AL97" s="276"/>
      <c r="AP97" s="276"/>
      <c r="AQ97" s="276"/>
    </row>
    <row r="98" spans="5:43" s="275" customFormat="1">
      <c r="E98" s="276"/>
      <c r="F98" s="276"/>
      <c r="J98" s="276"/>
      <c r="K98" s="276"/>
      <c r="O98" s="276"/>
      <c r="P98" s="276"/>
      <c r="T98" s="276"/>
      <c r="U98" s="276"/>
      <c r="AA98" s="276"/>
      <c r="AB98" s="276"/>
      <c r="AF98" s="276"/>
      <c r="AG98" s="276"/>
      <c r="AK98" s="276"/>
      <c r="AL98" s="276"/>
      <c r="AP98" s="276"/>
      <c r="AQ98" s="276"/>
    </row>
    <row r="99" spans="5:43" s="275" customFormat="1">
      <c r="E99" s="276"/>
      <c r="F99" s="276"/>
      <c r="J99" s="276"/>
      <c r="K99" s="276"/>
      <c r="O99" s="276"/>
      <c r="P99" s="276"/>
      <c r="T99" s="276"/>
      <c r="U99" s="276"/>
      <c r="AA99" s="276"/>
      <c r="AB99" s="276"/>
      <c r="AF99" s="276"/>
      <c r="AG99" s="276"/>
      <c r="AK99" s="276"/>
      <c r="AL99" s="276"/>
      <c r="AP99" s="276"/>
      <c r="AQ99" s="276"/>
    </row>
    <row r="100" spans="5:43" s="275" customFormat="1">
      <c r="E100" s="276"/>
      <c r="F100" s="276"/>
      <c r="J100" s="276"/>
      <c r="K100" s="276"/>
      <c r="O100" s="276"/>
      <c r="P100" s="276"/>
      <c r="T100" s="276"/>
      <c r="U100" s="276"/>
      <c r="AA100" s="276"/>
      <c r="AB100" s="276"/>
      <c r="AF100" s="276"/>
      <c r="AG100" s="276"/>
      <c r="AK100" s="276"/>
      <c r="AL100" s="276"/>
      <c r="AP100" s="276"/>
      <c r="AQ100" s="276"/>
    </row>
    <row r="101" spans="5:43" s="275" customFormat="1">
      <c r="E101" s="276"/>
      <c r="F101" s="276"/>
      <c r="J101" s="276"/>
      <c r="K101" s="276"/>
      <c r="O101" s="276"/>
      <c r="P101" s="276"/>
      <c r="T101" s="276"/>
      <c r="U101" s="276"/>
      <c r="AA101" s="276"/>
      <c r="AB101" s="276"/>
      <c r="AF101" s="276"/>
      <c r="AG101" s="276"/>
      <c r="AK101" s="276"/>
      <c r="AL101" s="276"/>
      <c r="AP101" s="276"/>
      <c r="AQ101" s="276"/>
    </row>
    <row r="102" spans="5:43" s="275" customFormat="1">
      <c r="E102" s="276"/>
      <c r="F102" s="276"/>
      <c r="J102" s="276"/>
      <c r="K102" s="276"/>
      <c r="O102" s="276"/>
      <c r="P102" s="276"/>
      <c r="T102" s="276"/>
      <c r="U102" s="276"/>
      <c r="AA102" s="276"/>
      <c r="AB102" s="276"/>
      <c r="AF102" s="276"/>
      <c r="AG102" s="276"/>
      <c r="AK102" s="276"/>
      <c r="AL102" s="276"/>
      <c r="AP102" s="276"/>
      <c r="AQ102" s="276"/>
    </row>
    <row r="103" spans="5:43" s="275" customFormat="1">
      <c r="E103" s="276"/>
      <c r="F103" s="276"/>
      <c r="J103" s="276"/>
      <c r="K103" s="276"/>
      <c r="O103" s="276"/>
      <c r="P103" s="276"/>
      <c r="T103" s="276"/>
      <c r="U103" s="276"/>
      <c r="AA103" s="276"/>
      <c r="AB103" s="276"/>
      <c r="AF103" s="276"/>
      <c r="AG103" s="276"/>
      <c r="AK103" s="276"/>
      <c r="AL103" s="276"/>
      <c r="AP103" s="276"/>
      <c r="AQ103" s="276"/>
    </row>
    <row r="104" spans="5:43" s="275" customFormat="1">
      <c r="E104" s="276"/>
      <c r="F104" s="276"/>
      <c r="J104" s="276"/>
      <c r="K104" s="276"/>
      <c r="O104" s="276"/>
      <c r="P104" s="276"/>
      <c r="T104" s="276"/>
      <c r="U104" s="276"/>
      <c r="AA104" s="276"/>
      <c r="AB104" s="276"/>
      <c r="AF104" s="276"/>
      <c r="AG104" s="276"/>
      <c r="AK104" s="276"/>
      <c r="AL104" s="276"/>
      <c r="AP104" s="276"/>
      <c r="AQ104" s="276"/>
    </row>
    <row r="105" spans="5:43" s="275" customFormat="1">
      <c r="E105" s="276"/>
      <c r="F105" s="276"/>
      <c r="J105" s="276"/>
      <c r="K105" s="276"/>
      <c r="O105" s="276"/>
      <c r="P105" s="276"/>
      <c r="T105" s="276"/>
      <c r="U105" s="276"/>
      <c r="AA105" s="276"/>
      <c r="AB105" s="276"/>
      <c r="AF105" s="276"/>
      <c r="AG105" s="276"/>
      <c r="AK105" s="276"/>
      <c r="AL105" s="276"/>
      <c r="AP105" s="276"/>
      <c r="AQ105" s="276"/>
    </row>
    <row r="106" spans="5:43" s="275" customFormat="1">
      <c r="E106" s="276"/>
      <c r="F106" s="276"/>
      <c r="J106" s="276"/>
      <c r="K106" s="276"/>
      <c r="O106" s="276"/>
      <c r="P106" s="276"/>
      <c r="T106" s="276"/>
      <c r="U106" s="276"/>
      <c r="AA106" s="276"/>
      <c r="AB106" s="276"/>
      <c r="AF106" s="276"/>
      <c r="AG106" s="276"/>
      <c r="AK106" s="276"/>
      <c r="AL106" s="276"/>
      <c r="AP106" s="276"/>
      <c r="AQ106" s="276"/>
    </row>
    <row r="107" spans="5:43" s="275" customFormat="1">
      <c r="E107" s="276"/>
      <c r="F107" s="276"/>
      <c r="J107" s="276"/>
      <c r="K107" s="276"/>
      <c r="O107" s="276"/>
      <c r="P107" s="276"/>
      <c r="T107" s="276"/>
      <c r="U107" s="276"/>
      <c r="AA107" s="276"/>
      <c r="AB107" s="276"/>
      <c r="AF107" s="276"/>
      <c r="AG107" s="276"/>
      <c r="AK107" s="276"/>
      <c r="AL107" s="276"/>
      <c r="AP107" s="276"/>
      <c r="AQ107" s="276"/>
    </row>
    <row r="108" spans="5:43" s="275" customFormat="1">
      <c r="E108" s="276"/>
      <c r="F108" s="276"/>
      <c r="J108" s="276"/>
      <c r="K108" s="276"/>
      <c r="O108" s="276"/>
      <c r="P108" s="276"/>
      <c r="T108" s="276"/>
      <c r="U108" s="276"/>
      <c r="AA108" s="276"/>
      <c r="AB108" s="276"/>
      <c r="AF108" s="276"/>
      <c r="AG108" s="276"/>
      <c r="AK108" s="276"/>
      <c r="AL108" s="276"/>
      <c r="AP108" s="276"/>
      <c r="AQ108" s="276"/>
    </row>
    <row r="109" spans="5:43" s="275" customFormat="1">
      <c r="E109" s="276"/>
      <c r="F109" s="276"/>
      <c r="J109" s="276"/>
      <c r="K109" s="276"/>
      <c r="O109" s="276"/>
      <c r="P109" s="276"/>
      <c r="T109" s="276"/>
      <c r="U109" s="276"/>
      <c r="AA109" s="276"/>
      <c r="AB109" s="276"/>
      <c r="AF109" s="276"/>
      <c r="AG109" s="276"/>
      <c r="AK109" s="276"/>
      <c r="AL109" s="276"/>
      <c r="AP109" s="276"/>
      <c r="AQ109" s="276"/>
    </row>
    <row r="110" spans="5:43" s="275" customFormat="1">
      <c r="E110" s="276"/>
      <c r="F110" s="276"/>
      <c r="J110" s="276"/>
      <c r="K110" s="276"/>
      <c r="O110" s="276"/>
      <c r="P110" s="276"/>
      <c r="T110" s="276"/>
      <c r="U110" s="276"/>
      <c r="AA110" s="276"/>
      <c r="AB110" s="276"/>
      <c r="AF110" s="276"/>
      <c r="AG110" s="276"/>
      <c r="AK110" s="276"/>
      <c r="AL110" s="276"/>
      <c r="AP110" s="276"/>
      <c r="AQ110" s="276"/>
    </row>
    <row r="111" spans="5:43" s="275" customFormat="1">
      <c r="E111" s="276"/>
      <c r="F111" s="276"/>
      <c r="J111" s="276"/>
      <c r="K111" s="276"/>
      <c r="O111" s="276"/>
      <c r="P111" s="276"/>
      <c r="T111" s="276"/>
      <c r="U111" s="276"/>
      <c r="AA111" s="276"/>
      <c r="AB111" s="276"/>
      <c r="AF111" s="276"/>
      <c r="AG111" s="276"/>
      <c r="AK111" s="276"/>
      <c r="AL111" s="276"/>
      <c r="AP111" s="276"/>
      <c r="AQ111" s="276"/>
    </row>
    <row r="112" spans="5:43" s="275" customFormat="1">
      <c r="E112" s="276"/>
      <c r="F112" s="276"/>
      <c r="J112" s="276"/>
      <c r="K112" s="276"/>
      <c r="O112" s="276"/>
      <c r="P112" s="276"/>
      <c r="T112" s="276"/>
      <c r="U112" s="276"/>
      <c r="AA112" s="276"/>
      <c r="AB112" s="276"/>
      <c r="AF112" s="276"/>
      <c r="AG112" s="276"/>
      <c r="AK112" s="276"/>
      <c r="AL112" s="276"/>
      <c r="AP112" s="276"/>
      <c r="AQ112" s="276"/>
    </row>
    <row r="113" spans="5:43" s="275" customFormat="1">
      <c r="E113" s="276"/>
      <c r="F113" s="276"/>
      <c r="J113" s="276"/>
      <c r="K113" s="276"/>
      <c r="O113" s="276"/>
      <c r="P113" s="276"/>
      <c r="T113" s="276"/>
      <c r="U113" s="276"/>
      <c r="AA113" s="276"/>
      <c r="AB113" s="276"/>
      <c r="AF113" s="276"/>
      <c r="AG113" s="276"/>
      <c r="AK113" s="276"/>
      <c r="AL113" s="276"/>
      <c r="AP113" s="276"/>
      <c r="AQ113" s="276"/>
    </row>
    <row r="114" spans="5:43" s="275" customFormat="1">
      <c r="E114" s="276"/>
      <c r="F114" s="276"/>
      <c r="J114" s="276"/>
      <c r="K114" s="276"/>
      <c r="O114" s="276"/>
      <c r="P114" s="276"/>
      <c r="T114" s="276"/>
      <c r="U114" s="276"/>
      <c r="AA114" s="276"/>
      <c r="AB114" s="276"/>
      <c r="AF114" s="276"/>
      <c r="AG114" s="276"/>
      <c r="AK114" s="276"/>
      <c r="AL114" s="276"/>
      <c r="AP114" s="276"/>
      <c r="AQ114" s="276"/>
    </row>
    <row r="115" spans="5:43" s="275" customFormat="1">
      <c r="E115" s="276"/>
      <c r="F115" s="276"/>
      <c r="J115" s="276"/>
      <c r="K115" s="276"/>
      <c r="O115" s="276"/>
      <c r="P115" s="276"/>
      <c r="T115" s="276"/>
      <c r="U115" s="276"/>
      <c r="AA115" s="276"/>
      <c r="AB115" s="276"/>
      <c r="AF115" s="276"/>
      <c r="AG115" s="276"/>
      <c r="AK115" s="276"/>
      <c r="AL115" s="276"/>
      <c r="AP115" s="276"/>
      <c r="AQ115" s="276"/>
    </row>
    <row r="116" spans="5:43" s="275" customFormat="1">
      <c r="E116" s="276"/>
      <c r="F116" s="276"/>
      <c r="J116" s="276"/>
      <c r="K116" s="276"/>
      <c r="O116" s="276"/>
      <c r="P116" s="276"/>
      <c r="T116" s="276"/>
      <c r="U116" s="276"/>
      <c r="AA116" s="276"/>
      <c r="AB116" s="276"/>
      <c r="AF116" s="276"/>
      <c r="AG116" s="276"/>
      <c r="AK116" s="276"/>
      <c r="AL116" s="276"/>
      <c r="AP116" s="276"/>
      <c r="AQ116" s="276"/>
    </row>
    <row r="117" spans="5:43" s="275" customFormat="1">
      <c r="E117" s="276"/>
      <c r="F117" s="276"/>
      <c r="J117" s="276"/>
      <c r="K117" s="276"/>
      <c r="O117" s="276"/>
      <c r="P117" s="276"/>
      <c r="T117" s="276"/>
      <c r="U117" s="276"/>
      <c r="AA117" s="276"/>
      <c r="AB117" s="276"/>
      <c r="AF117" s="276"/>
      <c r="AG117" s="276"/>
      <c r="AK117" s="276"/>
      <c r="AL117" s="276"/>
      <c r="AP117" s="276"/>
      <c r="AQ117" s="276"/>
    </row>
    <row r="118" spans="5:43" s="275" customFormat="1">
      <c r="E118" s="276"/>
      <c r="F118" s="276"/>
      <c r="J118" s="276"/>
      <c r="K118" s="276"/>
      <c r="O118" s="276"/>
      <c r="P118" s="276"/>
      <c r="T118" s="276"/>
      <c r="U118" s="276"/>
      <c r="AA118" s="276"/>
      <c r="AB118" s="276"/>
      <c r="AF118" s="276"/>
      <c r="AG118" s="276"/>
      <c r="AK118" s="276"/>
      <c r="AL118" s="276"/>
      <c r="AP118" s="276"/>
      <c r="AQ118" s="276"/>
    </row>
    <row r="119" spans="5:43" s="275" customFormat="1">
      <c r="E119" s="276"/>
      <c r="F119" s="276"/>
      <c r="J119" s="276"/>
      <c r="K119" s="276"/>
      <c r="O119" s="276"/>
      <c r="P119" s="276"/>
      <c r="T119" s="276"/>
      <c r="U119" s="276"/>
      <c r="AA119" s="276"/>
      <c r="AB119" s="276"/>
      <c r="AF119" s="276"/>
      <c r="AG119" s="276"/>
      <c r="AK119" s="276"/>
      <c r="AL119" s="276"/>
      <c r="AP119" s="276"/>
      <c r="AQ119" s="276"/>
    </row>
    <row r="120" spans="5:43" s="275" customFormat="1">
      <c r="E120" s="276"/>
      <c r="F120" s="276"/>
      <c r="J120" s="276"/>
      <c r="K120" s="276"/>
      <c r="O120" s="276"/>
      <c r="P120" s="276"/>
      <c r="T120" s="276"/>
      <c r="U120" s="276"/>
      <c r="AA120" s="276"/>
      <c r="AB120" s="276"/>
      <c r="AF120" s="276"/>
      <c r="AG120" s="276"/>
      <c r="AK120" s="276"/>
      <c r="AL120" s="276"/>
      <c r="AP120" s="276"/>
      <c r="AQ120" s="276"/>
    </row>
    <row r="121" spans="5:43" s="275" customFormat="1">
      <c r="E121" s="276"/>
      <c r="F121" s="276"/>
      <c r="J121" s="276"/>
      <c r="K121" s="276"/>
      <c r="O121" s="276"/>
      <c r="P121" s="276"/>
      <c r="T121" s="276"/>
      <c r="U121" s="276"/>
      <c r="AA121" s="276"/>
      <c r="AB121" s="276"/>
      <c r="AF121" s="276"/>
      <c r="AG121" s="276"/>
      <c r="AK121" s="276"/>
      <c r="AL121" s="276"/>
      <c r="AP121" s="276"/>
      <c r="AQ121" s="276"/>
    </row>
    <row r="122" spans="5:43" s="275" customFormat="1">
      <c r="E122" s="276"/>
      <c r="F122" s="276"/>
      <c r="J122" s="276"/>
      <c r="K122" s="276"/>
      <c r="O122" s="276"/>
      <c r="P122" s="276"/>
      <c r="T122" s="276"/>
      <c r="U122" s="276"/>
      <c r="AA122" s="276"/>
      <c r="AB122" s="276"/>
      <c r="AF122" s="276"/>
      <c r="AG122" s="276"/>
      <c r="AK122" s="276"/>
      <c r="AL122" s="276"/>
      <c r="AP122" s="276"/>
      <c r="AQ122" s="276"/>
    </row>
    <row r="123" spans="5:43" s="275" customFormat="1">
      <c r="E123" s="276"/>
      <c r="F123" s="276"/>
      <c r="J123" s="276"/>
      <c r="K123" s="276"/>
      <c r="O123" s="276"/>
      <c r="P123" s="276"/>
      <c r="T123" s="276"/>
      <c r="U123" s="276"/>
      <c r="AA123" s="276"/>
      <c r="AB123" s="276"/>
      <c r="AF123" s="276"/>
      <c r="AG123" s="276"/>
      <c r="AK123" s="276"/>
      <c r="AL123" s="276"/>
      <c r="AP123" s="276"/>
      <c r="AQ123" s="276"/>
    </row>
    <row r="124" spans="5:43" s="275" customFormat="1">
      <c r="E124" s="276"/>
      <c r="F124" s="276"/>
      <c r="J124" s="276"/>
      <c r="K124" s="276"/>
      <c r="O124" s="276"/>
      <c r="P124" s="276"/>
      <c r="T124" s="276"/>
      <c r="U124" s="276"/>
      <c r="AA124" s="276"/>
      <c r="AB124" s="276"/>
      <c r="AF124" s="276"/>
      <c r="AG124" s="276"/>
      <c r="AK124" s="276"/>
      <c r="AL124" s="276"/>
      <c r="AP124" s="276"/>
      <c r="AQ124" s="276"/>
    </row>
    <row r="125" spans="5:43" s="275" customFormat="1">
      <c r="E125" s="276"/>
      <c r="F125" s="276"/>
      <c r="J125" s="276"/>
      <c r="K125" s="276"/>
      <c r="O125" s="276"/>
      <c r="P125" s="276"/>
      <c r="T125" s="276"/>
      <c r="U125" s="276"/>
      <c r="AA125" s="276"/>
      <c r="AB125" s="276"/>
      <c r="AF125" s="276"/>
      <c r="AG125" s="276"/>
      <c r="AK125" s="276"/>
      <c r="AL125" s="276"/>
      <c r="AP125" s="276"/>
      <c r="AQ125" s="276"/>
    </row>
    <row r="126" spans="5:43" s="275" customFormat="1">
      <c r="E126" s="276"/>
      <c r="F126" s="276"/>
      <c r="J126" s="276"/>
      <c r="K126" s="276"/>
      <c r="O126" s="276"/>
      <c r="P126" s="276"/>
      <c r="T126" s="276"/>
      <c r="U126" s="276"/>
      <c r="AA126" s="276"/>
      <c r="AB126" s="276"/>
      <c r="AF126" s="276"/>
      <c r="AG126" s="276"/>
      <c r="AK126" s="276"/>
      <c r="AL126" s="276"/>
      <c r="AP126" s="276"/>
      <c r="AQ126" s="276"/>
    </row>
    <row r="127" spans="5:43" s="275" customFormat="1">
      <c r="E127" s="276"/>
      <c r="F127" s="276"/>
      <c r="J127" s="276"/>
      <c r="K127" s="276"/>
      <c r="O127" s="276"/>
      <c r="P127" s="276"/>
      <c r="T127" s="276"/>
      <c r="U127" s="276"/>
      <c r="AA127" s="276"/>
      <c r="AB127" s="276"/>
      <c r="AF127" s="276"/>
      <c r="AG127" s="276"/>
      <c r="AK127" s="276"/>
      <c r="AL127" s="276"/>
      <c r="AP127" s="276"/>
      <c r="AQ127" s="276"/>
    </row>
    <row r="128" spans="5:43" s="275" customFormat="1">
      <c r="E128" s="276"/>
      <c r="F128" s="276"/>
      <c r="J128" s="276"/>
      <c r="K128" s="276"/>
      <c r="O128" s="276"/>
      <c r="P128" s="276"/>
      <c r="T128" s="276"/>
      <c r="U128" s="276"/>
      <c r="AA128" s="276"/>
      <c r="AB128" s="276"/>
      <c r="AF128" s="276"/>
      <c r="AG128" s="276"/>
      <c r="AK128" s="276"/>
      <c r="AL128" s="276"/>
      <c r="AP128" s="276"/>
      <c r="AQ128" s="276"/>
    </row>
    <row r="129" spans="5:43" s="275" customFormat="1">
      <c r="E129" s="276"/>
      <c r="F129" s="276"/>
      <c r="J129" s="276"/>
      <c r="K129" s="276"/>
      <c r="O129" s="276"/>
      <c r="P129" s="276"/>
      <c r="T129" s="276"/>
      <c r="U129" s="276"/>
      <c r="AA129" s="276"/>
      <c r="AB129" s="276"/>
      <c r="AF129" s="276"/>
      <c r="AG129" s="276"/>
      <c r="AK129" s="276"/>
      <c r="AL129" s="276"/>
      <c r="AP129" s="276"/>
      <c r="AQ129" s="276"/>
    </row>
    <row r="130" spans="5:43" s="275" customFormat="1">
      <c r="E130" s="276"/>
      <c r="F130" s="276"/>
      <c r="J130" s="276"/>
      <c r="K130" s="276"/>
      <c r="O130" s="276"/>
      <c r="P130" s="276"/>
      <c r="T130" s="276"/>
      <c r="U130" s="276"/>
      <c r="AA130" s="276"/>
      <c r="AB130" s="276"/>
      <c r="AF130" s="276"/>
      <c r="AG130" s="276"/>
      <c r="AK130" s="276"/>
      <c r="AL130" s="276"/>
      <c r="AP130" s="276"/>
      <c r="AQ130" s="276"/>
    </row>
    <row r="131" spans="5:43" s="275" customFormat="1">
      <c r="E131" s="276"/>
      <c r="F131" s="276"/>
      <c r="J131" s="276"/>
      <c r="K131" s="276"/>
      <c r="O131" s="276"/>
      <c r="P131" s="276"/>
      <c r="T131" s="276"/>
      <c r="U131" s="276"/>
      <c r="AA131" s="276"/>
      <c r="AB131" s="276"/>
      <c r="AF131" s="276"/>
      <c r="AG131" s="276"/>
      <c r="AK131" s="276"/>
      <c r="AL131" s="276"/>
      <c r="AP131" s="276"/>
      <c r="AQ131" s="276"/>
    </row>
    <row r="132" spans="5:43" s="275" customFormat="1">
      <c r="E132" s="276"/>
      <c r="F132" s="276"/>
      <c r="J132" s="276"/>
      <c r="K132" s="276"/>
      <c r="O132" s="276"/>
      <c r="P132" s="276"/>
      <c r="T132" s="276"/>
      <c r="U132" s="276"/>
      <c r="AA132" s="276"/>
      <c r="AB132" s="276"/>
      <c r="AF132" s="276"/>
      <c r="AG132" s="276"/>
      <c r="AK132" s="276"/>
      <c r="AL132" s="276"/>
      <c r="AP132" s="276"/>
      <c r="AQ132" s="276"/>
    </row>
    <row r="133" spans="5:43" s="275" customFormat="1">
      <c r="E133" s="276"/>
      <c r="F133" s="276"/>
      <c r="J133" s="276"/>
      <c r="K133" s="276"/>
      <c r="O133" s="276"/>
      <c r="P133" s="276"/>
      <c r="T133" s="276"/>
      <c r="U133" s="276"/>
      <c r="AA133" s="276"/>
      <c r="AB133" s="276"/>
      <c r="AF133" s="276"/>
      <c r="AG133" s="276"/>
      <c r="AK133" s="276"/>
      <c r="AL133" s="276"/>
      <c r="AP133" s="276"/>
      <c r="AQ133" s="276"/>
    </row>
    <row r="134" spans="5:43" s="275" customFormat="1">
      <c r="E134" s="276"/>
      <c r="F134" s="276"/>
      <c r="J134" s="276"/>
      <c r="K134" s="276"/>
      <c r="O134" s="276"/>
      <c r="P134" s="276"/>
      <c r="T134" s="276"/>
      <c r="U134" s="276"/>
      <c r="AA134" s="276"/>
      <c r="AB134" s="276"/>
      <c r="AF134" s="276"/>
      <c r="AG134" s="276"/>
      <c r="AK134" s="276"/>
      <c r="AL134" s="276"/>
      <c r="AP134" s="276"/>
      <c r="AQ134" s="276"/>
    </row>
    <row r="135" spans="5:43" s="275" customFormat="1">
      <c r="E135" s="276"/>
      <c r="F135" s="276"/>
      <c r="J135" s="276"/>
      <c r="K135" s="276"/>
      <c r="O135" s="276"/>
      <c r="P135" s="276"/>
      <c r="T135" s="276"/>
      <c r="U135" s="276"/>
      <c r="AA135" s="276"/>
      <c r="AB135" s="276"/>
      <c r="AF135" s="276"/>
      <c r="AG135" s="276"/>
      <c r="AK135" s="276"/>
      <c r="AL135" s="276"/>
      <c r="AP135" s="276"/>
      <c r="AQ135" s="276"/>
    </row>
    <row r="136" spans="5:43" s="275" customFormat="1">
      <c r="E136" s="276"/>
      <c r="F136" s="276"/>
      <c r="J136" s="276"/>
      <c r="K136" s="276"/>
      <c r="O136" s="276"/>
      <c r="P136" s="276"/>
      <c r="T136" s="276"/>
      <c r="U136" s="276"/>
      <c r="AA136" s="276"/>
      <c r="AB136" s="276"/>
      <c r="AF136" s="276"/>
      <c r="AG136" s="276"/>
      <c r="AK136" s="276"/>
      <c r="AL136" s="276"/>
      <c r="AP136" s="276"/>
      <c r="AQ136" s="276"/>
    </row>
    <row r="137" spans="5:43" s="275" customFormat="1">
      <c r="E137" s="276"/>
      <c r="F137" s="276"/>
      <c r="J137" s="276"/>
      <c r="K137" s="276"/>
      <c r="O137" s="276"/>
      <c r="P137" s="276"/>
      <c r="T137" s="276"/>
      <c r="U137" s="276"/>
      <c r="AA137" s="276"/>
      <c r="AB137" s="276"/>
      <c r="AF137" s="276"/>
      <c r="AG137" s="276"/>
      <c r="AK137" s="276"/>
      <c r="AL137" s="276"/>
      <c r="AP137" s="276"/>
      <c r="AQ137" s="276"/>
    </row>
    <row r="138" spans="5:43" s="275" customFormat="1">
      <c r="E138" s="276"/>
      <c r="F138" s="276"/>
      <c r="J138" s="276"/>
      <c r="K138" s="276"/>
      <c r="O138" s="276"/>
      <c r="P138" s="276"/>
      <c r="T138" s="276"/>
      <c r="U138" s="276"/>
      <c r="AA138" s="276"/>
      <c r="AB138" s="276"/>
      <c r="AF138" s="276"/>
      <c r="AG138" s="276"/>
      <c r="AK138" s="276"/>
      <c r="AL138" s="276"/>
      <c r="AP138" s="276"/>
      <c r="AQ138" s="276"/>
    </row>
    <row r="139" spans="5:43" s="275" customFormat="1">
      <c r="E139" s="276"/>
      <c r="F139" s="276"/>
      <c r="J139" s="276"/>
      <c r="K139" s="276"/>
      <c r="O139" s="276"/>
      <c r="P139" s="276"/>
      <c r="T139" s="276"/>
      <c r="U139" s="276"/>
      <c r="AA139" s="276"/>
      <c r="AB139" s="276"/>
      <c r="AF139" s="276"/>
      <c r="AG139" s="276"/>
      <c r="AK139" s="276"/>
      <c r="AL139" s="276"/>
      <c r="AP139" s="276"/>
      <c r="AQ139" s="276"/>
    </row>
    <row r="140" spans="5:43" s="275" customFormat="1">
      <c r="E140" s="276"/>
      <c r="F140" s="276"/>
      <c r="J140" s="276"/>
      <c r="K140" s="276"/>
      <c r="O140" s="276"/>
      <c r="P140" s="276"/>
      <c r="T140" s="276"/>
      <c r="U140" s="276"/>
      <c r="AA140" s="276"/>
      <c r="AB140" s="276"/>
      <c r="AF140" s="276"/>
      <c r="AG140" s="276"/>
      <c r="AK140" s="276"/>
      <c r="AL140" s="276"/>
      <c r="AP140" s="276"/>
      <c r="AQ140" s="276"/>
    </row>
    <row r="141" spans="5:43" s="275" customFormat="1">
      <c r="E141" s="276"/>
      <c r="F141" s="276"/>
      <c r="J141" s="276"/>
      <c r="K141" s="276"/>
      <c r="O141" s="276"/>
      <c r="P141" s="276"/>
      <c r="T141" s="276"/>
      <c r="U141" s="276"/>
      <c r="AA141" s="276"/>
      <c r="AB141" s="276"/>
      <c r="AF141" s="276"/>
      <c r="AG141" s="276"/>
      <c r="AK141" s="276"/>
      <c r="AL141" s="276"/>
      <c r="AP141" s="276"/>
      <c r="AQ141" s="276"/>
    </row>
    <row r="142" spans="5:43" s="275" customFormat="1">
      <c r="E142" s="276"/>
      <c r="F142" s="276"/>
      <c r="J142" s="276"/>
      <c r="K142" s="276"/>
      <c r="O142" s="276"/>
      <c r="P142" s="276"/>
      <c r="T142" s="276"/>
      <c r="U142" s="276"/>
      <c r="AA142" s="276"/>
      <c r="AB142" s="276"/>
      <c r="AF142" s="276"/>
      <c r="AG142" s="276"/>
      <c r="AK142" s="276"/>
      <c r="AL142" s="276"/>
      <c r="AP142" s="276"/>
      <c r="AQ142" s="276"/>
    </row>
    <row r="143" spans="5:43" s="275" customFormat="1">
      <c r="E143" s="276"/>
      <c r="F143" s="276"/>
      <c r="J143" s="276"/>
      <c r="K143" s="276"/>
      <c r="O143" s="276"/>
      <c r="P143" s="276"/>
      <c r="T143" s="276"/>
      <c r="U143" s="276"/>
      <c r="AA143" s="276"/>
      <c r="AB143" s="276"/>
      <c r="AF143" s="276"/>
      <c r="AG143" s="276"/>
      <c r="AK143" s="276"/>
      <c r="AL143" s="276"/>
      <c r="AP143" s="276"/>
      <c r="AQ143" s="276"/>
    </row>
    <row r="144" spans="5:43" s="275" customFormat="1">
      <c r="E144" s="276"/>
      <c r="F144" s="276"/>
      <c r="J144" s="276"/>
      <c r="K144" s="276"/>
      <c r="O144" s="276"/>
      <c r="P144" s="276"/>
      <c r="T144" s="276"/>
      <c r="U144" s="276"/>
      <c r="AA144" s="276"/>
      <c r="AB144" s="276"/>
      <c r="AF144" s="276"/>
      <c r="AG144" s="276"/>
      <c r="AK144" s="276"/>
      <c r="AL144" s="276"/>
      <c r="AP144" s="276"/>
      <c r="AQ144" s="276"/>
    </row>
    <row r="145" spans="5:43" s="275" customFormat="1">
      <c r="E145" s="276"/>
      <c r="F145" s="276"/>
      <c r="J145" s="276"/>
      <c r="K145" s="276"/>
      <c r="O145" s="276"/>
      <c r="P145" s="276"/>
      <c r="T145" s="276"/>
      <c r="U145" s="276"/>
      <c r="AA145" s="276"/>
      <c r="AB145" s="276"/>
      <c r="AF145" s="276"/>
      <c r="AG145" s="276"/>
      <c r="AK145" s="276"/>
      <c r="AL145" s="276"/>
      <c r="AP145" s="276"/>
      <c r="AQ145" s="276"/>
    </row>
    <row r="146" spans="5:43" s="275" customFormat="1">
      <c r="E146" s="276"/>
      <c r="F146" s="276"/>
      <c r="J146" s="276"/>
      <c r="K146" s="276"/>
      <c r="O146" s="276"/>
      <c r="P146" s="276"/>
      <c r="T146" s="276"/>
      <c r="U146" s="276"/>
      <c r="AA146" s="276"/>
      <c r="AB146" s="276"/>
      <c r="AF146" s="276"/>
      <c r="AG146" s="276"/>
      <c r="AK146" s="276"/>
      <c r="AL146" s="276"/>
      <c r="AP146" s="276"/>
      <c r="AQ146" s="276"/>
    </row>
    <row r="147" spans="5:43" s="275" customFormat="1">
      <c r="E147" s="276"/>
      <c r="F147" s="276"/>
      <c r="J147" s="276"/>
      <c r="K147" s="276"/>
      <c r="O147" s="276"/>
      <c r="P147" s="276"/>
      <c r="T147" s="276"/>
      <c r="U147" s="276"/>
      <c r="AA147" s="276"/>
      <c r="AB147" s="276"/>
      <c r="AF147" s="276"/>
      <c r="AG147" s="276"/>
      <c r="AK147" s="276"/>
      <c r="AL147" s="276"/>
      <c r="AP147" s="276"/>
      <c r="AQ147" s="276"/>
    </row>
    <row r="148" spans="5:43" s="275" customFormat="1">
      <c r="E148" s="276"/>
      <c r="F148" s="276"/>
      <c r="J148" s="276"/>
      <c r="K148" s="276"/>
      <c r="O148" s="276"/>
      <c r="P148" s="276"/>
      <c r="T148" s="276"/>
      <c r="U148" s="276"/>
      <c r="AA148" s="276"/>
      <c r="AB148" s="276"/>
      <c r="AF148" s="276"/>
      <c r="AG148" s="276"/>
      <c r="AK148" s="276"/>
      <c r="AL148" s="276"/>
      <c r="AP148" s="276"/>
      <c r="AQ148" s="276"/>
    </row>
    <row r="149" spans="5:43" s="275" customFormat="1">
      <c r="E149" s="276"/>
      <c r="F149" s="276"/>
      <c r="J149" s="276"/>
      <c r="K149" s="276"/>
      <c r="O149" s="276"/>
      <c r="P149" s="276"/>
      <c r="T149" s="276"/>
      <c r="U149" s="276"/>
      <c r="AA149" s="276"/>
      <c r="AB149" s="276"/>
      <c r="AF149" s="276"/>
      <c r="AG149" s="276"/>
      <c r="AK149" s="276"/>
      <c r="AL149" s="276"/>
      <c r="AP149" s="276"/>
      <c r="AQ149" s="276"/>
    </row>
    <row r="150" spans="5:43" s="275" customFormat="1">
      <c r="E150" s="276"/>
      <c r="F150" s="276"/>
      <c r="J150" s="276"/>
      <c r="K150" s="276"/>
      <c r="O150" s="276"/>
      <c r="P150" s="276"/>
      <c r="T150" s="276"/>
      <c r="U150" s="276"/>
      <c r="AA150" s="276"/>
      <c r="AB150" s="276"/>
      <c r="AF150" s="276"/>
      <c r="AG150" s="276"/>
      <c r="AK150" s="276"/>
      <c r="AL150" s="276"/>
      <c r="AP150" s="276"/>
      <c r="AQ150" s="276"/>
    </row>
    <row r="151" spans="5:43" s="275" customFormat="1">
      <c r="E151" s="276"/>
      <c r="F151" s="276"/>
      <c r="J151" s="276"/>
      <c r="K151" s="276"/>
      <c r="O151" s="276"/>
      <c r="P151" s="276"/>
      <c r="T151" s="276"/>
      <c r="U151" s="276"/>
      <c r="AA151" s="276"/>
      <c r="AB151" s="276"/>
      <c r="AF151" s="276"/>
      <c r="AG151" s="276"/>
      <c r="AK151" s="276"/>
      <c r="AL151" s="276"/>
      <c r="AP151" s="276"/>
      <c r="AQ151" s="276"/>
    </row>
    <row r="152" spans="5:43" s="275" customFormat="1">
      <c r="E152" s="276"/>
      <c r="F152" s="276"/>
      <c r="J152" s="276"/>
      <c r="K152" s="276"/>
      <c r="O152" s="276"/>
      <c r="P152" s="276"/>
      <c r="T152" s="276"/>
      <c r="U152" s="276"/>
      <c r="AA152" s="276"/>
      <c r="AB152" s="276"/>
      <c r="AF152" s="276"/>
      <c r="AG152" s="276"/>
      <c r="AK152" s="276"/>
      <c r="AL152" s="276"/>
      <c r="AP152" s="276"/>
      <c r="AQ152" s="276"/>
    </row>
    <row r="153" spans="5:43" s="275" customFormat="1">
      <c r="E153" s="276"/>
      <c r="F153" s="276"/>
      <c r="J153" s="276"/>
      <c r="K153" s="276"/>
      <c r="O153" s="276"/>
      <c r="P153" s="276"/>
      <c r="T153" s="276"/>
      <c r="U153" s="276"/>
      <c r="AA153" s="276"/>
      <c r="AB153" s="276"/>
      <c r="AF153" s="276"/>
      <c r="AG153" s="276"/>
      <c r="AK153" s="276"/>
      <c r="AL153" s="276"/>
      <c r="AP153" s="276"/>
      <c r="AQ153" s="276"/>
    </row>
    <row r="154" spans="5:43" s="275" customFormat="1">
      <c r="E154" s="276"/>
      <c r="F154" s="276"/>
      <c r="J154" s="276"/>
      <c r="K154" s="276"/>
      <c r="O154" s="276"/>
      <c r="P154" s="276"/>
      <c r="T154" s="276"/>
      <c r="U154" s="276"/>
      <c r="AA154" s="276"/>
      <c r="AB154" s="276"/>
      <c r="AF154" s="276"/>
      <c r="AG154" s="276"/>
      <c r="AK154" s="276"/>
      <c r="AL154" s="276"/>
      <c r="AP154" s="276"/>
      <c r="AQ154" s="276"/>
    </row>
    <row r="155" spans="5:43" s="275" customFormat="1">
      <c r="E155" s="276"/>
      <c r="F155" s="276"/>
      <c r="J155" s="276"/>
      <c r="K155" s="276"/>
      <c r="O155" s="276"/>
      <c r="P155" s="276"/>
      <c r="T155" s="276"/>
      <c r="U155" s="276"/>
      <c r="AA155" s="276"/>
      <c r="AB155" s="276"/>
      <c r="AF155" s="276"/>
      <c r="AG155" s="276"/>
      <c r="AK155" s="276"/>
      <c r="AL155" s="276"/>
      <c r="AP155" s="276"/>
      <c r="AQ155" s="276"/>
    </row>
    <row r="156" spans="5:43" s="275" customFormat="1">
      <c r="E156" s="276"/>
      <c r="F156" s="276"/>
      <c r="J156" s="276"/>
      <c r="K156" s="276"/>
      <c r="O156" s="276"/>
      <c r="P156" s="276"/>
      <c r="T156" s="276"/>
      <c r="U156" s="276"/>
      <c r="AA156" s="276"/>
      <c r="AB156" s="276"/>
      <c r="AF156" s="276"/>
      <c r="AG156" s="276"/>
      <c r="AK156" s="276"/>
      <c r="AL156" s="276"/>
      <c r="AP156" s="276"/>
      <c r="AQ156" s="276"/>
    </row>
    <row r="157" spans="5:43" s="275" customFormat="1">
      <c r="E157" s="276"/>
      <c r="F157" s="276"/>
      <c r="J157" s="276"/>
      <c r="K157" s="276"/>
      <c r="O157" s="276"/>
      <c r="P157" s="276"/>
      <c r="T157" s="276"/>
      <c r="U157" s="276"/>
      <c r="AA157" s="276"/>
      <c r="AB157" s="276"/>
      <c r="AF157" s="276"/>
      <c r="AG157" s="276"/>
      <c r="AK157" s="276"/>
      <c r="AL157" s="276"/>
      <c r="AP157" s="276"/>
      <c r="AQ157" s="276"/>
    </row>
    <row r="158" spans="5:43" s="275" customFormat="1">
      <c r="E158" s="276"/>
      <c r="F158" s="276"/>
      <c r="J158" s="276"/>
      <c r="K158" s="276"/>
      <c r="O158" s="276"/>
      <c r="P158" s="276"/>
      <c r="T158" s="276"/>
      <c r="U158" s="276"/>
      <c r="AA158" s="276"/>
      <c r="AB158" s="276"/>
      <c r="AF158" s="276"/>
      <c r="AG158" s="276"/>
      <c r="AK158" s="276"/>
      <c r="AL158" s="276"/>
      <c r="AP158" s="276"/>
      <c r="AQ158" s="276"/>
    </row>
    <row r="159" spans="5:43" s="275" customFormat="1">
      <c r="E159" s="276"/>
      <c r="F159" s="276"/>
      <c r="J159" s="276"/>
      <c r="K159" s="276"/>
      <c r="O159" s="276"/>
      <c r="P159" s="276"/>
      <c r="T159" s="276"/>
      <c r="U159" s="276"/>
      <c r="AA159" s="276"/>
      <c r="AB159" s="276"/>
      <c r="AF159" s="276"/>
      <c r="AG159" s="276"/>
      <c r="AK159" s="276"/>
      <c r="AL159" s="276"/>
      <c r="AP159" s="276"/>
      <c r="AQ159" s="276"/>
    </row>
    <row r="160" spans="5:43" s="275" customFormat="1">
      <c r="E160" s="276"/>
      <c r="F160" s="276"/>
      <c r="J160" s="276"/>
      <c r="K160" s="276"/>
      <c r="O160" s="276"/>
      <c r="P160" s="276"/>
      <c r="T160" s="276"/>
      <c r="U160" s="276"/>
      <c r="AA160" s="276"/>
      <c r="AB160" s="276"/>
      <c r="AF160" s="276"/>
      <c r="AG160" s="276"/>
      <c r="AK160" s="276"/>
      <c r="AL160" s="276"/>
      <c r="AP160" s="276"/>
      <c r="AQ160" s="276"/>
    </row>
    <row r="161" spans="5:43" s="275" customFormat="1">
      <c r="E161" s="276"/>
      <c r="F161" s="276"/>
      <c r="J161" s="276"/>
      <c r="K161" s="276"/>
      <c r="O161" s="276"/>
      <c r="P161" s="276"/>
      <c r="T161" s="276"/>
      <c r="U161" s="276"/>
      <c r="AA161" s="276"/>
      <c r="AB161" s="276"/>
      <c r="AF161" s="276"/>
      <c r="AG161" s="276"/>
      <c r="AK161" s="276"/>
      <c r="AL161" s="276"/>
      <c r="AP161" s="276"/>
      <c r="AQ161" s="276"/>
    </row>
    <row r="162" spans="5:43" s="275" customFormat="1">
      <c r="E162" s="276"/>
      <c r="F162" s="276"/>
      <c r="J162" s="276"/>
      <c r="K162" s="276"/>
      <c r="O162" s="276"/>
      <c r="P162" s="276"/>
      <c r="T162" s="276"/>
      <c r="U162" s="276"/>
      <c r="AA162" s="276"/>
      <c r="AB162" s="276"/>
      <c r="AF162" s="276"/>
      <c r="AG162" s="276"/>
      <c r="AK162" s="276"/>
      <c r="AL162" s="276"/>
      <c r="AP162" s="276"/>
      <c r="AQ162" s="276"/>
    </row>
    <row r="163" spans="5:43" s="275" customFormat="1">
      <c r="E163" s="276"/>
      <c r="F163" s="276"/>
      <c r="J163" s="276"/>
      <c r="K163" s="276"/>
      <c r="O163" s="276"/>
      <c r="P163" s="276"/>
      <c r="T163" s="276"/>
      <c r="U163" s="276"/>
      <c r="AA163" s="276"/>
      <c r="AB163" s="276"/>
      <c r="AF163" s="276"/>
      <c r="AG163" s="276"/>
      <c r="AK163" s="276"/>
      <c r="AL163" s="276"/>
      <c r="AP163" s="276"/>
      <c r="AQ163" s="276"/>
    </row>
    <row r="164" spans="5:43" s="275" customFormat="1">
      <c r="E164" s="276"/>
      <c r="F164" s="276"/>
      <c r="J164" s="276"/>
      <c r="K164" s="276"/>
      <c r="O164" s="276"/>
      <c r="P164" s="276"/>
      <c r="T164" s="276"/>
      <c r="U164" s="276"/>
      <c r="AA164" s="276"/>
      <c r="AB164" s="276"/>
      <c r="AF164" s="276"/>
      <c r="AG164" s="276"/>
      <c r="AK164" s="276"/>
      <c r="AL164" s="276"/>
      <c r="AP164" s="276"/>
      <c r="AQ164" s="276"/>
    </row>
    <row r="165" spans="5:43" s="275" customFormat="1">
      <c r="E165" s="276"/>
      <c r="F165" s="276"/>
      <c r="J165" s="276"/>
      <c r="K165" s="276"/>
      <c r="O165" s="276"/>
      <c r="P165" s="276"/>
      <c r="T165" s="276"/>
      <c r="U165" s="276"/>
      <c r="AA165" s="276"/>
      <c r="AB165" s="276"/>
      <c r="AF165" s="276"/>
      <c r="AG165" s="276"/>
      <c r="AK165" s="276"/>
      <c r="AL165" s="276"/>
      <c r="AP165" s="276"/>
      <c r="AQ165" s="276"/>
    </row>
    <row r="166" spans="5:43" s="275" customFormat="1">
      <c r="E166" s="276"/>
      <c r="F166" s="276"/>
      <c r="J166" s="276"/>
      <c r="K166" s="276"/>
      <c r="O166" s="276"/>
      <c r="P166" s="276"/>
      <c r="T166" s="276"/>
      <c r="U166" s="276"/>
      <c r="AA166" s="276"/>
      <c r="AB166" s="276"/>
      <c r="AF166" s="276"/>
      <c r="AG166" s="276"/>
      <c r="AK166" s="276"/>
      <c r="AL166" s="276"/>
      <c r="AP166" s="276"/>
      <c r="AQ166" s="276"/>
    </row>
    <row r="167" spans="5:43" s="275" customFormat="1">
      <c r="E167" s="276"/>
      <c r="F167" s="276"/>
      <c r="J167" s="276"/>
      <c r="K167" s="276"/>
      <c r="O167" s="276"/>
      <c r="P167" s="276"/>
      <c r="T167" s="276"/>
      <c r="U167" s="276"/>
      <c r="AA167" s="276"/>
      <c r="AB167" s="276"/>
      <c r="AF167" s="276"/>
      <c r="AG167" s="276"/>
      <c r="AK167" s="276"/>
      <c r="AL167" s="276"/>
      <c r="AP167" s="276"/>
      <c r="AQ167" s="276"/>
    </row>
    <row r="168" spans="5:43" s="275" customFormat="1">
      <c r="E168" s="276"/>
      <c r="F168" s="276"/>
      <c r="J168" s="276"/>
      <c r="K168" s="276"/>
      <c r="O168" s="276"/>
      <c r="P168" s="276"/>
      <c r="T168" s="276"/>
      <c r="U168" s="276"/>
      <c r="AA168" s="276"/>
      <c r="AB168" s="276"/>
      <c r="AF168" s="276"/>
      <c r="AG168" s="276"/>
      <c r="AK168" s="276"/>
      <c r="AL168" s="276"/>
      <c r="AP168" s="276"/>
      <c r="AQ168" s="276"/>
    </row>
    <row r="169" spans="5:43" s="275" customFormat="1">
      <c r="E169" s="276"/>
      <c r="F169" s="276"/>
      <c r="J169" s="276"/>
      <c r="K169" s="276"/>
      <c r="O169" s="276"/>
      <c r="P169" s="276"/>
      <c r="T169" s="276"/>
      <c r="U169" s="276"/>
      <c r="AA169" s="276"/>
      <c r="AB169" s="276"/>
      <c r="AF169" s="276"/>
      <c r="AG169" s="276"/>
      <c r="AK169" s="276"/>
      <c r="AL169" s="276"/>
      <c r="AP169" s="276"/>
      <c r="AQ169" s="276"/>
    </row>
    <row r="170" spans="5:43" s="275" customFormat="1">
      <c r="E170" s="276"/>
      <c r="F170" s="276"/>
      <c r="J170" s="276"/>
      <c r="K170" s="276"/>
      <c r="O170" s="276"/>
      <c r="P170" s="276"/>
      <c r="T170" s="276"/>
      <c r="U170" s="276"/>
      <c r="AA170" s="276"/>
      <c r="AB170" s="276"/>
      <c r="AF170" s="276"/>
      <c r="AG170" s="276"/>
      <c r="AK170" s="276"/>
      <c r="AL170" s="276"/>
      <c r="AP170" s="276"/>
      <c r="AQ170" s="276"/>
    </row>
    <row r="171" spans="5:43" s="275" customFormat="1">
      <c r="E171" s="276"/>
      <c r="F171" s="276"/>
      <c r="J171" s="276"/>
      <c r="K171" s="276"/>
      <c r="O171" s="276"/>
      <c r="P171" s="276"/>
      <c r="T171" s="276"/>
      <c r="U171" s="276"/>
      <c r="AA171" s="276"/>
      <c r="AB171" s="276"/>
      <c r="AF171" s="276"/>
      <c r="AG171" s="276"/>
      <c r="AK171" s="276"/>
      <c r="AL171" s="276"/>
      <c r="AP171" s="276"/>
      <c r="AQ171" s="276"/>
    </row>
    <row r="172" spans="5:43" s="275" customFormat="1">
      <c r="E172" s="276"/>
      <c r="F172" s="276"/>
      <c r="J172" s="276"/>
      <c r="K172" s="276"/>
      <c r="O172" s="276"/>
      <c r="P172" s="276"/>
      <c r="T172" s="276"/>
      <c r="U172" s="276"/>
      <c r="AA172" s="276"/>
      <c r="AB172" s="276"/>
      <c r="AF172" s="276"/>
      <c r="AG172" s="276"/>
      <c r="AK172" s="276"/>
      <c r="AL172" s="276"/>
      <c r="AP172" s="276"/>
      <c r="AQ172" s="276"/>
    </row>
    <row r="173" spans="5:43" s="275" customFormat="1">
      <c r="E173" s="276"/>
      <c r="F173" s="276"/>
      <c r="J173" s="276"/>
      <c r="K173" s="276"/>
      <c r="O173" s="276"/>
      <c r="P173" s="276"/>
      <c r="T173" s="276"/>
      <c r="U173" s="276"/>
      <c r="AA173" s="276"/>
      <c r="AB173" s="276"/>
      <c r="AF173" s="276"/>
      <c r="AG173" s="276"/>
      <c r="AK173" s="276"/>
      <c r="AL173" s="276"/>
      <c r="AP173" s="276"/>
      <c r="AQ173" s="276"/>
    </row>
    <row r="174" spans="5:43" s="275" customFormat="1">
      <c r="E174" s="276"/>
      <c r="F174" s="276"/>
      <c r="J174" s="276"/>
      <c r="K174" s="276"/>
      <c r="O174" s="276"/>
      <c r="P174" s="276"/>
      <c r="T174" s="276"/>
      <c r="U174" s="276"/>
      <c r="AA174" s="276"/>
      <c r="AB174" s="276"/>
      <c r="AF174" s="276"/>
      <c r="AG174" s="276"/>
      <c r="AK174" s="276"/>
      <c r="AL174" s="276"/>
      <c r="AP174" s="276"/>
      <c r="AQ174" s="276"/>
    </row>
    <row r="175" spans="5:43" s="275" customFormat="1">
      <c r="E175" s="276"/>
      <c r="F175" s="276"/>
      <c r="J175" s="276"/>
      <c r="K175" s="276"/>
      <c r="O175" s="276"/>
      <c r="P175" s="276"/>
      <c r="T175" s="276"/>
      <c r="U175" s="276"/>
      <c r="AA175" s="276"/>
      <c r="AB175" s="276"/>
      <c r="AF175" s="276"/>
      <c r="AG175" s="276"/>
      <c r="AK175" s="276"/>
      <c r="AL175" s="276"/>
      <c r="AP175" s="276"/>
      <c r="AQ175" s="276"/>
    </row>
    <row r="176" spans="5:43" s="275" customFormat="1">
      <c r="E176" s="276"/>
      <c r="F176" s="276"/>
      <c r="J176" s="276"/>
      <c r="K176" s="276"/>
      <c r="O176" s="276"/>
      <c r="P176" s="276"/>
      <c r="T176" s="276"/>
      <c r="U176" s="276"/>
      <c r="AA176" s="276"/>
      <c r="AB176" s="276"/>
      <c r="AF176" s="276"/>
      <c r="AG176" s="276"/>
      <c r="AK176" s="276"/>
      <c r="AL176" s="276"/>
      <c r="AP176" s="276"/>
      <c r="AQ176" s="276"/>
    </row>
    <row r="177" spans="5:43" s="275" customFormat="1">
      <c r="E177" s="276"/>
      <c r="F177" s="276"/>
      <c r="J177" s="276"/>
      <c r="K177" s="276"/>
      <c r="O177" s="276"/>
      <c r="P177" s="276"/>
      <c r="T177" s="276"/>
      <c r="U177" s="276"/>
      <c r="AA177" s="276"/>
      <c r="AB177" s="276"/>
      <c r="AF177" s="276"/>
      <c r="AG177" s="276"/>
      <c r="AK177" s="276"/>
      <c r="AL177" s="276"/>
      <c r="AP177" s="276"/>
      <c r="AQ177" s="276"/>
    </row>
    <row r="178" spans="5:43" s="275" customFormat="1">
      <c r="E178" s="276"/>
      <c r="F178" s="276"/>
      <c r="J178" s="276"/>
      <c r="K178" s="276"/>
      <c r="O178" s="276"/>
      <c r="P178" s="276"/>
      <c r="T178" s="276"/>
      <c r="U178" s="276"/>
      <c r="AA178" s="276"/>
      <c r="AB178" s="276"/>
      <c r="AF178" s="276"/>
      <c r="AG178" s="276"/>
      <c r="AK178" s="276"/>
      <c r="AL178" s="276"/>
      <c r="AP178" s="276"/>
      <c r="AQ178" s="276"/>
    </row>
    <row r="179" spans="5:43" s="275" customFormat="1">
      <c r="E179" s="276"/>
      <c r="F179" s="276"/>
      <c r="J179" s="276"/>
      <c r="K179" s="276"/>
      <c r="O179" s="276"/>
      <c r="P179" s="276"/>
      <c r="T179" s="276"/>
      <c r="U179" s="276"/>
      <c r="AA179" s="276"/>
      <c r="AB179" s="276"/>
      <c r="AF179" s="276"/>
      <c r="AG179" s="276"/>
      <c r="AK179" s="276"/>
      <c r="AL179" s="276"/>
      <c r="AP179" s="276"/>
      <c r="AQ179" s="276"/>
    </row>
    <row r="180" spans="5:43" s="275" customFormat="1">
      <c r="E180" s="276"/>
      <c r="F180" s="276"/>
      <c r="J180" s="276"/>
      <c r="K180" s="276"/>
      <c r="O180" s="276"/>
      <c r="P180" s="276"/>
      <c r="T180" s="276"/>
      <c r="U180" s="276"/>
      <c r="AA180" s="276"/>
      <c r="AB180" s="276"/>
      <c r="AF180" s="276"/>
      <c r="AG180" s="276"/>
      <c r="AK180" s="276"/>
      <c r="AL180" s="276"/>
      <c r="AP180" s="276"/>
      <c r="AQ180" s="276"/>
    </row>
    <row r="181" spans="5:43" s="275" customFormat="1">
      <c r="E181" s="276"/>
      <c r="F181" s="276"/>
      <c r="J181" s="276"/>
      <c r="K181" s="276"/>
      <c r="O181" s="276"/>
      <c r="P181" s="276"/>
      <c r="T181" s="276"/>
      <c r="U181" s="276"/>
      <c r="AA181" s="276"/>
      <c r="AB181" s="276"/>
      <c r="AF181" s="276"/>
      <c r="AG181" s="276"/>
      <c r="AK181" s="276"/>
      <c r="AL181" s="276"/>
      <c r="AP181" s="276"/>
      <c r="AQ181" s="276"/>
    </row>
    <row r="182" spans="5:43" s="275" customFormat="1">
      <c r="E182" s="276"/>
      <c r="F182" s="276"/>
      <c r="J182" s="276"/>
      <c r="K182" s="276"/>
      <c r="O182" s="276"/>
      <c r="P182" s="276"/>
      <c r="T182" s="276"/>
      <c r="U182" s="276"/>
      <c r="AA182" s="276"/>
      <c r="AB182" s="276"/>
      <c r="AF182" s="276"/>
      <c r="AG182" s="276"/>
      <c r="AK182" s="276"/>
      <c r="AL182" s="276"/>
      <c r="AP182" s="276"/>
      <c r="AQ182" s="276"/>
    </row>
    <row r="183" spans="5:43" s="275" customFormat="1">
      <c r="E183" s="276"/>
      <c r="F183" s="276"/>
      <c r="J183" s="276"/>
      <c r="K183" s="276"/>
      <c r="O183" s="276"/>
      <c r="P183" s="276"/>
      <c r="T183" s="276"/>
      <c r="U183" s="276"/>
      <c r="AA183" s="276"/>
      <c r="AB183" s="276"/>
      <c r="AF183" s="276"/>
      <c r="AG183" s="276"/>
      <c r="AK183" s="276"/>
      <c r="AL183" s="276"/>
      <c r="AP183" s="276"/>
      <c r="AQ183" s="276"/>
    </row>
    <row r="184" spans="5:43" s="275" customFormat="1">
      <c r="E184" s="276"/>
      <c r="F184" s="276"/>
      <c r="J184" s="276"/>
      <c r="K184" s="276"/>
      <c r="O184" s="276"/>
      <c r="P184" s="276"/>
      <c r="T184" s="276"/>
      <c r="U184" s="276"/>
      <c r="AA184" s="276"/>
      <c r="AB184" s="276"/>
      <c r="AF184" s="276"/>
      <c r="AG184" s="276"/>
      <c r="AK184" s="276"/>
      <c r="AL184" s="276"/>
      <c r="AP184" s="276"/>
      <c r="AQ184" s="276"/>
    </row>
    <row r="185" spans="5:43" s="275" customFormat="1">
      <c r="E185" s="276"/>
      <c r="F185" s="276"/>
      <c r="J185" s="276"/>
      <c r="K185" s="276"/>
      <c r="O185" s="276"/>
      <c r="P185" s="276"/>
      <c r="T185" s="276"/>
      <c r="U185" s="276"/>
      <c r="AA185" s="276"/>
      <c r="AB185" s="276"/>
      <c r="AF185" s="276"/>
      <c r="AG185" s="276"/>
      <c r="AK185" s="276"/>
      <c r="AL185" s="276"/>
      <c r="AP185" s="276"/>
      <c r="AQ185" s="276"/>
    </row>
    <row r="186" spans="5:43" s="275" customFormat="1">
      <c r="E186" s="276"/>
      <c r="F186" s="276"/>
      <c r="J186" s="276"/>
      <c r="K186" s="276"/>
      <c r="O186" s="276"/>
      <c r="P186" s="276"/>
      <c r="T186" s="276"/>
      <c r="U186" s="276"/>
      <c r="AA186" s="276"/>
      <c r="AB186" s="276"/>
      <c r="AF186" s="276"/>
      <c r="AG186" s="276"/>
      <c r="AK186" s="276"/>
      <c r="AL186" s="276"/>
      <c r="AP186" s="276"/>
      <c r="AQ186" s="276"/>
    </row>
    <row r="187" spans="5:43" s="275" customFormat="1">
      <c r="E187" s="276"/>
      <c r="F187" s="276"/>
      <c r="J187" s="276"/>
      <c r="K187" s="276"/>
      <c r="O187" s="276"/>
      <c r="P187" s="276"/>
      <c r="T187" s="276"/>
      <c r="U187" s="276"/>
      <c r="AA187" s="276"/>
      <c r="AB187" s="276"/>
      <c r="AF187" s="276"/>
      <c r="AG187" s="276"/>
      <c r="AK187" s="276"/>
      <c r="AL187" s="276"/>
      <c r="AP187" s="276"/>
      <c r="AQ187" s="276"/>
    </row>
    <row r="188" spans="5:43" s="275" customFormat="1">
      <c r="E188" s="276"/>
      <c r="F188" s="276"/>
      <c r="J188" s="276"/>
      <c r="K188" s="276"/>
      <c r="O188" s="276"/>
      <c r="P188" s="276"/>
      <c r="T188" s="276"/>
      <c r="U188" s="276"/>
      <c r="AA188" s="276"/>
      <c r="AB188" s="276"/>
      <c r="AF188" s="276"/>
      <c r="AG188" s="276"/>
      <c r="AK188" s="276"/>
      <c r="AL188" s="276"/>
      <c r="AP188" s="276"/>
      <c r="AQ188" s="276"/>
    </row>
    <row r="189" spans="5:43" s="275" customFormat="1">
      <c r="E189" s="276"/>
      <c r="F189" s="276"/>
      <c r="J189" s="276"/>
      <c r="K189" s="276"/>
      <c r="O189" s="276"/>
      <c r="P189" s="276"/>
      <c r="T189" s="276"/>
      <c r="U189" s="276"/>
      <c r="AA189" s="276"/>
      <c r="AB189" s="276"/>
      <c r="AF189" s="276"/>
      <c r="AG189" s="276"/>
      <c r="AK189" s="276"/>
      <c r="AL189" s="276"/>
      <c r="AP189" s="276"/>
      <c r="AQ189" s="276"/>
    </row>
    <row r="190" spans="5:43" s="275" customFormat="1">
      <c r="E190" s="276"/>
      <c r="F190" s="276"/>
      <c r="J190" s="276"/>
      <c r="K190" s="276"/>
      <c r="O190" s="276"/>
      <c r="P190" s="276"/>
      <c r="T190" s="276"/>
      <c r="U190" s="276"/>
      <c r="AA190" s="276"/>
      <c r="AB190" s="276"/>
      <c r="AF190" s="276"/>
      <c r="AG190" s="276"/>
      <c r="AK190" s="276"/>
      <c r="AL190" s="276"/>
      <c r="AP190" s="276"/>
      <c r="AQ190" s="276"/>
    </row>
    <row r="191" spans="5:43" s="275" customFormat="1">
      <c r="E191" s="276"/>
      <c r="F191" s="276"/>
      <c r="J191" s="276"/>
      <c r="K191" s="276"/>
      <c r="O191" s="276"/>
      <c r="P191" s="276"/>
      <c r="T191" s="276"/>
      <c r="U191" s="276"/>
      <c r="AA191" s="276"/>
      <c r="AB191" s="276"/>
      <c r="AF191" s="276"/>
      <c r="AG191" s="276"/>
      <c r="AK191" s="276"/>
      <c r="AL191" s="276"/>
      <c r="AP191" s="276"/>
      <c r="AQ191" s="276"/>
    </row>
    <row r="192" spans="5:43" s="275" customFormat="1">
      <c r="E192" s="276"/>
      <c r="F192" s="276"/>
      <c r="J192" s="276"/>
      <c r="K192" s="276"/>
      <c r="O192" s="276"/>
      <c r="P192" s="276"/>
      <c r="T192" s="276"/>
      <c r="U192" s="276"/>
      <c r="AA192" s="276"/>
      <c r="AB192" s="276"/>
      <c r="AF192" s="276"/>
      <c r="AG192" s="276"/>
      <c r="AK192" s="276"/>
      <c r="AL192" s="276"/>
      <c r="AP192" s="276"/>
      <c r="AQ192" s="276"/>
    </row>
    <row r="193" spans="5:43" s="275" customFormat="1">
      <c r="E193" s="276"/>
      <c r="F193" s="276"/>
      <c r="J193" s="276"/>
      <c r="K193" s="276"/>
      <c r="O193" s="276"/>
      <c r="P193" s="276"/>
      <c r="T193" s="276"/>
      <c r="U193" s="276"/>
      <c r="AA193" s="276"/>
      <c r="AB193" s="276"/>
      <c r="AF193" s="276"/>
      <c r="AG193" s="276"/>
      <c r="AK193" s="276"/>
      <c r="AL193" s="276"/>
      <c r="AP193" s="276"/>
      <c r="AQ193" s="276"/>
    </row>
    <row r="194" spans="5:43" s="275" customFormat="1">
      <c r="E194" s="276"/>
      <c r="F194" s="276"/>
      <c r="J194" s="276"/>
      <c r="K194" s="276"/>
      <c r="O194" s="276"/>
      <c r="P194" s="276"/>
      <c r="T194" s="276"/>
      <c r="U194" s="276"/>
      <c r="AA194" s="276"/>
      <c r="AB194" s="276"/>
      <c r="AF194" s="276"/>
      <c r="AG194" s="276"/>
      <c r="AK194" s="276"/>
      <c r="AL194" s="276"/>
      <c r="AP194" s="276"/>
      <c r="AQ194" s="276"/>
    </row>
    <row r="195" spans="5:43" s="275" customFormat="1">
      <c r="E195" s="276"/>
      <c r="F195" s="276"/>
      <c r="J195" s="276"/>
      <c r="K195" s="276"/>
      <c r="O195" s="276"/>
      <c r="P195" s="276"/>
      <c r="T195" s="276"/>
      <c r="U195" s="276"/>
      <c r="AA195" s="276"/>
      <c r="AB195" s="276"/>
      <c r="AF195" s="276"/>
      <c r="AG195" s="276"/>
      <c r="AK195" s="276"/>
      <c r="AL195" s="276"/>
      <c r="AP195" s="276"/>
      <c r="AQ195" s="276"/>
    </row>
    <row r="196" spans="5:43" s="275" customFormat="1">
      <c r="E196" s="276"/>
      <c r="F196" s="276"/>
      <c r="J196" s="276"/>
      <c r="K196" s="276"/>
      <c r="O196" s="276"/>
      <c r="P196" s="276"/>
      <c r="T196" s="276"/>
      <c r="U196" s="276"/>
      <c r="AA196" s="276"/>
      <c r="AB196" s="276"/>
      <c r="AF196" s="276"/>
      <c r="AG196" s="276"/>
      <c r="AK196" s="276"/>
      <c r="AL196" s="276"/>
      <c r="AP196" s="276"/>
      <c r="AQ196" s="276"/>
    </row>
    <row r="197" spans="5:43" s="275" customFormat="1">
      <c r="E197" s="276"/>
      <c r="F197" s="276"/>
      <c r="J197" s="276"/>
      <c r="K197" s="276"/>
      <c r="O197" s="276"/>
      <c r="P197" s="276"/>
      <c r="T197" s="276"/>
      <c r="U197" s="276"/>
      <c r="AA197" s="276"/>
      <c r="AB197" s="276"/>
      <c r="AF197" s="276"/>
      <c r="AG197" s="276"/>
      <c r="AK197" s="276"/>
      <c r="AL197" s="276"/>
      <c r="AP197" s="276"/>
      <c r="AQ197" s="276"/>
    </row>
    <row r="198" spans="5:43" s="275" customFormat="1">
      <c r="E198" s="276"/>
      <c r="F198" s="276"/>
      <c r="J198" s="276"/>
      <c r="K198" s="276"/>
      <c r="O198" s="276"/>
      <c r="P198" s="276"/>
      <c r="T198" s="276"/>
      <c r="U198" s="276"/>
      <c r="AA198" s="276"/>
      <c r="AB198" s="276"/>
      <c r="AF198" s="276"/>
      <c r="AG198" s="276"/>
      <c r="AK198" s="276"/>
      <c r="AL198" s="276"/>
      <c r="AP198" s="276"/>
      <c r="AQ198" s="276"/>
    </row>
    <row r="199" spans="5:43" s="275" customFormat="1">
      <c r="E199" s="276"/>
      <c r="F199" s="276"/>
      <c r="J199" s="276"/>
      <c r="K199" s="276"/>
      <c r="O199" s="276"/>
      <c r="P199" s="276"/>
      <c r="T199" s="276"/>
      <c r="U199" s="276"/>
      <c r="AA199" s="276"/>
      <c r="AB199" s="276"/>
      <c r="AF199" s="276"/>
      <c r="AG199" s="276"/>
      <c r="AK199" s="276"/>
      <c r="AL199" s="276"/>
      <c r="AP199" s="276"/>
      <c r="AQ199" s="276"/>
    </row>
    <row r="200" spans="5:43" s="275" customFormat="1">
      <c r="E200" s="276"/>
      <c r="F200" s="276"/>
      <c r="J200" s="276"/>
      <c r="K200" s="276"/>
      <c r="O200" s="276"/>
      <c r="P200" s="276"/>
      <c r="T200" s="276"/>
      <c r="U200" s="276"/>
      <c r="AA200" s="276"/>
      <c r="AB200" s="276"/>
      <c r="AF200" s="276"/>
      <c r="AG200" s="276"/>
      <c r="AK200" s="276"/>
      <c r="AL200" s="276"/>
      <c r="AP200" s="276"/>
      <c r="AQ200" s="276"/>
    </row>
    <row r="201" spans="5:43" s="275" customFormat="1">
      <c r="E201" s="276"/>
      <c r="F201" s="276"/>
      <c r="J201" s="276"/>
      <c r="K201" s="276"/>
      <c r="O201" s="276"/>
      <c r="P201" s="276"/>
      <c r="T201" s="276"/>
      <c r="U201" s="276"/>
      <c r="AA201" s="276"/>
      <c r="AB201" s="276"/>
      <c r="AF201" s="276"/>
      <c r="AG201" s="276"/>
      <c r="AK201" s="276"/>
      <c r="AL201" s="276"/>
      <c r="AP201" s="276"/>
      <c r="AQ201" s="276"/>
    </row>
  </sheetData>
  <mergeCells count="20">
    <mergeCell ref="AI21:AL21"/>
    <mergeCell ref="AN21:AQ21"/>
    <mergeCell ref="R3:U3"/>
    <mergeCell ref="Y3:AB3"/>
    <mergeCell ref="AD3:AG3"/>
    <mergeCell ref="AI3:AL3"/>
    <mergeCell ref="AD21:AG21"/>
    <mergeCell ref="C21:F21"/>
    <mergeCell ref="H21:K21"/>
    <mergeCell ref="M21:P21"/>
    <mergeCell ref="R21:U21"/>
    <mergeCell ref="Y21:AB21"/>
    <mergeCell ref="C2:U2"/>
    <mergeCell ref="Y2:AQ2"/>
    <mergeCell ref="Y20:AQ20"/>
    <mergeCell ref="C20:U20"/>
    <mergeCell ref="AN3:AQ3"/>
    <mergeCell ref="C3:F3"/>
    <mergeCell ref="H3:K3"/>
    <mergeCell ref="M3:P3"/>
  </mergeCells>
  <pageMargins left="0.511811024" right="0.511811024" top="0.78740157499999996" bottom="0.78740157499999996" header="0.31496062000000002" footer="0.31496062000000002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P262"/>
  <sheetViews>
    <sheetView zoomScale="80" zoomScaleNormal="80" workbookViewId="0">
      <pane xSplit="8" ySplit="3" topLeftCell="Y4" activePane="bottomRight" state="frozenSplit"/>
      <selection pane="topRight" activeCell="C1" sqref="C1"/>
      <selection pane="bottomLeft" activeCell="A27" sqref="A27"/>
      <selection pane="bottomRight" activeCell="AU17" sqref="AU17"/>
    </sheetView>
  </sheetViews>
  <sheetFormatPr defaultRowHeight="15"/>
  <cols>
    <col min="1" max="1" width="9.140625" style="719"/>
    <col min="2" max="2" width="18.5703125" style="275" bestFit="1" customWidth="1"/>
    <col min="3" max="3" width="14.28515625" style="275" bestFit="1" customWidth="1"/>
    <col min="4" max="4" width="5.7109375" style="275" bestFit="1" customWidth="1"/>
    <col min="5" max="5" width="14.28515625" style="275" bestFit="1" customWidth="1"/>
    <col min="6" max="6" width="7.140625" style="275" customWidth="1"/>
    <col min="7" max="7" width="4.140625" style="275" bestFit="1" customWidth="1"/>
    <col min="8" max="8" width="10" style="275" customWidth="1"/>
    <col min="9" max="9" width="10.7109375" style="275" bestFit="1" customWidth="1"/>
    <col min="10" max="10" width="9.42578125" style="275" customWidth="1"/>
    <col min="11" max="11" width="10.7109375" style="1" bestFit="1" customWidth="1"/>
    <col min="12" max="12" width="9.7109375" style="1" bestFit="1" customWidth="1"/>
    <col min="13" max="13" width="10.7109375" style="1" bestFit="1" customWidth="1"/>
    <col min="14" max="14" width="9.7109375" style="169" bestFit="1" customWidth="1"/>
    <col min="15" max="15" width="13" style="169" bestFit="1" customWidth="1"/>
    <col min="16" max="16" width="3.140625" style="1" customWidth="1"/>
    <col min="17" max="17" width="9.28515625" style="1" customWidth="1"/>
    <col min="18" max="18" width="10.85546875" style="1" bestFit="1" customWidth="1"/>
    <col min="19" max="19" width="11" style="169" bestFit="1" customWidth="1"/>
    <col min="20" max="20" width="12.42578125" style="169" bestFit="1" customWidth="1"/>
    <col min="21" max="21" width="7.85546875" style="1" bestFit="1" customWidth="1"/>
    <col min="22" max="22" width="10.85546875" style="1" bestFit="1" customWidth="1"/>
    <col min="23" max="23" width="9.7109375" style="1" bestFit="1" customWidth="1"/>
    <col min="24" max="25" width="12.42578125" style="169" bestFit="1" customWidth="1"/>
    <col min="26" max="26" width="2.5703125" style="1" customWidth="1"/>
    <col min="27" max="27" width="9.5703125" style="1" bestFit="1" customWidth="1"/>
    <col min="28" max="28" width="12.42578125" style="1" bestFit="1" customWidth="1"/>
    <col min="29" max="29" width="12.42578125" style="169" bestFit="1" customWidth="1"/>
    <col min="30" max="30" width="13.5703125" style="169" bestFit="1" customWidth="1"/>
    <col min="31" max="31" width="2.5703125" style="1" customWidth="1"/>
    <col min="32" max="32" width="9.85546875" style="1" bestFit="1" customWidth="1"/>
    <col min="33" max="33" width="10.7109375" style="1" bestFit="1" customWidth="1"/>
    <col min="34" max="35" width="13.5703125" style="169" bestFit="1" customWidth="1"/>
    <col min="36" max="36" width="3.42578125" style="275" customWidth="1"/>
    <col min="37" max="38" width="9.28515625" style="275" bestFit="1" customWidth="1"/>
    <col min="39" max="39" width="9.85546875" style="275" bestFit="1" customWidth="1"/>
    <col min="40" max="40" width="10.85546875" style="275" bestFit="1" customWidth="1"/>
    <col min="41" max="41" width="9.140625" style="275"/>
    <col min="42" max="44" width="9.28515625" style="275" bestFit="1" customWidth="1"/>
    <col min="45" max="45" width="9.140625" style="275"/>
    <col min="46" max="48" width="9.28515625" style="275" bestFit="1" customWidth="1"/>
    <col min="49" max="49" width="9.140625" style="275"/>
    <col min="50" max="50" width="9.28515625" style="275" bestFit="1" customWidth="1"/>
    <col min="51" max="51" width="13" style="275" bestFit="1" customWidth="1"/>
    <col min="52" max="52" width="10.28515625" style="275" bestFit="1" customWidth="1"/>
    <col min="53" max="53" width="13" style="275" bestFit="1" customWidth="1"/>
    <col min="54" max="54" width="10.28515625" style="275" bestFit="1" customWidth="1"/>
    <col min="55" max="55" width="11.28515625" style="275" bestFit="1" customWidth="1"/>
    <col min="56" max="56" width="9.5703125" style="275" bestFit="1" customWidth="1"/>
    <col min="57" max="57" width="13" style="275" bestFit="1" customWidth="1"/>
    <col min="58" max="58" width="9.140625" style="275"/>
    <col min="59" max="59" width="11.42578125" style="275" bestFit="1" customWidth="1"/>
    <col min="60" max="62" width="9.140625" style="275"/>
    <col min="63" max="63" width="13" style="275" bestFit="1" customWidth="1"/>
    <col min="64" max="64" width="9.140625" style="275"/>
    <col min="65" max="65" width="11.42578125" style="275" bestFit="1" customWidth="1"/>
    <col min="66" max="80" width="9.140625" style="275"/>
    <col min="81" max="81" width="12.28515625" style="719" bestFit="1" customWidth="1"/>
    <col min="82" max="122" width="9.140625" style="719"/>
    <col min="123" max="16384" width="9.140625" style="1"/>
  </cols>
  <sheetData>
    <row r="1" spans="1:122" s="719" customFormat="1" ht="15.75" thickBot="1">
      <c r="N1" s="721"/>
      <c r="O1" s="721"/>
      <c r="S1" s="721"/>
      <c r="T1" s="721"/>
      <c r="X1" s="721"/>
      <c r="Y1" s="721"/>
      <c r="AC1" s="721"/>
      <c r="AD1" s="721"/>
      <c r="AH1" s="721"/>
      <c r="AI1" s="721"/>
    </row>
    <row r="2" spans="1:122" s="642" customFormat="1" ht="15.75">
      <c r="A2" s="720"/>
      <c r="B2" s="1066" t="s">
        <v>227</v>
      </c>
      <c r="C2" s="1067"/>
      <c r="D2" s="1067"/>
      <c r="E2" s="1067"/>
      <c r="F2" s="1067"/>
      <c r="G2" s="1067"/>
      <c r="H2" s="1068"/>
      <c r="I2" s="1027" t="s">
        <v>226</v>
      </c>
      <c r="J2" s="1028"/>
      <c r="K2" s="1028"/>
      <c r="L2" s="1028"/>
      <c r="M2" s="1028"/>
      <c r="N2" s="1029"/>
      <c r="O2" s="1027" t="s">
        <v>225</v>
      </c>
      <c r="P2" s="1028"/>
      <c r="Q2" s="1028"/>
      <c r="R2" s="1028"/>
      <c r="S2" s="1028"/>
      <c r="T2" s="1029"/>
      <c r="U2" s="1027" t="s">
        <v>224</v>
      </c>
      <c r="V2" s="1028"/>
      <c r="W2" s="1028"/>
      <c r="X2" s="1028"/>
      <c r="Y2" s="1028"/>
      <c r="Z2" s="1029"/>
      <c r="AA2" s="1027" t="s">
        <v>223</v>
      </c>
      <c r="AB2" s="1028"/>
      <c r="AC2" s="1028"/>
      <c r="AD2" s="1028"/>
      <c r="AE2" s="1028"/>
      <c r="AF2" s="1029"/>
      <c r="AG2" s="1027" t="s">
        <v>222</v>
      </c>
      <c r="AH2" s="1028"/>
      <c r="AI2" s="1028"/>
      <c r="AJ2" s="1028"/>
      <c r="AK2" s="1028"/>
      <c r="AL2" s="1029"/>
      <c r="AM2" s="1027" t="s">
        <v>221</v>
      </c>
      <c r="AN2" s="1028"/>
      <c r="AO2" s="1028"/>
      <c r="AP2" s="1028"/>
      <c r="AQ2" s="1028"/>
      <c r="AR2" s="1029"/>
      <c r="AS2" s="1027" t="s">
        <v>220</v>
      </c>
      <c r="AT2" s="1028"/>
      <c r="AU2" s="1028"/>
      <c r="AV2" s="1028"/>
      <c r="AW2" s="1028"/>
      <c r="AX2" s="1029"/>
      <c r="AY2" s="1027" t="s">
        <v>219</v>
      </c>
      <c r="AZ2" s="1028"/>
      <c r="BA2" s="1028"/>
      <c r="BB2" s="1028"/>
      <c r="BC2" s="1028"/>
      <c r="BD2" s="1029"/>
      <c r="BE2" s="1027" t="s">
        <v>218</v>
      </c>
      <c r="BF2" s="1028"/>
      <c r="BG2" s="1028"/>
      <c r="BH2" s="1028"/>
      <c r="BI2" s="1028"/>
      <c r="BJ2" s="1029"/>
      <c r="BK2" s="1027" t="s">
        <v>217</v>
      </c>
      <c r="BL2" s="1028"/>
      <c r="BM2" s="1028"/>
      <c r="BN2" s="1028"/>
      <c r="BO2" s="1028"/>
      <c r="BP2" s="1029"/>
      <c r="BQ2" s="1027" t="s">
        <v>216</v>
      </c>
      <c r="BR2" s="1028"/>
      <c r="BS2" s="1028"/>
      <c r="BT2" s="1028"/>
      <c r="BU2" s="1028"/>
      <c r="BV2" s="1029"/>
      <c r="BW2" s="1027" t="s">
        <v>215</v>
      </c>
      <c r="BX2" s="1028"/>
      <c r="BY2" s="1028"/>
      <c r="BZ2" s="1028"/>
      <c r="CA2" s="1028"/>
      <c r="CB2" s="1029"/>
      <c r="CC2" s="720"/>
      <c r="CD2" s="720"/>
      <c r="CE2" s="720"/>
      <c r="CF2" s="720"/>
      <c r="CG2" s="720"/>
      <c r="CH2" s="720"/>
      <c r="CI2" s="720"/>
      <c r="CJ2" s="720"/>
      <c r="CK2" s="720"/>
      <c r="CL2" s="720"/>
      <c r="CM2" s="720"/>
      <c r="CN2" s="720"/>
      <c r="CO2" s="720"/>
      <c r="CP2" s="720"/>
      <c r="CQ2" s="720"/>
      <c r="CR2" s="720"/>
      <c r="CS2" s="720"/>
      <c r="CT2" s="720"/>
      <c r="CU2" s="720"/>
      <c r="CV2" s="720"/>
      <c r="CW2" s="720"/>
      <c r="CX2" s="720"/>
      <c r="CY2" s="720"/>
      <c r="CZ2" s="720"/>
      <c r="DA2" s="720"/>
      <c r="DB2" s="720"/>
      <c r="DC2" s="720"/>
      <c r="DD2" s="720"/>
      <c r="DE2" s="720"/>
      <c r="DF2" s="720"/>
      <c r="DG2" s="720"/>
      <c r="DH2" s="720"/>
      <c r="DI2" s="720"/>
      <c r="DJ2" s="720"/>
      <c r="DK2" s="720"/>
      <c r="DL2" s="720"/>
      <c r="DM2" s="720"/>
      <c r="DN2" s="720"/>
      <c r="DO2" s="720"/>
      <c r="DP2" s="720"/>
      <c r="DQ2" s="720"/>
      <c r="DR2" s="720"/>
    </row>
    <row r="3" spans="1:122" s="642" customFormat="1" ht="15.75">
      <c r="A3" s="720"/>
      <c r="B3" s="669" t="s">
        <v>213</v>
      </c>
      <c r="C3" s="1075" t="s">
        <v>212</v>
      </c>
      <c r="D3" s="1076"/>
      <c r="E3" s="1075" t="s">
        <v>211</v>
      </c>
      <c r="F3" s="1076"/>
      <c r="G3" s="670" t="s">
        <v>210</v>
      </c>
      <c r="H3" s="810" t="s">
        <v>209</v>
      </c>
      <c r="I3" s="679" t="s">
        <v>1</v>
      </c>
      <c r="J3" s="680" t="s">
        <v>208</v>
      </c>
      <c r="K3" s="667" t="s">
        <v>206</v>
      </c>
      <c r="L3" s="681" t="s">
        <v>207</v>
      </c>
      <c r="M3" s="667" t="s">
        <v>610</v>
      </c>
      <c r="N3" s="668" t="s">
        <v>609</v>
      </c>
      <c r="O3" s="679" t="s">
        <v>1</v>
      </c>
      <c r="P3" s="680" t="s">
        <v>208</v>
      </c>
      <c r="Q3" s="667" t="s">
        <v>206</v>
      </c>
      <c r="R3" s="681" t="s">
        <v>207</v>
      </c>
      <c r="S3" s="667" t="s">
        <v>610</v>
      </c>
      <c r="T3" s="668" t="s">
        <v>609</v>
      </c>
      <c r="U3" s="679" t="s">
        <v>1</v>
      </c>
      <c r="V3" s="680" t="s">
        <v>208</v>
      </c>
      <c r="W3" s="667" t="s">
        <v>206</v>
      </c>
      <c r="X3" s="681" t="s">
        <v>207</v>
      </c>
      <c r="Y3" s="667" t="s">
        <v>610</v>
      </c>
      <c r="Z3" s="668" t="s">
        <v>609</v>
      </c>
      <c r="AA3" s="679" t="s">
        <v>1</v>
      </c>
      <c r="AB3" s="680" t="s">
        <v>208</v>
      </c>
      <c r="AC3" s="667" t="s">
        <v>206</v>
      </c>
      <c r="AD3" s="681" t="s">
        <v>207</v>
      </c>
      <c r="AE3" s="667" t="s">
        <v>610</v>
      </c>
      <c r="AF3" s="668" t="s">
        <v>609</v>
      </c>
      <c r="AG3" s="679" t="s">
        <v>1</v>
      </c>
      <c r="AH3" s="680" t="s">
        <v>208</v>
      </c>
      <c r="AI3" s="667" t="s">
        <v>206</v>
      </c>
      <c r="AJ3" s="681" t="s">
        <v>207</v>
      </c>
      <c r="AK3" s="667" t="s">
        <v>610</v>
      </c>
      <c r="AL3" s="668" t="s">
        <v>609</v>
      </c>
      <c r="AM3" s="679" t="s">
        <v>1</v>
      </c>
      <c r="AN3" s="680" t="s">
        <v>208</v>
      </c>
      <c r="AO3" s="667" t="s">
        <v>206</v>
      </c>
      <c r="AP3" s="681" t="s">
        <v>207</v>
      </c>
      <c r="AQ3" s="667" t="s">
        <v>610</v>
      </c>
      <c r="AR3" s="668" t="s">
        <v>609</v>
      </c>
      <c r="AS3" s="679" t="s">
        <v>1</v>
      </c>
      <c r="AT3" s="680" t="s">
        <v>208</v>
      </c>
      <c r="AU3" s="667" t="s">
        <v>206</v>
      </c>
      <c r="AV3" s="681" t="s">
        <v>207</v>
      </c>
      <c r="AW3" s="667" t="s">
        <v>610</v>
      </c>
      <c r="AX3" s="668" t="s">
        <v>609</v>
      </c>
      <c r="AY3" s="679" t="s">
        <v>1</v>
      </c>
      <c r="AZ3" s="680" t="s">
        <v>208</v>
      </c>
      <c r="BA3" s="667" t="s">
        <v>206</v>
      </c>
      <c r="BB3" s="681" t="s">
        <v>207</v>
      </c>
      <c r="BC3" s="667" t="s">
        <v>610</v>
      </c>
      <c r="BD3" s="668" t="s">
        <v>609</v>
      </c>
      <c r="BE3" s="679" t="s">
        <v>1</v>
      </c>
      <c r="BF3" s="680" t="s">
        <v>208</v>
      </c>
      <c r="BG3" s="667" t="s">
        <v>206</v>
      </c>
      <c r="BH3" s="681" t="s">
        <v>207</v>
      </c>
      <c r="BI3" s="667" t="s">
        <v>610</v>
      </c>
      <c r="BJ3" s="668" t="s">
        <v>609</v>
      </c>
      <c r="BK3" s="679" t="s">
        <v>1</v>
      </c>
      <c r="BL3" s="680" t="s">
        <v>208</v>
      </c>
      <c r="BM3" s="667" t="s">
        <v>206</v>
      </c>
      <c r="BN3" s="681" t="s">
        <v>207</v>
      </c>
      <c r="BO3" s="667" t="s">
        <v>610</v>
      </c>
      <c r="BP3" s="668" t="s">
        <v>609</v>
      </c>
      <c r="BQ3" s="679" t="s">
        <v>1</v>
      </c>
      <c r="BR3" s="680" t="s">
        <v>208</v>
      </c>
      <c r="BS3" s="667" t="s">
        <v>206</v>
      </c>
      <c r="BT3" s="681" t="s">
        <v>207</v>
      </c>
      <c r="BU3" s="667" t="s">
        <v>610</v>
      </c>
      <c r="BV3" s="668" t="s">
        <v>609</v>
      </c>
      <c r="BW3" s="679" t="s">
        <v>1</v>
      </c>
      <c r="BX3" s="680" t="s">
        <v>208</v>
      </c>
      <c r="BY3" s="667" t="s">
        <v>206</v>
      </c>
      <c r="BZ3" s="681" t="s">
        <v>207</v>
      </c>
      <c r="CA3" s="667" t="s">
        <v>610</v>
      </c>
      <c r="CB3" s="668" t="s">
        <v>609</v>
      </c>
      <c r="CC3" s="720"/>
      <c r="CD3" s="720"/>
      <c r="CE3" s="720"/>
      <c r="CF3" s="720"/>
      <c r="CG3" s="720"/>
      <c r="CH3" s="720"/>
      <c r="CI3" s="720"/>
      <c r="CJ3" s="720"/>
      <c r="CK3" s="720"/>
      <c r="CL3" s="720"/>
      <c r="CM3" s="720"/>
      <c r="CN3" s="720"/>
      <c r="CO3" s="720"/>
      <c r="CP3" s="720"/>
      <c r="CQ3" s="720"/>
      <c r="CR3" s="720"/>
      <c r="CS3" s="720"/>
      <c r="CT3" s="720"/>
      <c r="CU3" s="720"/>
      <c r="CV3" s="720"/>
      <c r="CW3" s="720"/>
      <c r="CX3" s="720"/>
      <c r="CY3" s="720"/>
      <c r="CZ3" s="720"/>
      <c r="DA3" s="720"/>
      <c r="DB3" s="720"/>
      <c r="DC3" s="720"/>
      <c r="DD3" s="720"/>
      <c r="DE3" s="720"/>
      <c r="DF3" s="720"/>
      <c r="DG3" s="720"/>
      <c r="DH3" s="720"/>
      <c r="DI3" s="720"/>
      <c r="DJ3" s="720"/>
      <c r="DK3" s="720"/>
      <c r="DL3" s="720"/>
      <c r="DM3" s="720"/>
      <c r="DN3" s="720"/>
      <c r="DO3" s="720"/>
      <c r="DP3" s="720"/>
      <c r="DQ3" s="720"/>
      <c r="DR3" s="720"/>
    </row>
    <row r="4" spans="1:122" s="642" customFormat="1" ht="15.75">
      <c r="A4" s="720"/>
      <c r="B4" s="1124" t="str">
        <f>L71</f>
        <v>FUNDO DE TIJOLO</v>
      </c>
      <c r="C4" s="1077">
        <f>SUM(G4:G8)</f>
        <v>153</v>
      </c>
      <c r="D4" s="1052">
        <f>C4/C24</f>
        <v>0.26936619718309857</v>
      </c>
      <c r="E4" s="1080"/>
      <c r="F4" s="1052"/>
      <c r="G4" s="670">
        <f>M86</f>
        <v>18</v>
      </c>
      <c r="H4" s="810" t="str">
        <f>L72</f>
        <v>MXRF11</v>
      </c>
      <c r="I4" s="691"/>
      <c r="J4" s="692"/>
      <c r="K4" s="693"/>
      <c r="L4" s="682" t="e">
        <f>K4/J4</f>
        <v>#DIV/0!</v>
      </c>
      <c r="M4" s="683">
        <f>K4/$E31</f>
        <v>0</v>
      </c>
      <c r="N4" s="684" t="e">
        <f>M32</f>
        <v>#DIV/0!</v>
      </c>
      <c r="O4" s="691"/>
      <c r="P4" s="692"/>
      <c r="Q4" s="693"/>
      <c r="R4" s="682" t="e">
        <f>Q4/P4</f>
        <v>#DIV/0!</v>
      </c>
      <c r="S4" s="683">
        <f>Q4/$E31</f>
        <v>0</v>
      </c>
      <c r="T4" s="684" t="e">
        <f>S32</f>
        <v>#DIV/0!</v>
      </c>
      <c r="U4" s="691"/>
      <c r="V4" s="692"/>
      <c r="W4" s="693"/>
      <c r="X4" s="682" t="e">
        <f>W4/V4</f>
        <v>#DIV/0!</v>
      </c>
      <c r="Y4" s="683">
        <f>W4/$E31</f>
        <v>0</v>
      </c>
      <c r="Z4" s="684" t="e">
        <f>Y32</f>
        <v>#DIV/0!</v>
      </c>
      <c r="AA4" s="691"/>
      <c r="AB4" s="692"/>
      <c r="AC4" s="693"/>
      <c r="AD4" s="682" t="e">
        <f>AC4/AB4</f>
        <v>#DIV/0!</v>
      </c>
      <c r="AE4" s="683">
        <f>AC4/$E31</f>
        <v>0</v>
      </c>
      <c r="AF4" s="684" t="e">
        <f>AE32</f>
        <v>#DIV/0!</v>
      </c>
      <c r="AG4" s="691"/>
      <c r="AH4" s="692"/>
      <c r="AI4" s="693"/>
      <c r="AJ4" s="682" t="e">
        <f>AI4/AH4</f>
        <v>#DIV/0!</v>
      </c>
      <c r="AK4" s="683">
        <f>AI4/$E31</f>
        <v>0</v>
      </c>
      <c r="AL4" s="684" t="e">
        <f>AK32</f>
        <v>#DIV/0!</v>
      </c>
      <c r="AM4" s="691"/>
      <c r="AN4" s="692"/>
      <c r="AO4" s="693"/>
      <c r="AP4" s="682" t="e">
        <f>AO4/AN4</f>
        <v>#DIV/0!</v>
      </c>
      <c r="AQ4" s="683">
        <f>AO4/$E31</f>
        <v>0</v>
      </c>
      <c r="AR4" s="684" t="e">
        <f>AQ32</f>
        <v>#DIV/0!</v>
      </c>
      <c r="AS4" s="691"/>
      <c r="AT4" s="692"/>
      <c r="AU4" s="693"/>
      <c r="AV4" s="682" t="e">
        <f>AU4/AT4</f>
        <v>#DIV/0!</v>
      </c>
      <c r="AW4" s="683">
        <f>AU4/$E31</f>
        <v>0</v>
      </c>
      <c r="AX4" s="684" t="e">
        <f>AW32</f>
        <v>#DIV/0!</v>
      </c>
      <c r="AY4" s="691">
        <v>14</v>
      </c>
      <c r="AZ4" s="692">
        <v>15</v>
      </c>
      <c r="BA4" s="693">
        <v>1.8</v>
      </c>
      <c r="BB4" s="682">
        <f>BA4/AZ4</f>
        <v>0.12000000000000001</v>
      </c>
      <c r="BC4" s="683">
        <v>1.21E-2</v>
      </c>
      <c r="BD4" s="684">
        <f>BC32</f>
        <v>1.1204481792717085E-2</v>
      </c>
      <c r="BE4" s="691">
        <v>15</v>
      </c>
      <c r="BF4" s="692">
        <v>18</v>
      </c>
      <c r="BG4" s="693">
        <v>1.98</v>
      </c>
      <c r="BH4" s="682">
        <f>BG4/BF4</f>
        <v>0.11</v>
      </c>
      <c r="BI4" s="683">
        <v>1.11E-2</v>
      </c>
      <c r="BJ4" s="684">
        <f>BI32</f>
        <v>1.0027347310847767E-2</v>
      </c>
      <c r="BK4" s="691">
        <v>16</v>
      </c>
      <c r="BL4" s="692">
        <v>18</v>
      </c>
      <c r="BM4" s="693">
        <f>BN32*BL4</f>
        <v>1.98</v>
      </c>
      <c r="BN4" s="682">
        <f>BM4/BL4</f>
        <v>0.11</v>
      </c>
      <c r="BO4" s="683">
        <f>BM4/$E31</f>
        <v>1.1066410760575409E-2</v>
      </c>
      <c r="BP4" s="684">
        <f>BO32</f>
        <v>9.9277978339350186E-3</v>
      </c>
      <c r="BQ4" s="691"/>
      <c r="BR4" s="692"/>
      <c r="BS4" s="693"/>
      <c r="BT4" s="682" t="e">
        <f>BS4/BR4</f>
        <v>#DIV/0!</v>
      </c>
      <c r="BU4" s="683">
        <f>BS4/$E31</f>
        <v>0</v>
      </c>
      <c r="BV4" s="684" t="e">
        <f>BU32</f>
        <v>#DIV/0!</v>
      </c>
      <c r="BW4" s="691"/>
      <c r="BX4" s="692"/>
      <c r="BY4" s="693"/>
      <c r="BZ4" s="682" t="e">
        <f>BY4/BX4</f>
        <v>#DIV/0!</v>
      </c>
      <c r="CA4" s="683">
        <f>BY4/$E31</f>
        <v>0</v>
      </c>
      <c r="CB4" s="684" t="e">
        <f>CA32</f>
        <v>#DIV/0!</v>
      </c>
      <c r="CC4" s="720"/>
      <c r="CD4" s="720"/>
      <c r="CE4" s="720"/>
      <c r="CF4" s="720"/>
      <c r="CG4" s="720"/>
      <c r="CH4" s="720"/>
      <c r="CI4" s="720"/>
      <c r="CJ4" s="720"/>
      <c r="CK4" s="720"/>
      <c r="CL4" s="720"/>
      <c r="CM4" s="720"/>
      <c r="CN4" s="720"/>
      <c r="CO4" s="720"/>
      <c r="CP4" s="720"/>
      <c r="CQ4" s="720"/>
      <c r="CR4" s="720"/>
      <c r="CS4" s="720"/>
      <c r="CT4" s="720"/>
      <c r="CU4" s="720"/>
      <c r="CV4" s="720"/>
      <c r="CW4" s="720"/>
      <c r="CX4" s="720"/>
      <c r="CY4" s="720"/>
      <c r="CZ4" s="720"/>
      <c r="DA4" s="720"/>
      <c r="DB4" s="720"/>
      <c r="DC4" s="720"/>
      <c r="DD4" s="720"/>
      <c r="DE4" s="720"/>
      <c r="DF4" s="720"/>
      <c r="DG4" s="720"/>
      <c r="DH4" s="720"/>
      <c r="DI4" s="720"/>
      <c r="DJ4" s="720"/>
      <c r="DK4" s="720"/>
      <c r="DL4" s="720"/>
      <c r="DM4" s="720"/>
      <c r="DN4" s="720"/>
      <c r="DO4" s="720"/>
      <c r="DP4" s="720"/>
      <c r="DQ4" s="720"/>
      <c r="DR4" s="720"/>
    </row>
    <row r="5" spans="1:122" s="642" customFormat="1" ht="15.75">
      <c r="A5" s="720"/>
      <c r="B5" s="1121"/>
      <c r="C5" s="1078"/>
      <c r="D5" s="1015"/>
      <c r="E5" s="1081"/>
      <c r="F5" s="1015"/>
      <c r="G5" s="670">
        <f>R86</f>
        <v>112</v>
      </c>
      <c r="H5" s="810" t="str">
        <f>Q72</f>
        <v>BIME11</v>
      </c>
      <c r="I5" s="691"/>
      <c r="J5" s="692"/>
      <c r="K5" s="693"/>
      <c r="L5" s="682" t="e">
        <f t="shared" ref="L5:L15" si="0">K5/J5</f>
        <v>#DIV/0!</v>
      </c>
      <c r="M5" s="683">
        <f t="shared" ref="M5:M8" si="1">K5/$E32</f>
        <v>0</v>
      </c>
      <c r="N5" s="684" t="e">
        <f t="shared" ref="N5:N7" si="2">M33</f>
        <v>#DIV/0!</v>
      </c>
      <c r="O5" s="691"/>
      <c r="P5" s="692"/>
      <c r="Q5" s="693"/>
      <c r="R5" s="682" t="e">
        <f t="shared" ref="R5:R8" si="3">Q5/P5</f>
        <v>#DIV/0!</v>
      </c>
      <c r="S5" s="683">
        <f t="shared" ref="S5:S8" si="4">Q5/$E32</f>
        <v>0</v>
      </c>
      <c r="T5" s="684" t="e">
        <f t="shared" ref="T5:T7" si="5">S33</f>
        <v>#DIV/0!</v>
      </c>
      <c r="U5" s="691"/>
      <c r="V5" s="692"/>
      <c r="W5" s="693"/>
      <c r="X5" s="682" t="e">
        <f t="shared" ref="X5:X8" si="6">W5/V5</f>
        <v>#DIV/0!</v>
      </c>
      <c r="Y5" s="683">
        <f t="shared" ref="Y5:Y8" si="7">W5/$E32</f>
        <v>0</v>
      </c>
      <c r="Z5" s="684" t="e">
        <f t="shared" ref="Z5:Z7" si="8">Y33</f>
        <v>#DIV/0!</v>
      </c>
      <c r="AA5" s="691"/>
      <c r="AB5" s="692"/>
      <c r="AC5" s="693"/>
      <c r="AD5" s="682" t="e">
        <f t="shared" ref="AD5:AD8" si="9">AC5/AB5</f>
        <v>#DIV/0!</v>
      </c>
      <c r="AE5" s="683">
        <f t="shared" ref="AE5:AE8" si="10">AC5/$E32</f>
        <v>0</v>
      </c>
      <c r="AF5" s="684" t="e">
        <f t="shared" ref="AF5:AF7" si="11">AE33</f>
        <v>#DIV/0!</v>
      </c>
      <c r="AG5" s="691"/>
      <c r="AH5" s="692"/>
      <c r="AI5" s="693"/>
      <c r="AJ5" s="682" t="e">
        <f t="shared" ref="AJ5:AJ8" si="12">AI5/AH5</f>
        <v>#DIV/0!</v>
      </c>
      <c r="AK5" s="683">
        <f t="shared" ref="AK5:AK8" si="13">AI5/$E32</f>
        <v>0</v>
      </c>
      <c r="AL5" s="684" t="e">
        <f t="shared" ref="AL5:AL7" si="14">AK33</f>
        <v>#DIV/0!</v>
      </c>
      <c r="AM5" s="691"/>
      <c r="AN5" s="692"/>
      <c r="AO5" s="693"/>
      <c r="AP5" s="682" t="e">
        <f t="shared" ref="AP5:AP8" si="15">AO5/AN5</f>
        <v>#DIV/0!</v>
      </c>
      <c r="AQ5" s="683">
        <f t="shared" ref="AQ5:AQ8" si="16">AO5/$E32</f>
        <v>0</v>
      </c>
      <c r="AR5" s="684" t="e">
        <f t="shared" ref="AR5:AR7" si="17">AQ33</f>
        <v>#DIV/0!</v>
      </c>
      <c r="AS5" s="691"/>
      <c r="AT5" s="692"/>
      <c r="AU5" s="693"/>
      <c r="AV5" s="682" t="e">
        <f t="shared" ref="AV5:AV8" si="18">AU5/AT5</f>
        <v>#DIV/0!</v>
      </c>
      <c r="AW5" s="683">
        <f t="shared" ref="AW5:AW8" si="19">AU5/$E32</f>
        <v>0</v>
      </c>
      <c r="AX5" s="684" t="e">
        <f t="shared" ref="AX5:AX7" si="20">AW33</f>
        <v>#DIV/0!</v>
      </c>
      <c r="AY5" s="691">
        <v>14</v>
      </c>
      <c r="AZ5" s="692">
        <v>112</v>
      </c>
      <c r="BA5" s="693">
        <v>8.9600000000000009</v>
      </c>
      <c r="BB5" s="682">
        <f t="shared" ref="BB5:BB8" si="21">BA5/AZ5</f>
        <v>0.08</v>
      </c>
      <c r="BC5" s="683">
        <v>1.09E-2</v>
      </c>
      <c r="BD5" s="684">
        <f t="shared" ref="BD5:BD7" si="22">BC33</f>
        <v>1.0152284263959392E-2</v>
      </c>
      <c r="BE5" s="691">
        <v>15</v>
      </c>
      <c r="BF5" s="692">
        <v>112</v>
      </c>
      <c r="BG5" s="693">
        <v>8.9600000000000009</v>
      </c>
      <c r="BH5" s="682">
        <f t="shared" ref="BH5:BH8" si="23">BG5/BF5</f>
        <v>0.08</v>
      </c>
      <c r="BI5" s="683">
        <v>1.09E-2</v>
      </c>
      <c r="BJ5" s="684">
        <f t="shared" ref="BJ5:BJ7" si="24">BI33</f>
        <v>1.0568031704095112E-2</v>
      </c>
      <c r="BK5" s="691"/>
      <c r="BL5" s="692"/>
      <c r="BM5" s="693"/>
      <c r="BN5" s="682" t="e">
        <f t="shared" ref="BN5:BN8" si="25">BM5/BL5</f>
        <v>#DIV/0!</v>
      </c>
      <c r="BO5" s="683">
        <f t="shared" ref="BO5:BO8" si="26">BM5/$E32</f>
        <v>0</v>
      </c>
      <c r="BP5" s="684" t="e">
        <f t="shared" ref="BP5:BP7" si="27">BO33</f>
        <v>#DIV/0!</v>
      </c>
      <c r="BQ5" s="691"/>
      <c r="BR5" s="692"/>
      <c r="BS5" s="693"/>
      <c r="BT5" s="682" t="e">
        <f t="shared" ref="BT5:BT8" si="28">BS5/BR5</f>
        <v>#DIV/0!</v>
      </c>
      <c r="BU5" s="683">
        <f t="shared" ref="BU5:BU8" si="29">BS5/$E32</f>
        <v>0</v>
      </c>
      <c r="BV5" s="684" t="e">
        <f t="shared" ref="BV5:BV7" si="30">BU33</f>
        <v>#DIV/0!</v>
      </c>
      <c r="BW5" s="691"/>
      <c r="BX5" s="692"/>
      <c r="BY5" s="693"/>
      <c r="BZ5" s="682" t="e">
        <f t="shared" ref="BZ5:BZ8" si="31">BY5/BX5</f>
        <v>#DIV/0!</v>
      </c>
      <c r="CA5" s="683">
        <f t="shared" ref="CA5:CA8" si="32">BY5/$E32</f>
        <v>0</v>
      </c>
      <c r="CB5" s="684" t="e">
        <f t="shared" ref="CB5:CB7" si="33">CA33</f>
        <v>#DIV/0!</v>
      </c>
      <c r="CC5" s="720"/>
      <c r="CD5" s="720"/>
      <c r="CE5" s="720"/>
      <c r="CF5" s="720"/>
      <c r="CG5" s="720"/>
      <c r="CH5" s="720"/>
      <c r="CI5" s="720"/>
      <c r="CJ5" s="720"/>
      <c r="CK5" s="720"/>
      <c r="CL5" s="720"/>
      <c r="CM5" s="720"/>
      <c r="CN5" s="720"/>
      <c r="CO5" s="720"/>
      <c r="CP5" s="720"/>
      <c r="CQ5" s="720"/>
      <c r="CR5" s="720"/>
      <c r="CS5" s="720"/>
      <c r="CT5" s="720"/>
      <c r="CU5" s="720"/>
      <c r="CV5" s="720"/>
      <c r="CW5" s="720"/>
      <c r="CX5" s="720"/>
      <c r="CY5" s="720"/>
      <c r="CZ5" s="720"/>
      <c r="DA5" s="720"/>
      <c r="DB5" s="720"/>
      <c r="DC5" s="720"/>
      <c r="DD5" s="720"/>
      <c r="DE5" s="720"/>
      <c r="DF5" s="720"/>
      <c r="DG5" s="720"/>
      <c r="DH5" s="720"/>
      <c r="DI5" s="720"/>
      <c r="DJ5" s="720"/>
      <c r="DK5" s="720"/>
      <c r="DL5" s="720"/>
      <c r="DM5" s="720"/>
      <c r="DN5" s="720"/>
      <c r="DO5" s="720"/>
      <c r="DP5" s="720"/>
      <c r="DQ5" s="720"/>
      <c r="DR5" s="720"/>
    </row>
    <row r="6" spans="1:122" s="642" customFormat="1" ht="15.75">
      <c r="A6" s="720"/>
      <c r="B6" s="1121"/>
      <c r="C6" s="1078"/>
      <c r="D6" s="1015"/>
      <c r="E6" s="1081"/>
      <c r="F6" s="1015"/>
      <c r="G6" s="670">
        <f>W86</f>
        <v>7</v>
      </c>
      <c r="H6" s="810" t="str">
        <f>V72</f>
        <v>TGAR11</v>
      </c>
      <c r="I6" s="691"/>
      <c r="J6" s="692"/>
      <c r="K6" s="693"/>
      <c r="L6" s="682" t="e">
        <f t="shared" si="0"/>
        <v>#DIV/0!</v>
      </c>
      <c r="M6" s="683">
        <f t="shared" si="1"/>
        <v>0</v>
      </c>
      <c r="N6" s="684" t="e">
        <f t="shared" si="2"/>
        <v>#DIV/0!</v>
      </c>
      <c r="O6" s="691"/>
      <c r="P6" s="692"/>
      <c r="Q6" s="693"/>
      <c r="R6" s="682" t="e">
        <f t="shared" si="3"/>
        <v>#DIV/0!</v>
      </c>
      <c r="S6" s="683">
        <f t="shared" si="4"/>
        <v>0</v>
      </c>
      <c r="T6" s="684" t="e">
        <f t="shared" si="5"/>
        <v>#DIV/0!</v>
      </c>
      <c r="U6" s="691"/>
      <c r="V6" s="692"/>
      <c r="W6" s="693"/>
      <c r="X6" s="682" t="e">
        <f t="shared" si="6"/>
        <v>#DIV/0!</v>
      </c>
      <c r="Y6" s="683">
        <f t="shared" si="7"/>
        <v>0</v>
      </c>
      <c r="Z6" s="684" t="e">
        <f t="shared" si="8"/>
        <v>#DIV/0!</v>
      </c>
      <c r="AA6" s="691"/>
      <c r="AB6" s="692"/>
      <c r="AC6" s="693"/>
      <c r="AD6" s="682" t="e">
        <f t="shared" si="9"/>
        <v>#DIV/0!</v>
      </c>
      <c r="AE6" s="683">
        <f t="shared" si="10"/>
        <v>0</v>
      </c>
      <c r="AF6" s="684" t="e">
        <f t="shared" si="11"/>
        <v>#DIV/0!</v>
      </c>
      <c r="AG6" s="691"/>
      <c r="AH6" s="692"/>
      <c r="AI6" s="693"/>
      <c r="AJ6" s="682" t="e">
        <f t="shared" si="12"/>
        <v>#DIV/0!</v>
      </c>
      <c r="AK6" s="683">
        <f t="shared" si="13"/>
        <v>0</v>
      </c>
      <c r="AL6" s="684" t="e">
        <f t="shared" si="14"/>
        <v>#DIV/0!</v>
      </c>
      <c r="AM6" s="691"/>
      <c r="AN6" s="692"/>
      <c r="AO6" s="693"/>
      <c r="AP6" s="682" t="e">
        <f t="shared" si="15"/>
        <v>#DIV/0!</v>
      </c>
      <c r="AQ6" s="683">
        <f t="shared" si="16"/>
        <v>0</v>
      </c>
      <c r="AR6" s="684" t="e">
        <f t="shared" si="17"/>
        <v>#DIV/0!</v>
      </c>
      <c r="AS6" s="691"/>
      <c r="AT6" s="692"/>
      <c r="AU6" s="693"/>
      <c r="AV6" s="682" t="e">
        <f t="shared" si="18"/>
        <v>#DIV/0!</v>
      </c>
      <c r="AW6" s="683">
        <f t="shared" si="19"/>
        <v>0</v>
      </c>
      <c r="AX6" s="684" t="e">
        <f t="shared" si="20"/>
        <v>#DIV/0!</v>
      </c>
      <c r="AY6" s="691">
        <v>14</v>
      </c>
      <c r="AZ6" s="692">
        <v>7</v>
      </c>
      <c r="BA6" s="693">
        <v>9.8000000000000007</v>
      </c>
      <c r="BB6" s="682">
        <f t="shared" si="21"/>
        <v>1.4000000000000001</v>
      </c>
      <c r="BC6" s="683">
        <v>1.17E-2</v>
      </c>
      <c r="BD6" s="684">
        <f t="shared" si="22"/>
        <v>1.1382113821138211E-2</v>
      </c>
      <c r="BE6" s="691">
        <v>15</v>
      </c>
      <c r="BF6" s="692">
        <v>7</v>
      </c>
      <c r="BG6" s="693">
        <v>9.94</v>
      </c>
      <c r="BH6" s="682">
        <f t="shared" si="23"/>
        <v>1.42</v>
      </c>
      <c r="BI6" s="683">
        <v>1.1900000000000001E-2</v>
      </c>
      <c r="BJ6" s="684">
        <f t="shared" si="24"/>
        <v>1.1585216610916211E-2</v>
      </c>
      <c r="BK6" s="691">
        <v>16</v>
      </c>
      <c r="BL6" s="692">
        <v>7</v>
      </c>
      <c r="BM6" s="693">
        <f>BL6*BN34</f>
        <v>10.01</v>
      </c>
      <c r="BN6" s="682">
        <f t="shared" si="25"/>
        <v>1.43</v>
      </c>
      <c r="BO6" s="683">
        <f t="shared" si="26"/>
        <v>1.1992763607174092E-2</v>
      </c>
      <c r="BP6" s="684">
        <f t="shared" si="27"/>
        <v>1.1180609851446442E-2</v>
      </c>
      <c r="BQ6" s="691"/>
      <c r="BR6" s="692"/>
      <c r="BS6" s="693"/>
      <c r="BT6" s="682" t="e">
        <f t="shared" si="28"/>
        <v>#DIV/0!</v>
      </c>
      <c r="BU6" s="683">
        <f t="shared" si="29"/>
        <v>0</v>
      </c>
      <c r="BV6" s="684" t="e">
        <f t="shared" si="30"/>
        <v>#DIV/0!</v>
      </c>
      <c r="BW6" s="691"/>
      <c r="BX6" s="692"/>
      <c r="BY6" s="693"/>
      <c r="BZ6" s="682" t="e">
        <f t="shared" si="31"/>
        <v>#DIV/0!</v>
      </c>
      <c r="CA6" s="683">
        <f t="shared" si="32"/>
        <v>0</v>
      </c>
      <c r="CB6" s="684" t="e">
        <f t="shared" si="33"/>
        <v>#DIV/0!</v>
      </c>
      <c r="CC6" s="720"/>
      <c r="CD6" s="720"/>
      <c r="CE6" s="720"/>
      <c r="CF6" s="720"/>
      <c r="CG6" s="720"/>
      <c r="CH6" s="720"/>
      <c r="CI6" s="720"/>
      <c r="CJ6" s="720"/>
      <c r="CK6" s="720"/>
      <c r="CL6" s="720"/>
      <c r="CM6" s="720"/>
      <c r="CN6" s="720"/>
      <c r="CO6" s="720"/>
      <c r="CP6" s="720"/>
      <c r="CQ6" s="720"/>
      <c r="CR6" s="720"/>
      <c r="CS6" s="720"/>
      <c r="CT6" s="720"/>
      <c r="CU6" s="720"/>
      <c r="CV6" s="720"/>
      <c r="CW6" s="720"/>
      <c r="CX6" s="720"/>
      <c r="CY6" s="720"/>
      <c r="CZ6" s="720"/>
      <c r="DA6" s="720"/>
      <c r="DB6" s="720"/>
      <c r="DC6" s="720"/>
      <c r="DD6" s="720"/>
      <c r="DE6" s="720"/>
      <c r="DF6" s="720"/>
      <c r="DG6" s="720"/>
      <c r="DH6" s="720"/>
      <c r="DI6" s="720"/>
      <c r="DJ6" s="720"/>
      <c r="DK6" s="720"/>
      <c r="DL6" s="720"/>
      <c r="DM6" s="720"/>
      <c r="DN6" s="720"/>
      <c r="DO6" s="720"/>
      <c r="DP6" s="720"/>
      <c r="DQ6" s="720"/>
      <c r="DR6" s="720"/>
    </row>
    <row r="7" spans="1:122" s="642" customFormat="1" ht="15.75">
      <c r="A7" s="720"/>
      <c r="B7" s="1121"/>
      <c r="C7" s="1078"/>
      <c r="D7" s="1015"/>
      <c r="E7" s="1081"/>
      <c r="F7" s="1015"/>
      <c r="G7" s="670">
        <f>AB86</f>
        <v>1</v>
      </c>
      <c r="H7" s="810" t="str">
        <f>AA72</f>
        <v>OURE11</v>
      </c>
      <c r="I7" s="691"/>
      <c r="J7" s="692"/>
      <c r="K7" s="693"/>
      <c r="L7" s="682" t="e">
        <f t="shared" si="0"/>
        <v>#DIV/0!</v>
      </c>
      <c r="M7" s="683">
        <f t="shared" si="1"/>
        <v>0</v>
      </c>
      <c r="N7" s="684" t="e">
        <f t="shared" si="2"/>
        <v>#DIV/0!</v>
      </c>
      <c r="O7" s="691"/>
      <c r="P7" s="692"/>
      <c r="Q7" s="693"/>
      <c r="R7" s="682" t="e">
        <f t="shared" si="3"/>
        <v>#DIV/0!</v>
      </c>
      <c r="S7" s="683">
        <f t="shared" si="4"/>
        <v>0</v>
      </c>
      <c r="T7" s="684" t="e">
        <f t="shared" si="5"/>
        <v>#DIV/0!</v>
      </c>
      <c r="U7" s="691"/>
      <c r="V7" s="692"/>
      <c r="W7" s="693"/>
      <c r="X7" s="682" t="e">
        <f t="shared" si="6"/>
        <v>#DIV/0!</v>
      </c>
      <c r="Y7" s="683">
        <f t="shared" si="7"/>
        <v>0</v>
      </c>
      <c r="Z7" s="684" t="e">
        <f t="shared" si="8"/>
        <v>#DIV/0!</v>
      </c>
      <c r="AA7" s="691"/>
      <c r="AB7" s="692"/>
      <c r="AC7" s="693"/>
      <c r="AD7" s="682" t="e">
        <f t="shared" si="9"/>
        <v>#DIV/0!</v>
      </c>
      <c r="AE7" s="683">
        <f t="shared" si="10"/>
        <v>0</v>
      </c>
      <c r="AF7" s="684" t="e">
        <f t="shared" si="11"/>
        <v>#DIV/0!</v>
      </c>
      <c r="AG7" s="691"/>
      <c r="AH7" s="692"/>
      <c r="AI7" s="693"/>
      <c r="AJ7" s="682" t="e">
        <f t="shared" si="12"/>
        <v>#DIV/0!</v>
      </c>
      <c r="AK7" s="683">
        <f t="shared" si="13"/>
        <v>0</v>
      </c>
      <c r="AL7" s="684" t="e">
        <f t="shared" si="14"/>
        <v>#DIV/0!</v>
      </c>
      <c r="AM7" s="691"/>
      <c r="AN7" s="692"/>
      <c r="AO7" s="693"/>
      <c r="AP7" s="682" t="e">
        <f t="shared" si="15"/>
        <v>#DIV/0!</v>
      </c>
      <c r="AQ7" s="683">
        <f t="shared" si="16"/>
        <v>0</v>
      </c>
      <c r="AR7" s="684" t="e">
        <f t="shared" si="17"/>
        <v>#DIV/0!</v>
      </c>
      <c r="AS7" s="691"/>
      <c r="AT7" s="692"/>
      <c r="AU7" s="693"/>
      <c r="AV7" s="682" t="e">
        <f t="shared" si="18"/>
        <v>#DIV/0!</v>
      </c>
      <c r="AW7" s="683">
        <f t="shared" si="19"/>
        <v>0</v>
      </c>
      <c r="AX7" s="684" t="e">
        <f t="shared" si="20"/>
        <v>#DIV/0!</v>
      </c>
      <c r="AY7" s="691">
        <v>21</v>
      </c>
      <c r="AZ7" s="692">
        <v>1</v>
      </c>
      <c r="BA7" s="693">
        <v>0.8</v>
      </c>
      <c r="BB7" s="682">
        <f t="shared" si="21"/>
        <v>0.8</v>
      </c>
      <c r="BC7" s="683">
        <v>9.5999999999999992E-3</v>
      </c>
      <c r="BD7" s="684">
        <f t="shared" si="22"/>
        <v>9.4495629577132072E-3</v>
      </c>
      <c r="BE7" s="691">
        <v>22</v>
      </c>
      <c r="BF7" s="692">
        <v>1</v>
      </c>
      <c r="BG7" s="693">
        <v>0.8</v>
      </c>
      <c r="BH7" s="682">
        <f t="shared" si="23"/>
        <v>0.8</v>
      </c>
      <c r="BI7" s="683">
        <v>0.96</v>
      </c>
      <c r="BJ7" s="684">
        <f t="shared" si="24"/>
        <v>9.7370983446932822E-3</v>
      </c>
      <c r="BK7" s="691"/>
      <c r="BL7" s="692"/>
      <c r="BM7" s="693"/>
      <c r="BN7" s="682" t="e">
        <f t="shared" si="25"/>
        <v>#DIV/0!</v>
      </c>
      <c r="BO7" s="683">
        <f t="shared" si="26"/>
        <v>0</v>
      </c>
      <c r="BP7" s="684" t="e">
        <f t="shared" si="27"/>
        <v>#DIV/0!</v>
      </c>
      <c r="BQ7" s="691"/>
      <c r="BR7" s="692"/>
      <c r="BS7" s="693"/>
      <c r="BT7" s="682" t="e">
        <f t="shared" si="28"/>
        <v>#DIV/0!</v>
      </c>
      <c r="BU7" s="683">
        <f t="shared" si="29"/>
        <v>0</v>
      </c>
      <c r="BV7" s="684" t="e">
        <f t="shared" si="30"/>
        <v>#DIV/0!</v>
      </c>
      <c r="BW7" s="691"/>
      <c r="BX7" s="692"/>
      <c r="BY7" s="693"/>
      <c r="BZ7" s="682" t="e">
        <f t="shared" si="31"/>
        <v>#DIV/0!</v>
      </c>
      <c r="CA7" s="683">
        <f t="shared" si="32"/>
        <v>0</v>
      </c>
      <c r="CB7" s="684" t="e">
        <f t="shared" si="33"/>
        <v>#DIV/0!</v>
      </c>
      <c r="CC7" s="720"/>
      <c r="CD7" s="720"/>
      <c r="CE7" s="720"/>
      <c r="CF7" s="720"/>
      <c r="CG7" s="720"/>
      <c r="CH7" s="720"/>
      <c r="CI7" s="720"/>
      <c r="CJ7" s="720"/>
      <c r="CK7" s="720"/>
      <c r="CL7" s="720"/>
      <c r="CM7" s="720"/>
      <c r="CN7" s="720"/>
      <c r="CO7" s="720"/>
      <c r="CP7" s="720"/>
      <c r="CQ7" s="720"/>
      <c r="CR7" s="720"/>
      <c r="CS7" s="720"/>
      <c r="CT7" s="720"/>
      <c r="CU7" s="720"/>
      <c r="CV7" s="720"/>
      <c r="CW7" s="720"/>
      <c r="CX7" s="720"/>
      <c r="CY7" s="720"/>
      <c r="CZ7" s="720"/>
      <c r="DA7" s="720"/>
      <c r="DB7" s="720"/>
      <c r="DC7" s="720"/>
      <c r="DD7" s="720"/>
      <c r="DE7" s="720"/>
      <c r="DF7" s="720"/>
      <c r="DG7" s="720"/>
      <c r="DH7" s="720"/>
      <c r="DI7" s="720"/>
      <c r="DJ7" s="720"/>
      <c r="DK7" s="720"/>
      <c r="DL7" s="720"/>
      <c r="DM7" s="720"/>
      <c r="DN7" s="720"/>
      <c r="DO7" s="720"/>
      <c r="DP7" s="720"/>
      <c r="DQ7" s="720"/>
      <c r="DR7" s="720"/>
    </row>
    <row r="8" spans="1:122" s="642" customFormat="1" ht="15.75">
      <c r="A8" s="720"/>
      <c r="B8" s="1121"/>
      <c r="C8" s="1078"/>
      <c r="D8" s="1015"/>
      <c r="E8" s="1081"/>
      <c r="F8" s="1015"/>
      <c r="G8" s="670">
        <f>AG86</f>
        <v>15</v>
      </c>
      <c r="H8" s="810" t="str">
        <f>AF72</f>
        <v>AIEC11</v>
      </c>
      <c r="I8" s="691"/>
      <c r="J8" s="692"/>
      <c r="K8" s="693"/>
      <c r="L8" s="682" t="e">
        <f t="shared" si="0"/>
        <v>#DIV/0!</v>
      </c>
      <c r="M8" s="683">
        <f t="shared" si="1"/>
        <v>0</v>
      </c>
      <c r="N8" s="684" t="e">
        <f>M36</f>
        <v>#DIV/0!</v>
      </c>
      <c r="O8" s="691"/>
      <c r="P8" s="692"/>
      <c r="Q8" s="693"/>
      <c r="R8" s="682" t="e">
        <f t="shared" si="3"/>
        <v>#DIV/0!</v>
      </c>
      <c r="S8" s="683">
        <f t="shared" si="4"/>
        <v>0</v>
      </c>
      <c r="T8" s="684" t="e">
        <f>S36</f>
        <v>#DIV/0!</v>
      </c>
      <c r="U8" s="691"/>
      <c r="V8" s="692"/>
      <c r="W8" s="693"/>
      <c r="X8" s="682" t="e">
        <f t="shared" si="6"/>
        <v>#DIV/0!</v>
      </c>
      <c r="Y8" s="683">
        <f t="shared" si="7"/>
        <v>0</v>
      </c>
      <c r="Z8" s="684" t="e">
        <f>Y36</f>
        <v>#DIV/0!</v>
      </c>
      <c r="AA8" s="691"/>
      <c r="AB8" s="692"/>
      <c r="AC8" s="693"/>
      <c r="AD8" s="682" t="e">
        <f t="shared" si="9"/>
        <v>#DIV/0!</v>
      </c>
      <c r="AE8" s="683">
        <f t="shared" si="10"/>
        <v>0</v>
      </c>
      <c r="AF8" s="684" t="e">
        <f>AE36</f>
        <v>#DIV/0!</v>
      </c>
      <c r="AG8" s="691"/>
      <c r="AH8" s="692"/>
      <c r="AI8" s="693"/>
      <c r="AJ8" s="682" t="e">
        <f t="shared" si="12"/>
        <v>#DIV/0!</v>
      </c>
      <c r="AK8" s="683">
        <f t="shared" si="13"/>
        <v>0</v>
      </c>
      <c r="AL8" s="684" t="e">
        <f>AK36</f>
        <v>#DIV/0!</v>
      </c>
      <c r="AM8" s="691"/>
      <c r="AN8" s="692"/>
      <c r="AO8" s="693"/>
      <c r="AP8" s="682" t="e">
        <f t="shared" si="15"/>
        <v>#DIV/0!</v>
      </c>
      <c r="AQ8" s="683">
        <f t="shared" si="16"/>
        <v>0</v>
      </c>
      <c r="AR8" s="684" t="e">
        <f>AQ36</f>
        <v>#DIV/0!</v>
      </c>
      <c r="AS8" s="691"/>
      <c r="AT8" s="692"/>
      <c r="AU8" s="693"/>
      <c r="AV8" s="682" t="e">
        <f t="shared" si="18"/>
        <v>#DIV/0!</v>
      </c>
      <c r="AW8" s="683">
        <f t="shared" si="19"/>
        <v>0</v>
      </c>
      <c r="AX8" s="684" t="e">
        <f>AW36</f>
        <v>#DIV/0!</v>
      </c>
      <c r="AY8" s="691">
        <v>8</v>
      </c>
      <c r="AZ8" s="692">
        <v>15</v>
      </c>
      <c r="BA8" s="693">
        <v>11.4</v>
      </c>
      <c r="BB8" s="682">
        <f t="shared" si="21"/>
        <v>0.76</v>
      </c>
      <c r="BC8" s="683">
        <v>1.21E-2</v>
      </c>
      <c r="BD8" s="684">
        <f>BC36</f>
        <v>1.0618974430627358E-2</v>
      </c>
      <c r="BE8" s="691">
        <v>11</v>
      </c>
      <c r="BF8" s="692">
        <v>15</v>
      </c>
      <c r="BG8" s="693">
        <v>11.4</v>
      </c>
      <c r="BH8" s="682">
        <f t="shared" si="23"/>
        <v>0.76</v>
      </c>
      <c r="BI8" s="683">
        <v>1.21E-2</v>
      </c>
      <c r="BJ8" s="684">
        <f>BI36</f>
        <v>1.1148599090509021E-2</v>
      </c>
      <c r="BK8" s="691">
        <v>9</v>
      </c>
      <c r="BL8" s="692">
        <v>15</v>
      </c>
      <c r="BM8" s="693">
        <f>BL8*BN36</f>
        <v>11.4</v>
      </c>
      <c r="BN8" s="682">
        <f t="shared" si="25"/>
        <v>0.76</v>
      </c>
      <c r="BO8" s="683">
        <f t="shared" si="26"/>
        <v>1.2073713196356703E-2</v>
      </c>
      <c r="BP8" s="684">
        <f>BO36</f>
        <v>1.155366372757677E-2</v>
      </c>
      <c r="BQ8" s="691"/>
      <c r="BR8" s="692"/>
      <c r="BS8" s="693"/>
      <c r="BT8" s="682" t="e">
        <f t="shared" si="28"/>
        <v>#DIV/0!</v>
      </c>
      <c r="BU8" s="683">
        <f t="shared" si="29"/>
        <v>0</v>
      </c>
      <c r="BV8" s="684" t="e">
        <f>BU36</f>
        <v>#DIV/0!</v>
      </c>
      <c r="BW8" s="691"/>
      <c r="BX8" s="692"/>
      <c r="BY8" s="693"/>
      <c r="BZ8" s="682" t="e">
        <f t="shared" si="31"/>
        <v>#DIV/0!</v>
      </c>
      <c r="CA8" s="683">
        <f t="shared" si="32"/>
        <v>0</v>
      </c>
      <c r="CB8" s="684" t="e">
        <f>CA36</f>
        <v>#DIV/0!</v>
      </c>
      <c r="CC8" s="720"/>
      <c r="CD8" s="720"/>
      <c r="CE8" s="720"/>
      <c r="CF8" s="720"/>
      <c r="CG8" s="720"/>
      <c r="CH8" s="720"/>
      <c r="CI8" s="720"/>
      <c r="CJ8" s="720"/>
      <c r="CK8" s="720"/>
      <c r="CL8" s="720"/>
      <c r="CM8" s="720"/>
      <c r="CN8" s="720"/>
      <c r="CO8" s="720"/>
      <c r="CP8" s="720"/>
      <c r="CQ8" s="720"/>
      <c r="CR8" s="720"/>
      <c r="CS8" s="720"/>
      <c r="CT8" s="720"/>
      <c r="CU8" s="720"/>
      <c r="CV8" s="720"/>
      <c r="CW8" s="720"/>
      <c r="CX8" s="720"/>
      <c r="CY8" s="720"/>
      <c r="CZ8" s="720"/>
      <c r="DA8" s="720"/>
      <c r="DB8" s="720"/>
      <c r="DC8" s="720"/>
      <c r="DD8" s="720"/>
      <c r="DE8" s="720"/>
      <c r="DF8" s="720"/>
      <c r="DG8" s="720"/>
      <c r="DH8" s="720"/>
      <c r="DI8" s="720"/>
      <c r="DJ8" s="720"/>
      <c r="DK8" s="720"/>
      <c r="DL8" s="720"/>
      <c r="DM8" s="720"/>
      <c r="DN8" s="720"/>
      <c r="DO8" s="720"/>
      <c r="DP8" s="720"/>
      <c r="DQ8" s="720"/>
      <c r="DR8" s="720"/>
    </row>
    <row r="9" spans="1:122" s="642" customFormat="1" ht="16.5" thickBot="1">
      <c r="A9" s="720"/>
      <c r="B9" s="1122"/>
      <c r="C9" s="1079"/>
      <c r="D9" s="1016"/>
      <c r="E9" s="1082"/>
      <c r="F9" s="1016"/>
      <c r="G9" s="1041" t="s">
        <v>620</v>
      </c>
      <c r="H9" s="1042"/>
      <c r="I9" s="1037">
        <f>SUM(J4:J8)</f>
        <v>0</v>
      </c>
      <c r="J9" s="1038"/>
      <c r="K9" s="685">
        <f>SUM(K4:K8)</f>
        <v>0</v>
      </c>
      <c r="L9" s="685" t="e">
        <f>SUM(L4:L8)</f>
        <v>#DIV/0!</v>
      </c>
      <c r="M9" s="1033"/>
      <c r="N9" s="1034"/>
      <c r="O9" s="1037">
        <f>SUM(P4:P8)</f>
        <v>0</v>
      </c>
      <c r="P9" s="1038"/>
      <c r="Q9" s="685">
        <f>SUM(Q4:Q8)</f>
        <v>0</v>
      </c>
      <c r="R9" s="685" t="e">
        <f>SUM(R4:R8)</f>
        <v>#DIV/0!</v>
      </c>
      <c r="S9" s="1033"/>
      <c r="T9" s="1034"/>
      <c r="U9" s="1037">
        <f>SUM(V4:V8)</f>
        <v>0</v>
      </c>
      <c r="V9" s="1038"/>
      <c r="W9" s="685">
        <f>SUM(W4:W8)</f>
        <v>0</v>
      </c>
      <c r="X9" s="685" t="e">
        <f>SUM(X4:X8)</f>
        <v>#DIV/0!</v>
      </c>
      <c r="Y9" s="1033"/>
      <c r="Z9" s="1034"/>
      <c r="AA9" s="1037">
        <f>SUM(AB4:AB8)</f>
        <v>0</v>
      </c>
      <c r="AB9" s="1038"/>
      <c r="AC9" s="685">
        <f>SUM(AC4:AC8)</f>
        <v>0</v>
      </c>
      <c r="AD9" s="685" t="e">
        <f>SUM(AD4:AD8)</f>
        <v>#DIV/0!</v>
      </c>
      <c r="AE9" s="1033"/>
      <c r="AF9" s="1034"/>
      <c r="AG9" s="1037">
        <f>SUM(AH4:AH8)</f>
        <v>0</v>
      </c>
      <c r="AH9" s="1038"/>
      <c r="AI9" s="685">
        <f>SUM(AI4:AI8)</f>
        <v>0</v>
      </c>
      <c r="AJ9" s="685" t="e">
        <f>SUM(AJ4:AJ8)</f>
        <v>#DIV/0!</v>
      </c>
      <c r="AK9" s="1033"/>
      <c r="AL9" s="1034"/>
      <c r="AM9" s="1037">
        <f>SUM(AN4:AN8)</f>
        <v>0</v>
      </c>
      <c r="AN9" s="1038"/>
      <c r="AO9" s="685">
        <f>SUM(AO4:AO8)</f>
        <v>0</v>
      </c>
      <c r="AP9" s="685" t="e">
        <f>SUM(AP4:AP8)</f>
        <v>#DIV/0!</v>
      </c>
      <c r="AQ9" s="1033"/>
      <c r="AR9" s="1034"/>
      <c r="AS9" s="1037">
        <f>SUM(AT4:AT8)</f>
        <v>0</v>
      </c>
      <c r="AT9" s="1038"/>
      <c r="AU9" s="685">
        <f>SUM(AU4:AU8)</f>
        <v>0</v>
      </c>
      <c r="AV9" s="685" t="e">
        <f>SUM(AV4:AV8)</f>
        <v>#DIV/0!</v>
      </c>
      <c r="AW9" s="1033"/>
      <c r="AX9" s="1034"/>
      <c r="AY9" s="1037">
        <f>SUM(AZ4:AZ8)</f>
        <v>150</v>
      </c>
      <c r="AZ9" s="1038"/>
      <c r="BA9" s="685">
        <f>SUM(BA4:BA8)</f>
        <v>32.760000000000005</v>
      </c>
      <c r="BB9" s="685">
        <f>SUM(BB4:BB8)</f>
        <v>3.16</v>
      </c>
      <c r="BC9" s="1033"/>
      <c r="BD9" s="1034"/>
      <c r="BE9" s="1037">
        <f>SUM(BF4:BF8)</f>
        <v>153</v>
      </c>
      <c r="BF9" s="1038"/>
      <c r="BG9" s="685">
        <f>SUM(BG4:BG8)</f>
        <v>33.080000000000005</v>
      </c>
      <c r="BH9" s="685">
        <f>SUM(BH4:BH8)</f>
        <v>3.17</v>
      </c>
      <c r="BI9" s="1033"/>
      <c r="BJ9" s="1034"/>
      <c r="BK9" s="1037">
        <f>SUM(BL4:BL8)</f>
        <v>40</v>
      </c>
      <c r="BL9" s="1038"/>
      <c r="BM9" s="685">
        <f>SUM(BM4:BM8)</f>
        <v>23.39</v>
      </c>
      <c r="BN9" s="685" t="e">
        <f>SUM(BN4:BN8)</f>
        <v>#DIV/0!</v>
      </c>
      <c r="BO9" s="1033"/>
      <c r="BP9" s="1034"/>
      <c r="BQ9" s="1037">
        <f>SUM(BR4:BR8)</f>
        <v>0</v>
      </c>
      <c r="BR9" s="1038"/>
      <c r="BS9" s="685">
        <f>SUM(BS4:BS8)</f>
        <v>0</v>
      </c>
      <c r="BT9" s="685" t="e">
        <f>SUM(BT4:BT8)</f>
        <v>#DIV/0!</v>
      </c>
      <c r="BU9" s="1033"/>
      <c r="BV9" s="1034"/>
      <c r="BW9" s="1037">
        <f>SUM(BX4:BX8)</f>
        <v>0</v>
      </c>
      <c r="BX9" s="1038"/>
      <c r="BY9" s="685">
        <f>SUM(BY4:BY8)</f>
        <v>0</v>
      </c>
      <c r="BZ9" s="685" t="e">
        <f>SUM(BZ4:BZ8)</f>
        <v>#DIV/0!</v>
      </c>
      <c r="CA9" s="1033"/>
      <c r="CB9" s="1034"/>
      <c r="CC9" s="720"/>
      <c r="CD9" s="720"/>
      <c r="CE9" s="720"/>
      <c r="CF9" s="720"/>
      <c r="CG9" s="720"/>
      <c r="CH9" s="720"/>
      <c r="CI9" s="720"/>
      <c r="CJ9" s="720"/>
      <c r="CK9" s="720"/>
      <c r="CL9" s="720"/>
      <c r="CM9" s="720"/>
      <c r="CN9" s="720"/>
      <c r="CO9" s="720"/>
      <c r="CP9" s="720"/>
      <c r="CQ9" s="720"/>
      <c r="CR9" s="720"/>
      <c r="CS9" s="720"/>
      <c r="CT9" s="720"/>
      <c r="CU9" s="720"/>
      <c r="CV9" s="720"/>
      <c r="CW9" s="720"/>
      <c r="CX9" s="720"/>
      <c r="CY9" s="720"/>
      <c r="CZ9" s="720"/>
      <c r="DA9" s="720"/>
      <c r="DB9" s="720"/>
      <c r="DC9" s="720"/>
      <c r="DD9" s="720"/>
      <c r="DE9" s="720"/>
      <c r="DF9" s="720"/>
      <c r="DG9" s="720"/>
      <c r="DH9" s="720"/>
      <c r="DI9" s="720"/>
      <c r="DJ9" s="720"/>
      <c r="DK9" s="720"/>
      <c r="DL9" s="720"/>
      <c r="DM9" s="720"/>
      <c r="DN9" s="720"/>
      <c r="DO9" s="720"/>
      <c r="DP9" s="720"/>
      <c r="DQ9" s="720"/>
      <c r="DR9" s="720"/>
    </row>
    <row r="10" spans="1:122" s="642" customFormat="1" ht="15.75" customHeight="1">
      <c r="A10" s="720"/>
      <c r="B10" s="1072" t="str">
        <f>L90</f>
        <v>FUNDO DE PAPEL</v>
      </c>
      <c r="C10" s="1069">
        <f>SUM(G10:G15)</f>
        <v>390</v>
      </c>
      <c r="D10" s="1046">
        <f>C10/C24</f>
        <v>0.68661971830985913</v>
      </c>
      <c r="E10" s="1049"/>
      <c r="F10" s="1046"/>
      <c r="G10" s="672">
        <f>M105</f>
        <v>30</v>
      </c>
      <c r="H10" s="673" t="str">
        <f>L91</f>
        <v>RZAK11</v>
      </c>
      <c r="I10" s="694"/>
      <c r="J10" s="694"/>
      <c r="K10" s="695"/>
      <c r="L10" s="686" t="e">
        <f t="shared" si="0"/>
        <v>#DIV/0!</v>
      </c>
      <c r="M10" s="683">
        <f t="shared" ref="M10:M15" si="34">K10/$E36</f>
        <v>0</v>
      </c>
      <c r="N10" s="687" t="e">
        <f>M37</f>
        <v>#DIV/0!</v>
      </c>
      <c r="O10" s="698"/>
      <c r="P10" s="694"/>
      <c r="Q10" s="695"/>
      <c r="R10" s="686" t="e">
        <f t="shared" ref="R10:R15" si="35">Q10/P10</f>
        <v>#DIV/0!</v>
      </c>
      <c r="S10" s="683">
        <f t="shared" ref="S10:S15" si="36">Q10/$E36</f>
        <v>0</v>
      </c>
      <c r="T10" s="687" t="e">
        <f>S37</f>
        <v>#DIV/0!</v>
      </c>
      <c r="U10" s="698"/>
      <c r="V10" s="694"/>
      <c r="W10" s="695"/>
      <c r="X10" s="686" t="e">
        <f t="shared" ref="X10:X15" si="37">W10/V10</f>
        <v>#DIV/0!</v>
      </c>
      <c r="Y10" s="683">
        <f t="shared" ref="Y10:Y15" si="38">W10/$E36</f>
        <v>0</v>
      </c>
      <c r="Z10" s="687" t="e">
        <f>Y37</f>
        <v>#DIV/0!</v>
      </c>
      <c r="AA10" s="698"/>
      <c r="AB10" s="694"/>
      <c r="AC10" s="695"/>
      <c r="AD10" s="686" t="e">
        <f t="shared" ref="AD10:AD15" si="39">AC10/AB10</f>
        <v>#DIV/0!</v>
      </c>
      <c r="AE10" s="683">
        <f t="shared" ref="AE10:AE15" si="40">AC10/$E36</f>
        <v>0</v>
      </c>
      <c r="AF10" s="687" t="e">
        <f>AE37</f>
        <v>#DIV/0!</v>
      </c>
      <c r="AG10" s="698"/>
      <c r="AH10" s="694"/>
      <c r="AI10" s="695"/>
      <c r="AJ10" s="686" t="e">
        <f t="shared" ref="AJ10:AJ15" si="41">AI10/AH10</f>
        <v>#DIV/0!</v>
      </c>
      <c r="AK10" s="683">
        <f t="shared" ref="AK10:AK15" si="42">AI10/$E36</f>
        <v>0</v>
      </c>
      <c r="AL10" s="687" t="e">
        <f>AK37</f>
        <v>#DIV/0!</v>
      </c>
      <c r="AM10" s="698"/>
      <c r="AN10" s="694"/>
      <c r="AO10" s="695"/>
      <c r="AP10" s="686" t="e">
        <f t="shared" ref="AP10:AP15" si="43">AO10/AN10</f>
        <v>#DIV/0!</v>
      </c>
      <c r="AQ10" s="683">
        <f t="shared" ref="AQ10:AQ15" si="44">AO10/$E36</f>
        <v>0</v>
      </c>
      <c r="AR10" s="687" t="e">
        <f>AQ37</f>
        <v>#DIV/0!</v>
      </c>
      <c r="AS10" s="698"/>
      <c r="AT10" s="694"/>
      <c r="AU10" s="695"/>
      <c r="AV10" s="686" t="e">
        <f t="shared" ref="AV10:AV15" si="45">AU10/AT10</f>
        <v>#DIV/0!</v>
      </c>
      <c r="AW10" s="683">
        <f t="shared" ref="AW10:AW15" si="46">AU10/$E36</f>
        <v>0</v>
      </c>
      <c r="AX10" s="687" t="e">
        <f>AW37</f>
        <v>#DIV/0!</v>
      </c>
      <c r="AY10" s="694">
        <v>28</v>
      </c>
      <c r="AZ10" s="694">
        <v>28</v>
      </c>
      <c r="BA10" s="695">
        <v>32.479999999999997</v>
      </c>
      <c r="BB10" s="686">
        <f t="shared" ref="BB10:BB15" si="47">BA10/AZ10</f>
        <v>1.1599999999999999</v>
      </c>
      <c r="BC10" s="683">
        <v>1.23E-2</v>
      </c>
      <c r="BD10" s="793">
        <f>BC37</f>
        <v>1.2422360248447204E-2</v>
      </c>
      <c r="BE10" s="698">
        <v>22</v>
      </c>
      <c r="BF10" s="694">
        <v>28</v>
      </c>
      <c r="BG10" s="695">
        <v>32.479999999999997</v>
      </c>
      <c r="BH10" s="686">
        <f t="shared" ref="BH10:BH14" si="48">BG10/BF10</f>
        <v>1.1599999999999999</v>
      </c>
      <c r="BI10" s="794">
        <v>1.23E-2</v>
      </c>
      <c r="BJ10" s="687">
        <f>BI37</f>
        <v>1.2210526315789472E-2</v>
      </c>
      <c r="BK10" s="694"/>
      <c r="BL10" s="694"/>
      <c r="BM10" s="695"/>
      <c r="BN10" s="686" t="e">
        <f t="shared" ref="BN10:BN15" si="49">BM10/BL10</f>
        <v>#DIV/0!</v>
      </c>
      <c r="BO10" s="683">
        <f t="shared" ref="BO10:BO15" si="50">BM10/$E36</f>
        <v>0</v>
      </c>
      <c r="BP10" s="687" t="e">
        <f>BO37</f>
        <v>#DIV/0!</v>
      </c>
      <c r="BQ10" s="698"/>
      <c r="BR10" s="694"/>
      <c r="BS10" s="695"/>
      <c r="BT10" s="686" t="e">
        <f t="shared" ref="BT10:BT15" si="51">BS10/BR10</f>
        <v>#DIV/0!</v>
      </c>
      <c r="BU10" s="683">
        <f t="shared" ref="BU10:BU15" si="52">BS10/$E36</f>
        <v>0</v>
      </c>
      <c r="BV10" s="687" t="e">
        <f>BU37</f>
        <v>#DIV/0!</v>
      </c>
      <c r="BW10" s="698"/>
      <c r="BX10" s="694"/>
      <c r="BY10" s="695"/>
      <c r="BZ10" s="686" t="e">
        <f t="shared" ref="BZ10:BZ15" si="53">BY10/BX10</f>
        <v>#DIV/0!</v>
      </c>
      <c r="CA10" s="683">
        <f t="shared" ref="CA10:CA15" si="54">BY10/$E36</f>
        <v>0</v>
      </c>
      <c r="CB10" s="687" t="e">
        <f>CA37</f>
        <v>#DIV/0!</v>
      </c>
      <c r="CC10" s="720"/>
      <c r="CD10" s="720"/>
      <c r="CE10" s="720"/>
      <c r="CF10" s="720"/>
      <c r="CG10" s="720"/>
      <c r="CH10" s="720"/>
      <c r="CI10" s="720"/>
      <c r="CJ10" s="720"/>
      <c r="CK10" s="720"/>
      <c r="CL10" s="720"/>
      <c r="CM10" s="720"/>
      <c r="CN10" s="720"/>
      <c r="CO10" s="720"/>
      <c r="CP10" s="720"/>
      <c r="CQ10" s="720"/>
      <c r="CR10" s="720"/>
      <c r="CS10" s="720"/>
      <c r="CT10" s="720"/>
      <c r="CU10" s="720"/>
      <c r="CV10" s="720"/>
      <c r="CW10" s="720"/>
      <c r="CX10" s="720"/>
      <c r="CY10" s="720"/>
      <c r="CZ10" s="720"/>
      <c r="DA10" s="720"/>
      <c r="DB10" s="720"/>
      <c r="DC10" s="720"/>
      <c r="DD10" s="720"/>
      <c r="DE10" s="720"/>
      <c r="DF10" s="720"/>
      <c r="DG10" s="720"/>
      <c r="DH10" s="720"/>
      <c r="DI10" s="720"/>
      <c r="DJ10" s="720"/>
      <c r="DK10" s="720"/>
      <c r="DL10" s="720"/>
      <c r="DM10" s="720"/>
      <c r="DN10" s="720"/>
      <c r="DO10" s="720"/>
      <c r="DP10" s="720"/>
      <c r="DQ10" s="720"/>
      <c r="DR10" s="720"/>
    </row>
    <row r="11" spans="1:122" s="642" customFormat="1" ht="15.75">
      <c r="A11" s="720"/>
      <c r="B11" s="1073"/>
      <c r="C11" s="1070"/>
      <c r="D11" s="1047"/>
      <c r="E11" s="1050"/>
      <c r="F11" s="1047"/>
      <c r="G11" s="811">
        <f>R105</f>
        <v>24</v>
      </c>
      <c r="H11" s="675" t="str">
        <f>Q91</f>
        <v>VGHF11</v>
      </c>
      <c r="I11" s="692"/>
      <c r="J11" s="692"/>
      <c r="K11" s="693"/>
      <c r="L11" s="682" t="e">
        <f t="shared" si="0"/>
        <v>#DIV/0!</v>
      </c>
      <c r="M11" s="683">
        <f t="shared" si="34"/>
        <v>0</v>
      </c>
      <c r="N11" s="684" t="e">
        <f>M38</f>
        <v>#DIV/0!</v>
      </c>
      <c r="O11" s="691"/>
      <c r="P11" s="692"/>
      <c r="Q11" s="693"/>
      <c r="R11" s="682" t="e">
        <f t="shared" si="35"/>
        <v>#DIV/0!</v>
      </c>
      <c r="S11" s="683">
        <f t="shared" si="36"/>
        <v>0</v>
      </c>
      <c r="T11" s="684" t="e">
        <f>S38</f>
        <v>#DIV/0!</v>
      </c>
      <c r="U11" s="691"/>
      <c r="V11" s="692"/>
      <c r="W11" s="693"/>
      <c r="X11" s="682" t="e">
        <f t="shared" si="37"/>
        <v>#DIV/0!</v>
      </c>
      <c r="Y11" s="683">
        <f t="shared" si="38"/>
        <v>0</v>
      </c>
      <c r="Z11" s="684" t="e">
        <f>Y38</f>
        <v>#DIV/0!</v>
      </c>
      <c r="AA11" s="691"/>
      <c r="AB11" s="692"/>
      <c r="AC11" s="693"/>
      <c r="AD11" s="682" t="e">
        <f t="shared" si="39"/>
        <v>#DIV/0!</v>
      </c>
      <c r="AE11" s="683">
        <f t="shared" si="40"/>
        <v>0</v>
      </c>
      <c r="AF11" s="684" t="e">
        <f>AE38</f>
        <v>#DIV/0!</v>
      </c>
      <c r="AG11" s="691"/>
      <c r="AH11" s="692"/>
      <c r="AI11" s="693"/>
      <c r="AJ11" s="682" t="e">
        <f t="shared" si="41"/>
        <v>#DIV/0!</v>
      </c>
      <c r="AK11" s="683">
        <f t="shared" si="42"/>
        <v>0</v>
      </c>
      <c r="AL11" s="684" t="e">
        <f>AK38</f>
        <v>#DIV/0!</v>
      </c>
      <c r="AM11" s="691"/>
      <c r="AN11" s="692"/>
      <c r="AO11" s="693"/>
      <c r="AP11" s="682" t="e">
        <f t="shared" si="43"/>
        <v>#DIV/0!</v>
      </c>
      <c r="AQ11" s="683">
        <f t="shared" si="44"/>
        <v>0</v>
      </c>
      <c r="AR11" s="684" t="e">
        <f>AQ38</f>
        <v>#DIV/0!</v>
      </c>
      <c r="AS11" s="691"/>
      <c r="AT11" s="692"/>
      <c r="AU11" s="693"/>
      <c r="AV11" s="682" t="e">
        <f t="shared" si="45"/>
        <v>#DIV/0!</v>
      </c>
      <c r="AW11" s="683">
        <f t="shared" si="46"/>
        <v>0</v>
      </c>
      <c r="AX11" s="684" t="e">
        <f>AW38</f>
        <v>#DIV/0!</v>
      </c>
      <c r="AY11" s="692">
        <v>7</v>
      </c>
      <c r="AZ11" s="692">
        <v>18</v>
      </c>
      <c r="BA11" s="693">
        <v>2.16</v>
      </c>
      <c r="BB11" s="682">
        <f t="shared" si="47"/>
        <v>0.12000000000000001</v>
      </c>
      <c r="BC11" s="683">
        <v>1.2800000000000001E-2</v>
      </c>
      <c r="BD11" s="790">
        <f>BC38</f>
        <v>1.2396694214876033E-2</v>
      </c>
      <c r="BE11" s="691">
        <v>8</v>
      </c>
      <c r="BF11" s="692">
        <v>24</v>
      </c>
      <c r="BG11" s="693">
        <f>2.16+0.29</f>
        <v>2.4500000000000002</v>
      </c>
      <c r="BH11" s="682">
        <f t="shared" si="48"/>
        <v>0.10208333333333335</v>
      </c>
      <c r="BI11" s="683">
        <v>1.0800000000000001E-2</v>
      </c>
      <c r="BJ11" s="684">
        <f>BI38</f>
        <v>1.2461059190031151E-2</v>
      </c>
      <c r="BK11" s="692">
        <v>6</v>
      </c>
      <c r="BL11" s="692">
        <v>24</v>
      </c>
      <c r="BM11" s="693">
        <f>BL11*BN38</f>
        <v>2.4000000000000004</v>
      </c>
      <c r="BN11" s="682">
        <f t="shared" si="49"/>
        <v>0.10000000000000002</v>
      </c>
      <c r="BO11" s="683">
        <f t="shared" si="50"/>
        <v>1.0627933752546278E-2</v>
      </c>
      <c r="BP11" s="684">
        <f>BO38</f>
        <v>1.0266940451745379E-2</v>
      </c>
      <c r="BQ11" s="691"/>
      <c r="BR11" s="692"/>
      <c r="BS11" s="693"/>
      <c r="BT11" s="682" t="e">
        <f t="shared" si="51"/>
        <v>#DIV/0!</v>
      </c>
      <c r="BU11" s="683">
        <f t="shared" si="52"/>
        <v>0</v>
      </c>
      <c r="BV11" s="684" t="e">
        <f>BU38</f>
        <v>#DIV/0!</v>
      </c>
      <c r="BW11" s="691"/>
      <c r="BX11" s="692"/>
      <c r="BY11" s="693"/>
      <c r="BZ11" s="682" t="e">
        <f t="shared" si="53"/>
        <v>#DIV/0!</v>
      </c>
      <c r="CA11" s="683">
        <f t="shared" si="54"/>
        <v>0</v>
      </c>
      <c r="CB11" s="684" t="e">
        <f>CA38</f>
        <v>#DIV/0!</v>
      </c>
      <c r="CC11" s="720"/>
      <c r="CD11" s="720"/>
      <c r="CE11" s="720"/>
      <c r="CF11" s="720"/>
      <c r="CG11" s="720"/>
      <c r="CH11" s="720"/>
      <c r="CI11" s="720"/>
      <c r="CJ11" s="720"/>
      <c r="CK11" s="720"/>
      <c r="CL11" s="720"/>
      <c r="CM11" s="720"/>
      <c r="CN11" s="720"/>
      <c r="CO11" s="720"/>
      <c r="CP11" s="720"/>
      <c r="CQ11" s="720"/>
      <c r="CR11" s="720"/>
      <c r="CS11" s="720"/>
      <c r="CT11" s="720"/>
      <c r="CU11" s="720"/>
      <c r="CV11" s="720"/>
      <c r="CW11" s="720"/>
      <c r="CX11" s="720"/>
      <c r="CY11" s="720"/>
      <c r="CZ11" s="720"/>
      <c r="DA11" s="720"/>
      <c r="DB11" s="720"/>
      <c r="DC11" s="720"/>
      <c r="DD11" s="720"/>
      <c r="DE11" s="720"/>
      <c r="DF11" s="720"/>
      <c r="DG11" s="720"/>
      <c r="DH11" s="720"/>
      <c r="DI11" s="720"/>
      <c r="DJ11" s="720"/>
      <c r="DK11" s="720"/>
      <c r="DL11" s="720"/>
      <c r="DM11" s="720"/>
      <c r="DN11" s="720"/>
      <c r="DO11" s="720"/>
      <c r="DP11" s="720"/>
      <c r="DQ11" s="720"/>
      <c r="DR11" s="720"/>
    </row>
    <row r="12" spans="1:122" s="642" customFormat="1" ht="15.75">
      <c r="A12" s="720"/>
      <c r="B12" s="1073"/>
      <c r="C12" s="1070"/>
      <c r="D12" s="1047"/>
      <c r="E12" s="1050"/>
      <c r="F12" s="1047"/>
      <c r="G12" s="811">
        <f>W105</f>
        <v>20</v>
      </c>
      <c r="H12" s="675" t="str">
        <f>V91</f>
        <v>URPR11</v>
      </c>
      <c r="I12" s="692"/>
      <c r="J12" s="692"/>
      <c r="K12" s="693"/>
      <c r="L12" s="682" t="e">
        <f t="shared" si="0"/>
        <v>#DIV/0!</v>
      </c>
      <c r="M12" s="683">
        <f t="shared" si="34"/>
        <v>0</v>
      </c>
      <c r="N12" s="684" t="e">
        <f t="shared" ref="N12:N15" si="55">M39</f>
        <v>#DIV/0!</v>
      </c>
      <c r="O12" s="691"/>
      <c r="P12" s="692"/>
      <c r="Q12" s="693"/>
      <c r="R12" s="682" t="e">
        <f t="shared" si="35"/>
        <v>#DIV/0!</v>
      </c>
      <c r="S12" s="683">
        <f t="shared" si="36"/>
        <v>0</v>
      </c>
      <c r="T12" s="684" t="e">
        <f t="shared" ref="T12:T15" si="56">S39</f>
        <v>#DIV/0!</v>
      </c>
      <c r="U12" s="691"/>
      <c r="V12" s="692"/>
      <c r="W12" s="693"/>
      <c r="X12" s="682" t="e">
        <f t="shared" si="37"/>
        <v>#DIV/0!</v>
      </c>
      <c r="Y12" s="683">
        <f t="shared" si="38"/>
        <v>0</v>
      </c>
      <c r="Z12" s="684" t="e">
        <f t="shared" ref="Z12:Z15" si="57">Y39</f>
        <v>#DIV/0!</v>
      </c>
      <c r="AA12" s="691"/>
      <c r="AB12" s="692"/>
      <c r="AC12" s="693"/>
      <c r="AD12" s="682" t="e">
        <f t="shared" si="39"/>
        <v>#DIV/0!</v>
      </c>
      <c r="AE12" s="683">
        <f t="shared" si="40"/>
        <v>0</v>
      </c>
      <c r="AF12" s="684" t="e">
        <f t="shared" ref="AF12:AF15" si="58">AE39</f>
        <v>#DIV/0!</v>
      </c>
      <c r="AG12" s="691"/>
      <c r="AH12" s="692"/>
      <c r="AI12" s="693"/>
      <c r="AJ12" s="682" t="e">
        <f t="shared" si="41"/>
        <v>#DIV/0!</v>
      </c>
      <c r="AK12" s="683">
        <f t="shared" si="42"/>
        <v>0</v>
      </c>
      <c r="AL12" s="684" t="e">
        <f t="shared" ref="AL12:AL15" si="59">AK39</f>
        <v>#DIV/0!</v>
      </c>
      <c r="AM12" s="691"/>
      <c r="AN12" s="692"/>
      <c r="AO12" s="693"/>
      <c r="AP12" s="682" t="e">
        <f t="shared" si="43"/>
        <v>#DIV/0!</v>
      </c>
      <c r="AQ12" s="683">
        <f t="shared" si="44"/>
        <v>0</v>
      </c>
      <c r="AR12" s="684" t="e">
        <f t="shared" ref="AR12:AR15" si="60">AQ39</f>
        <v>#DIV/0!</v>
      </c>
      <c r="AS12" s="691"/>
      <c r="AT12" s="692"/>
      <c r="AU12" s="693"/>
      <c r="AV12" s="682" t="e">
        <f t="shared" si="45"/>
        <v>#DIV/0!</v>
      </c>
      <c r="AW12" s="683">
        <f t="shared" si="46"/>
        <v>0</v>
      </c>
      <c r="AX12" s="684" t="e">
        <f t="shared" ref="AX12:AX15" si="61">AW39</f>
        <v>#DIV/0!</v>
      </c>
      <c r="AY12" s="692">
        <v>14</v>
      </c>
      <c r="AZ12" s="692">
        <v>20</v>
      </c>
      <c r="BA12" s="693">
        <v>22.6</v>
      </c>
      <c r="BB12" s="682">
        <f t="shared" si="47"/>
        <v>1.1300000000000001</v>
      </c>
      <c r="BC12" s="683">
        <v>1.1900000000000001E-2</v>
      </c>
      <c r="BD12" s="790">
        <f t="shared" ref="BD12:BD14" si="62">BC39</f>
        <v>1.1218107812965351E-2</v>
      </c>
      <c r="BE12" s="691">
        <v>15</v>
      </c>
      <c r="BF12" s="692">
        <v>20</v>
      </c>
      <c r="BG12" s="693">
        <v>23.2</v>
      </c>
      <c r="BH12" s="682">
        <f t="shared" si="48"/>
        <v>1.1599999999999999</v>
      </c>
      <c r="BI12" s="683">
        <v>1.2200000000000001E-2</v>
      </c>
      <c r="BJ12" s="684">
        <f t="shared" ref="BJ12:BJ14" si="63">BI39</f>
        <v>1.1879160266257039E-2</v>
      </c>
      <c r="BK12" s="692">
        <v>16</v>
      </c>
      <c r="BL12" s="692">
        <v>20</v>
      </c>
      <c r="BM12" s="693">
        <f t="shared" ref="BM12:BM13" si="64">BL12*BN39</f>
        <v>23.4</v>
      </c>
      <c r="BN12" s="682">
        <f t="shared" si="49"/>
        <v>1.17</v>
      </c>
      <c r="BO12" s="683">
        <f t="shared" si="50"/>
        <v>1.2336957094804769E-2</v>
      </c>
      <c r="BP12" s="684">
        <f t="shared" ref="BP12:BP14" si="65">BO39</f>
        <v>1.2513368983957218E-2</v>
      </c>
      <c r="BQ12" s="691"/>
      <c r="BR12" s="692"/>
      <c r="BS12" s="693"/>
      <c r="BT12" s="682" t="e">
        <f t="shared" si="51"/>
        <v>#DIV/0!</v>
      </c>
      <c r="BU12" s="683">
        <f t="shared" si="52"/>
        <v>0</v>
      </c>
      <c r="BV12" s="684" t="e">
        <f t="shared" ref="BV12:BV14" si="66">BU39</f>
        <v>#DIV/0!</v>
      </c>
      <c r="BW12" s="691"/>
      <c r="BX12" s="692"/>
      <c r="BY12" s="693"/>
      <c r="BZ12" s="682" t="e">
        <f t="shared" si="53"/>
        <v>#DIV/0!</v>
      </c>
      <c r="CA12" s="683">
        <f t="shared" si="54"/>
        <v>0</v>
      </c>
      <c r="CB12" s="684" t="e">
        <f t="shared" ref="CB12:CB14" si="67">CA39</f>
        <v>#DIV/0!</v>
      </c>
      <c r="CC12" s="720"/>
      <c r="CD12" s="720"/>
      <c r="CE12" s="720"/>
      <c r="CF12" s="720"/>
      <c r="CG12" s="720"/>
      <c r="CH12" s="720"/>
      <c r="CI12" s="720"/>
      <c r="CJ12" s="720"/>
      <c r="CK12" s="720"/>
      <c r="CL12" s="720"/>
      <c r="CM12" s="720"/>
      <c r="CN12" s="720"/>
      <c r="CO12" s="720"/>
      <c r="CP12" s="720"/>
      <c r="CQ12" s="720"/>
      <c r="CR12" s="720"/>
      <c r="CS12" s="720"/>
      <c r="CT12" s="720"/>
      <c r="CU12" s="720"/>
      <c r="CV12" s="720"/>
      <c r="CW12" s="720"/>
      <c r="CX12" s="720"/>
      <c r="CY12" s="720"/>
      <c r="CZ12" s="720"/>
      <c r="DA12" s="720"/>
      <c r="DB12" s="720"/>
      <c r="DC12" s="720"/>
      <c r="DD12" s="720"/>
      <c r="DE12" s="720"/>
      <c r="DF12" s="720"/>
      <c r="DG12" s="720"/>
      <c r="DH12" s="720"/>
      <c r="DI12" s="720"/>
      <c r="DJ12" s="720"/>
      <c r="DK12" s="720"/>
      <c r="DL12" s="720"/>
      <c r="DM12" s="720"/>
      <c r="DN12" s="720"/>
      <c r="DO12" s="720"/>
      <c r="DP12" s="720"/>
      <c r="DQ12" s="720"/>
      <c r="DR12" s="720"/>
    </row>
    <row r="13" spans="1:122" s="642" customFormat="1" ht="15.75">
      <c r="A13" s="720"/>
      <c r="B13" s="1073"/>
      <c r="C13" s="1070"/>
      <c r="D13" s="1047"/>
      <c r="E13" s="1050"/>
      <c r="F13" s="1047"/>
      <c r="G13" s="811">
        <f>AB105</f>
        <v>150</v>
      </c>
      <c r="H13" s="675" t="str">
        <f>AA91</f>
        <v>XPCA11</v>
      </c>
      <c r="I13" s="692"/>
      <c r="J13" s="692"/>
      <c r="K13" s="693"/>
      <c r="L13" s="682" t="e">
        <f t="shared" si="0"/>
        <v>#DIV/0!</v>
      </c>
      <c r="M13" s="683">
        <f t="shared" si="34"/>
        <v>0</v>
      </c>
      <c r="N13" s="684" t="e">
        <f t="shared" si="55"/>
        <v>#DIV/0!</v>
      </c>
      <c r="O13" s="691"/>
      <c r="P13" s="692"/>
      <c r="Q13" s="693"/>
      <c r="R13" s="682" t="e">
        <f t="shared" si="35"/>
        <v>#DIV/0!</v>
      </c>
      <c r="S13" s="683">
        <f t="shared" si="36"/>
        <v>0</v>
      </c>
      <c r="T13" s="684" t="e">
        <f t="shared" si="56"/>
        <v>#DIV/0!</v>
      </c>
      <c r="U13" s="691"/>
      <c r="V13" s="692"/>
      <c r="W13" s="693"/>
      <c r="X13" s="682" t="e">
        <f t="shared" si="37"/>
        <v>#DIV/0!</v>
      </c>
      <c r="Y13" s="683">
        <f t="shared" si="38"/>
        <v>0</v>
      </c>
      <c r="Z13" s="684" t="e">
        <f t="shared" si="57"/>
        <v>#DIV/0!</v>
      </c>
      <c r="AA13" s="691"/>
      <c r="AB13" s="692"/>
      <c r="AC13" s="693"/>
      <c r="AD13" s="682" t="e">
        <f t="shared" si="39"/>
        <v>#DIV/0!</v>
      </c>
      <c r="AE13" s="683">
        <f t="shared" si="40"/>
        <v>0</v>
      </c>
      <c r="AF13" s="684" t="e">
        <f t="shared" si="58"/>
        <v>#DIV/0!</v>
      </c>
      <c r="AG13" s="691"/>
      <c r="AH13" s="692"/>
      <c r="AI13" s="693"/>
      <c r="AJ13" s="682" t="e">
        <f t="shared" si="41"/>
        <v>#DIV/0!</v>
      </c>
      <c r="AK13" s="683">
        <f t="shared" si="42"/>
        <v>0</v>
      </c>
      <c r="AL13" s="684" t="e">
        <f t="shared" si="59"/>
        <v>#DIV/0!</v>
      </c>
      <c r="AM13" s="691"/>
      <c r="AN13" s="692"/>
      <c r="AO13" s="693"/>
      <c r="AP13" s="682" t="e">
        <f t="shared" si="43"/>
        <v>#DIV/0!</v>
      </c>
      <c r="AQ13" s="683">
        <f t="shared" si="44"/>
        <v>0</v>
      </c>
      <c r="AR13" s="684" t="e">
        <f t="shared" si="60"/>
        <v>#DIV/0!</v>
      </c>
      <c r="AS13" s="691"/>
      <c r="AT13" s="692"/>
      <c r="AU13" s="693"/>
      <c r="AV13" s="682" t="e">
        <f t="shared" si="45"/>
        <v>#DIV/0!</v>
      </c>
      <c r="AW13" s="683">
        <f t="shared" si="46"/>
        <v>0</v>
      </c>
      <c r="AX13" s="684" t="e">
        <f t="shared" si="61"/>
        <v>#DIV/0!</v>
      </c>
      <c r="AY13" s="692">
        <v>14</v>
      </c>
      <c r="AZ13" s="692">
        <v>144</v>
      </c>
      <c r="BA13" s="693">
        <v>17.28</v>
      </c>
      <c r="BB13" s="682">
        <f t="shared" si="47"/>
        <v>0.12000000000000001</v>
      </c>
      <c r="BC13" s="683">
        <v>1.24E-2</v>
      </c>
      <c r="BD13" s="790">
        <f t="shared" si="62"/>
        <v>1.1542497376705143E-2</v>
      </c>
      <c r="BE13" s="691">
        <v>15</v>
      </c>
      <c r="BF13" s="692">
        <v>145</v>
      </c>
      <c r="BG13" s="693">
        <v>20.3</v>
      </c>
      <c r="BH13" s="682">
        <f t="shared" si="48"/>
        <v>0.14000000000000001</v>
      </c>
      <c r="BI13" s="683">
        <v>1.44E-2</v>
      </c>
      <c r="BJ13" s="684">
        <f t="shared" si="63"/>
        <v>1.4522821576763486E-2</v>
      </c>
      <c r="BK13" s="692">
        <v>16</v>
      </c>
      <c r="BL13" s="692">
        <v>150</v>
      </c>
      <c r="BM13" s="693">
        <f t="shared" si="64"/>
        <v>16.5</v>
      </c>
      <c r="BN13" s="682">
        <f t="shared" si="49"/>
        <v>0.11</v>
      </c>
      <c r="BO13" s="683">
        <f t="shared" si="50"/>
        <v>1.1322386072778924E-2</v>
      </c>
      <c r="BP13" s="684">
        <f t="shared" si="65"/>
        <v>1.1156186612576065E-2</v>
      </c>
      <c r="BQ13" s="691"/>
      <c r="BR13" s="692"/>
      <c r="BS13" s="693"/>
      <c r="BT13" s="682" t="e">
        <f t="shared" si="51"/>
        <v>#DIV/0!</v>
      </c>
      <c r="BU13" s="683">
        <f t="shared" si="52"/>
        <v>0</v>
      </c>
      <c r="BV13" s="684" t="e">
        <f t="shared" si="66"/>
        <v>#DIV/0!</v>
      </c>
      <c r="BW13" s="691"/>
      <c r="BX13" s="692"/>
      <c r="BY13" s="693"/>
      <c r="BZ13" s="682" t="e">
        <f t="shared" si="53"/>
        <v>#DIV/0!</v>
      </c>
      <c r="CA13" s="683">
        <f t="shared" si="54"/>
        <v>0</v>
      </c>
      <c r="CB13" s="684" t="e">
        <f t="shared" si="67"/>
        <v>#DIV/0!</v>
      </c>
      <c r="CC13" s="720"/>
      <c r="CD13" s="720"/>
      <c r="CE13" s="720"/>
      <c r="CF13" s="720"/>
      <c r="CG13" s="720"/>
      <c r="CH13" s="720"/>
      <c r="CI13" s="720"/>
      <c r="CJ13" s="720"/>
      <c r="CK13" s="720"/>
      <c r="CL13" s="720"/>
      <c r="CM13" s="720"/>
      <c r="CN13" s="720"/>
      <c r="CO13" s="720"/>
      <c r="CP13" s="720"/>
      <c r="CQ13" s="720"/>
      <c r="CR13" s="720"/>
      <c r="CS13" s="720"/>
      <c r="CT13" s="720"/>
      <c r="CU13" s="720"/>
      <c r="CV13" s="720"/>
      <c r="CW13" s="720"/>
      <c r="CX13" s="720"/>
      <c r="CY13" s="720"/>
      <c r="CZ13" s="720"/>
      <c r="DA13" s="720"/>
      <c r="DB13" s="720"/>
      <c r="DC13" s="720"/>
      <c r="DD13" s="720"/>
      <c r="DE13" s="720"/>
      <c r="DF13" s="720"/>
      <c r="DG13" s="720"/>
      <c r="DH13" s="720"/>
      <c r="DI13" s="720"/>
      <c r="DJ13" s="720"/>
      <c r="DK13" s="720"/>
      <c r="DL13" s="720"/>
      <c r="DM13" s="720"/>
      <c r="DN13" s="720"/>
      <c r="DO13" s="720"/>
      <c r="DP13" s="720"/>
      <c r="DQ13" s="720"/>
      <c r="DR13" s="720"/>
    </row>
    <row r="14" spans="1:122" s="642" customFormat="1" ht="15.75">
      <c r="A14" s="720"/>
      <c r="B14" s="1073"/>
      <c r="C14" s="1070"/>
      <c r="D14" s="1047"/>
      <c r="E14" s="1050"/>
      <c r="F14" s="1047"/>
      <c r="G14" s="811">
        <f>AG105</f>
        <v>157</v>
      </c>
      <c r="H14" s="675" t="str">
        <f>AF91</f>
        <v>VGIA11</v>
      </c>
      <c r="I14" s="692"/>
      <c r="J14" s="692"/>
      <c r="K14" s="693"/>
      <c r="L14" s="682" t="e">
        <f t="shared" si="0"/>
        <v>#DIV/0!</v>
      </c>
      <c r="M14" s="683">
        <f t="shared" si="34"/>
        <v>0</v>
      </c>
      <c r="N14" s="684" t="e">
        <f t="shared" si="55"/>
        <v>#DIV/0!</v>
      </c>
      <c r="O14" s="691"/>
      <c r="P14" s="692"/>
      <c r="Q14" s="693"/>
      <c r="R14" s="682" t="e">
        <f t="shared" si="35"/>
        <v>#DIV/0!</v>
      </c>
      <c r="S14" s="683">
        <f t="shared" si="36"/>
        <v>0</v>
      </c>
      <c r="T14" s="684" t="e">
        <f t="shared" si="56"/>
        <v>#DIV/0!</v>
      </c>
      <c r="U14" s="691"/>
      <c r="V14" s="692"/>
      <c r="W14" s="693"/>
      <c r="X14" s="682" t="e">
        <f t="shared" si="37"/>
        <v>#DIV/0!</v>
      </c>
      <c r="Y14" s="683">
        <f t="shared" si="38"/>
        <v>0</v>
      </c>
      <c r="Z14" s="684" t="e">
        <f t="shared" si="57"/>
        <v>#DIV/0!</v>
      </c>
      <c r="AA14" s="691"/>
      <c r="AB14" s="692"/>
      <c r="AC14" s="693"/>
      <c r="AD14" s="682" t="e">
        <f t="shared" si="39"/>
        <v>#DIV/0!</v>
      </c>
      <c r="AE14" s="683">
        <f t="shared" si="40"/>
        <v>0</v>
      </c>
      <c r="AF14" s="684" t="e">
        <f t="shared" si="58"/>
        <v>#DIV/0!</v>
      </c>
      <c r="AG14" s="691"/>
      <c r="AH14" s="692"/>
      <c r="AI14" s="693"/>
      <c r="AJ14" s="682" t="e">
        <f t="shared" si="41"/>
        <v>#DIV/0!</v>
      </c>
      <c r="AK14" s="683">
        <f t="shared" si="42"/>
        <v>0</v>
      </c>
      <c r="AL14" s="684" t="e">
        <f t="shared" si="59"/>
        <v>#DIV/0!</v>
      </c>
      <c r="AM14" s="691"/>
      <c r="AN14" s="692"/>
      <c r="AO14" s="693"/>
      <c r="AP14" s="682" t="e">
        <f t="shared" si="43"/>
        <v>#DIV/0!</v>
      </c>
      <c r="AQ14" s="683">
        <f t="shared" si="44"/>
        <v>0</v>
      </c>
      <c r="AR14" s="684" t="e">
        <f t="shared" si="60"/>
        <v>#DIV/0!</v>
      </c>
      <c r="AS14" s="691"/>
      <c r="AT14" s="692"/>
      <c r="AU14" s="693"/>
      <c r="AV14" s="682" t="e">
        <f t="shared" si="45"/>
        <v>#DIV/0!</v>
      </c>
      <c r="AW14" s="683">
        <f t="shared" si="46"/>
        <v>0</v>
      </c>
      <c r="AX14" s="684" t="e">
        <f t="shared" si="61"/>
        <v>#DIV/0!</v>
      </c>
      <c r="AY14" s="692">
        <v>17</v>
      </c>
      <c r="AZ14" s="692">
        <v>90</v>
      </c>
      <c r="BA14" s="693">
        <v>11.7</v>
      </c>
      <c r="BB14" s="682">
        <f t="shared" si="47"/>
        <v>0.13</v>
      </c>
      <c r="BC14" s="683">
        <v>1.37E-2</v>
      </c>
      <c r="BD14" s="790">
        <f t="shared" si="62"/>
        <v>1.3429752066115703E-2</v>
      </c>
      <c r="BE14" s="699">
        <v>20</v>
      </c>
      <c r="BF14" s="696">
        <v>114</v>
      </c>
      <c r="BG14" s="697">
        <v>14.82</v>
      </c>
      <c r="BH14" s="689">
        <f t="shared" si="48"/>
        <v>0.13</v>
      </c>
      <c r="BI14" s="791">
        <v>1.37E-2</v>
      </c>
      <c r="BJ14" s="792">
        <f t="shared" si="63"/>
        <v>1.3612565445026177E-2</v>
      </c>
      <c r="BK14" s="692"/>
      <c r="BL14" s="692"/>
      <c r="BM14" s="693"/>
      <c r="BN14" s="682" t="e">
        <f t="shared" si="49"/>
        <v>#DIV/0!</v>
      </c>
      <c r="BO14" s="683">
        <f t="shared" si="50"/>
        <v>0</v>
      </c>
      <c r="BP14" s="684" t="e">
        <f t="shared" si="65"/>
        <v>#DIV/0!</v>
      </c>
      <c r="BQ14" s="691"/>
      <c r="BR14" s="692"/>
      <c r="BS14" s="693"/>
      <c r="BT14" s="682" t="e">
        <f t="shared" si="51"/>
        <v>#DIV/0!</v>
      </c>
      <c r="BU14" s="683">
        <f t="shared" si="52"/>
        <v>0</v>
      </c>
      <c r="BV14" s="684" t="e">
        <f t="shared" si="66"/>
        <v>#DIV/0!</v>
      </c>
      <c r="BW14" s="691"/>
      <c r="BX14" s="692"/>
      <c r="BY14" s="693"/>
      <c r="BZ14" s="682" t="e">
        <f t="shared" si="53"/>
        <v>#DIV/0!</v>
      </c>
      <c r="CA14" s="683">
        <f t="shared" si="54"/>
        <v>0</v>
      </c>
      <c r="CB14" s="684" t="e">
        <f t="shared" si="67"/>
        <v>#DIV/0!</v>
      </c>
      <c r="CC14" s="720"/>
      <c r="CD14" s="720"/>
      <c r="CE14" s="720"/>
      <c r="CF14" s="720"/>
      <c r="CG14" s="720"/>
      <c r="CH14" s="720"/>
      <c r="CI14" s="720"/>
      <c r="CJ14" s="720"/>
      <c r="CK14" s="720"/>
      <c r="CL14" s="720"/>
      <c r="CM14" s="720"/>
      <c r="CN14" s="720"/>
      <c r="CO14" s="720"/>
      <c r="CP14" s="720"/>
      <c r="CQ14" s="720"/>
      <c r="CR14" s="720"/>
      <c r="CS14" s="720"/>
      <c r="CT14" s="720"/>
      <c r="CU14" s="720"/>
      <c r="CV14" s="720"/>
      <c r="CW14" s="720"/>
      <c r="CX14" s="720"/>
      <c r="CY14" s="720"/>
      <c r="CZ14" s="720"/>
      <c r="DA14" s="720"/>
      <c r="DB14" s="720"/>
      <c r="DC14" s="720"/>
      <c r="DD14" s="720"/>
      <c r="DE14" s="720"/>
      <c r="DF14" s="720"/>
      <c r="DG14" s="720"/>
      <c r="DH14" s="720"/>
      <c r="DI14" s="720"/>
      <c r="DJ14" s="720"/>
      <c r="DK14" s="720"/>
      <c r="DL14" s="720"/>
      <c r="DM14" s="720"/>
      <c r="DN14" s="720"/>
      <c r="DO14" s="720"/>
      <c r="DP14" s="720"/>
      <c r="DQ14" s="720"/>
      <c r="DR14" s="720"/>
    </row>
    <row r="15" spans="1:122" s="642" customFormat="1" ht="15.75">
      <c r="A15" s="720"/>
      <c r="B15" s="1073"/>
      <c r="C15" s="1070"/>
      <c r="D15" s="1047"/>
      <c r="E15" s="1050"/>
      <c r="F15" s="1047"/>
      <c r="G15" s="811">
        <v>9</v>
      </c>
      <c r="H15" s="675" t="s">
        <v>248</v>
      </c>
      <c r="I15" s="696"/>
      <c r="J15" s="696"/>
      <c r="K15" s="697"/>
      <c r="L15" s="689" t="e">
        <f t="shared" si="0"/>
        <v>#DIV/0!</v>
      </c>
      <c r="M15" s="683" t="e">
        <f t="shared" si="34"/>
        <v>#DIV/0!</v>
      </c>
      <c r="N15" s="684" t="e">
        <f t="shared" si="55"/>
        <v>#DIV/0!</v>
      </c>
      <c r="O15" s="699"/>
      <c r="P15" s="696"/>
      <c r="Q15" s="697"/>
      <c r="R15" s="689" t="e">
        <f t="shared" si="35"/>
        <v>#DIV/0!</v>
      </c>
      <c r="S15" s="683" t="e">
        <f t="shared" si="36"/>
        <v>#DIV/0!</v>
      </c>
      <c r="T15" s="684" t="e">
        <f t="shared" si="56"/>
        <v>#DIV/0!</v>
      </c>
      <c r="U15" s="699"/>
      <c r="V15" s="696"/>
      <c r="W15" s="697"/>
      <c r="X15" s="689" t="e">
        <f t="shared" si="37"/>
        <v>#DIV/0!</v>
      </c>
      <c r="Y15" s="683" t="e">
        <f t="shared" si="38"/>
        <v>#DIV/0!</v>
      </c>
      <c r="Z15" s="684" t="e">
        <f t="shared" si="57"/>
        <v>#DIV/0!</v>
      </c>
      <c r="AA15" s="699"/>
      <c r="AB15" s="696"/>
      <c r="AC15" s="697"/>
      <c r="AD15" s="689" t="e">
        <f t="shared" si="39"/>
        <v>#DIV/0!</v>
      </c>
      <c r="AE15" s="683" t="e">
        <f t="shared" si="40"/>
        <v>#DIV/0!</v>
      </c>
      <c r="AF15" s="684" t="e">
        <f t="shared" si="58"/>
        <v>#DIV/0!</v>
      </c>
      <c r="AG15" s="699"/>
      <c r="AH15" s="696"/>
      <c r="AI15" s="697"/>
      <c r="AJ15" s="689" t="e">
        <f t="shared" si="41"/>
        <v>#DIV/0!</v>
      </c>
      <c r="AK15" s="683" t="e">
        <f t="shared" si="42"/>
        <v>#DIV/0!</v>
      </c>
      <c r="AL15" s="684" t="e">
        <f t="shared" si="59"/>
        <v>#DIV/0!</v>
      </c>
      <c r="AM15" s="699"/>
      <c r="AN15" s="696"/>
      <c r="AO15" s="697"/>
      <c r="AP15" s="689" t="e">
        <f t="shared" si="43"/>
        <v>#DIV/0!</v>
      </c>
      <c r="AQ15" s="683" t="e">
        <f t="shared" si="44"/>
        <v>#DIV/0!</v>
      </c>
      <c r="AR15" s="684" t="e">
        <f t="shared" si="60"/>
        <v>#DIV/0!</v>
      </c>
      <c r="AS15" s="699"/>
      <c r="AT15" s="696"/>
      <c r="AU15" s="697"/>
      <c r="AV15" s="689" t="e">
        <f t="shared" si="45"/>
        <v>#DIV/0!</v>
      </c>
      <c r="AW15" s="683" t="e">
        <f t="shared" si="46"/>
        <v>#DIV/0!</v>
      </c>
      <c r="AX15" s="684" t="e">
        <f t="shared" si="61"/>
        <v>#DIV/0!</v>
      </c>
      <c r="AY15" s="696">
        <v>22</v>
      </c>
      <c r="AZ15" s="696">
        <v>9</v>
      </c>
      <c r="BA15" s="697">
        <v>0.56000000000000005</v>
      </c>
      <c r="BB15" s="689">
        <f t="shared" si="47"/>
        <v>6.2222222222222227E-2</v>
      </c>
      <c r="BC15" s="683">
        <v>1.0800000000000001E-2</v>
      </c>
      <c r="BD15" s="790" t="s">
        <v>343</v>
      </c>
      <c r="BE15" s="799"/>
      <c r="BF15" s="795"/>
      <c r="BG15" s="796"/>
      <c r="BH15" s="797"/>
      <c r="BI15" s="798"/>
      <c r="BJ15" s="800"/>
      <c r="BK15" s="696"/>
      <c r="BL15" s="696"/>
      <c r="BM15" s="697"/>
      <c r="BN15" s="689" t="e">
        <f t="shared" si="49"/>
        <v>#DIV/0!</v>
      </c>
      <c r="BO15" s="683" t="e">
        <f t="shared" si="50"/>
        <v>#DIV/0!</v>
      </c>
      <c r="BP15" s="684" t="s">
        <v>343</v>
      </c>
      <c r="BQ15" s="699"/>
      <c r="BR15" s="696"/>
      <c r="BS15" s="697"/>
      <c r="BT15" s="689" t="e">
        <f t="shared" si="51"/>
        <v>#DIV/0!</v>
      </c>
      <c r="BU15" s="683" t="e">
        <f t="shared" si="52"/>
        <v>#DIV/0!</v>
      </c>
      <c r="BV15" s="684" t="s">
        <v>343</v>
      </c>
      <c r="BW15" s="699"/>
      <c r="BX15" s="696"/>
      <c r="BY15" s="697"/>
      <c r="BZ15" s="689" t="e">
        <f t="shared" si="53"/>
        <v>#DIV/0!</v>
      </c>
      <c r="CA15" s="683" t="e">
        <f t="shared" si="54"/>
        <v>#DIV/0!</v>
      </c>
      <c r="CB15" s="684" t="s">
        <v>343</v>
      </c>
      <c r="CC15" s="720"/>
      <c r="CD15" s="720"/>
      <c r="CE15" s="720"/>
      <c r="CF15" s="720"/>
      <c r="CG15" s="720"/>
      <c r="CH15" s="720"/>
      <c r="CI15" s="720"/>
      <c r="CJ15" s="720"/>
      <c r="CK15" s="720"/>
      <c r="CL15" s="720"/>
      <c r="CM15" s="720"/>
      <c r="CN15" s="720"/>
      <c r="CO15" s="720"/>
      <c r="CP15" s="720"/>
      <c r="CQ15" s="720"/>
      <c r="CR15" s="720"/>
      <c r="CS15" s="720"/>
      <c r="CT15" s="720"/>
      <c r="CU15" s="720"/>
      <c r="CV15" s="720"/>
      <c r="CW15" s="720"/>
      <c r="CX15" s="720"/>
      <c r="CY15" s="720"/>
      <c r="CZ15" s="720"/>
      <c r="DA15" s="720"/>
      <c r="DB15" s="720"/>
      <c r="DC15" s="720"/>
      <c r="DD15" s="720"/>
      <c r="DE15" s="720"/>
      <c r="DF15" s="720"/>
      <c r="DG15" s="720"/>
      <c r="DH15" s="720"/>
      <c r="DI15" s="720"/>
      <c r="DJ15" s="720"/>
      <c r="DK15" s="720"/>
      <c r="DL15" s="720"/>
      <c r="DM15" s="720"/>
      <c r="DN15" s="720"/>
      <c r="DO15" s="720"/>
      <c r="DP15" s="720"/>
      <c r="DQ15" s="720"/>
      <c r="DR15" s="720"/>
    </row>
    <row r="16" spans="1:122" s="642" customFormat="1" ht="16.5" thickBot="1">
      <c r="A16" s="720"/>
      <c r="B16" s="1074"/>
      <c r="C16" s="1071"/>
      <c r="D16" s="1048"/>
      <c r="E16" s="1051"/>
      <c r="F16" s="1048"/>
      <c r="G16" s="1041" t="s">
        <v>620</v>
      </c>
      <c r="H16" s="1042"/>
      <c r="I16" s="1045">
        <f>SUM(J10:J14)</f>
        <v>0</v>
      </c>
      <c r="J16" s="1040"/>
      <c r="K16" s="688">
        <f>SUM(K10:K15)</f>
        <v>0</v>
      </c>
      <c r="L16" s="688" t="e">
        <f>SUM(L10:L15)</f>
        <v>#DIV/0!</v>
      </c>
      <c r="M16" s="1033"/>
      <c r="N16" s="1034"/>
      <c r="O16" s="1039">
        <f>SUM(P11:P15)</f>
        <v>0</v>
      </c>
      <c r="P16" s="1040"/>
      <c r="Q16" s="688">
        <f>SUM(Q10:Q15)</f>
        <v>0</v>
      </c>
      <c r="R16" s="688" t="e">
        <f>SUM(R10:R15)</f>
        <v>#DIV/0!</v>
      </c>
      <c r="S16" s="1033"/>
      <c r="T16" s="1034"/>
      <c r="U16" s="1039">
        <f>SUM(V11:V15)</f>
        <v>0</v>
      </c>
      <c r="V16" s="1040"/>
      <c r="W16" s="688">
        <f>SUM(W10:W15)</f>
        <v>0</v>
      </c>
      <c r="X16" s="688" t="e">
        <f>SUM(X10:X15)</f>
        <v>#DIV/0!</v>
      </c>
      <c r="Y16" s="1033"/>
      <c r="Z16" s="1034"/>
      <c r="AA16" s="1039">
        <f>SUM(AB11:AB15)</f>
        <v>0</v>
      </c>
      <c r="AB16" s="1040"/>
      <c r="AC16" s="688">
        <f>SUM(AC10:AC15)</f>
        <v>0</v>
      </c>
      <c r="AD16" s="688" t="e">
        <f>SUM(AD10:AD15)</f>
        <v>#DIV/0!</v>
      </c>
      <c r="AE16" s="1033"/>
      <c r="AF16" s="1034"/>
      <c r="AG16" s="1039">
        <f>SUM(AH11:AH15)</f>
        <v>0</v>
      </c>
      <c r="AH16" s="1040"/>
      <c r="AI16" s="688">
        <f>SUM(AI10:AI15)</f>
        <v>0</v>
      </c>
      <c r="AJ16" s="688" t="e">
        <f>SUM(AJ10:AJ15)</f>
        <v>#DIV/0!</v>
      </c>
      <c r="AK16" s="1033"/>
      <c r="AL16" s="1034"/>
      <c r="AM16" s="1039">
        <f>SUM(AN11:AN15)</f>
        <v>0</v>
      </c>
      <c r="AN16" s="1040"/>
      <c r="AO16" s="688">
        <f>SUM(AO10:AO15)</f>
        <v>0</v>
      </c>
      <c r="AP16" s="688" t="e">
        <f>SUM(AP10:AP15)</f>
        <v>#DIV/0!</v>
      </c>
      <c r="AQ16" s="1033"/>
      <c r="AR16" s="1034"/>
      <c r="AS16" s="1039">
        <f>SUM(AT11:AT15)</f>
        <v>0</v>
      </c>
      <c r="AT16" s="1040"/>
      <c r="AU16" s="688">
        <f>SUM(AU10:AU15)</f>
        <v>0</v>
      </c>
      <c r="AV16" s="688" t="e">
        <f>SUM(AV10:AV15)</f>
        <v>#DIV/0!</v>
      </c>
      <c r="AW16" s="1033"/>
      <c r="AX16" s="1034"/>
      <c r="AY16" s="1039">
        <f>SUM(AZ11:AZ15)</f>
        <v>281</v>
      </c>
      <c r="AZ16" s="1040"/>
      <c r="BA16" s="688">
        <f>SUM(BA10:BA15)</f>
        <v>86.780000000000015</v>
      </c>
      <c r="BB16" s="688">
        <f>SUM(BB10:BB15)</f>
        <v>2.7222222222222223</v>
      </c>
      <c r="BC16" s="1033"/>
      <c r="BD16" s="1140"/>
      <c r="BE16" s="1088">
        <f>SUM(BF11:BF15)</f>
        <v>303</v>
      </c>
      <c r="BF16" s="1089"/>
      <c r="BG16" s="685">
        <f>SUM(BG10:BG15)</f>
        <v>93.25</v>
      </c>
      <c r="BH16" s="685">
        <f>SUM(BH10:BH15)</f>
        <v>2.6920833333333332</v>
      </c>
      <c r="BI16" s="1141"/>
      <c r="BJ16" s="1142"/>
      <c r="BK16" s="1045">
        <f>SUM(BL11:BL15)</f>
        <v>194</v>
      </c>
      <c r="BL16" s="1040"/>
      <c r="BM16" s="688">
        <f>SUM(BM10:BM15)</f>
        <v>42.3</v>
      </c>
      <c r="BN16" s="688" t="e">
        <f>SUM(BN10:BN15)</f>
        <v>#DIV/0!</v>
      </c>
      <c r="BO16" s="1033"/>
      <c r="BP16" s="1034"/>
      <c r="BQ16" s="1039">
        <f>SUM(BR11:BR15)</f>
        <v>0</v>
      </c>
      <c r="BR16" s="1040"/>
      <c r="BS16" s="688">
        <f>SUM(BS10:BS15)</f>
        <v>0</v>
      </c>
      <c r="BT16" s="688" t="e">
        <f>SUM(BT10:BT15)</f>
        <v>#DIV/0!</v>
      </c>
      <c r="BU16" s="1033"/>
      <c r="BV16" s="1034"/>
      <c r="BW16" s="1039">
        <f>SUM(BX11:BX15)</f>
        <v>0</v>
      </c>
      <c r="BX16" s="1040"/>
      <c r="BY16" s="688">
        <f>SUM(BY10:BY15)</f>
        <v>0</v>
      </c>
      <c r="BZ16" s="688" t="e">
        <f>SUM(BZ10:BZ15)</f>
        <v>#DIV/0!</v>
      </c>
      <c r="CA16" s="1033"/>
      <c r="CB16" s="1034"/>
      <c r="CC16" s="720"/>
      <c r="CD16" s="720"/>
      <c r="CE16" s="720"/>
      <c r="CF16" s="720"/>
      <c r="CG16" s="720"/>
      <c r="CH16" s="720"/>
      <c r="CI16" s="720"/>
      <c r="CJ16" s="720"/>
      <c r="CK16" s="720"/>
      <c r="CL16" s="720"/>
      <c r="CM16" s="720"/>
      <c r="CN16" s="720"/>
      <c r="CO16" s="720"/>
      <c r="CP16" s="720"/>
      <c r="CQ16" s="720"/>
      <c r="CR16" s="720"/>
      <c r="CS16" s="720"/>
      <c r="CT16" s="720"/>
      <c r="CU16" s="720"/>
      <c r="CV16" s="720"/>
      <c r="CW16" s="720"/>
      <c r="CX16" s="720"/>
      <c r="CY16" s="720"/>
      <c r="CZ16" s="720"/>
      <c r="DA16" s="720"/>
      <c r="DB16" s="720"/>
      <c r="DC16" s="720"/>
      <c r="DD16" s="720"/>
      <c r="DE16" s="720"/>
      <c r="DF16" s="720"/>
      <c r="DG16" s="720"/>
      <c r="DH16" s="720"/>
      <c r="DI16" s="720"/>
      <c r="DJ16" s="720"/>
      <c r="DK16" s="720"/>
      <c r="DL16" s="720"/>
      <c r="DM16" s="720"/>
      <c r="DN16" s="720"/>
      <c r="DO16" s="720"/>
      <c r="DP16" s="720"/>
      <c r="DQ16" s="720"/>
      <c r="DR16" s="720"/>
    </row>
    <row r="17" spans="1:122" s="642" customFormat="1" ht="15.75">
      <c r="A17" s="720"/>
      <c r="B17" s="1120" t="str">
        <f>L52</f>
        <v>ESPERA FUTURA</v>
      </c>
      <c r="C17" s="1118">
        <f>SUM(G17:G22)</f>
        <v>25</v>
      </c>
      <c r="D17" s="1014">
        <f>C17/C24</f>
        <v>4.401408450704225E-2</v>
      </c>
      <c r="E17" s="1119"/>
      <c r="F17" s="1014"/>
      <c r="G17" s="676">
        <f>M67</f>
        <v>1</v>
      </c>
      <c r="H17" s="677" t="str">
        <f>H42</f>
        <v>CPTR11</v>
      </c>
      <c r="I17" s="698"/>
      <c r="J17" s="694"/>
      <c r="K17" s="695"/>
      <c r="L17" s="686" t="e">
        <f t="shared" ref="L17:L22" si="68">K17/J17</f>
        <v>#DIV/0!</v>
      </c>
      <c r="M17" s="683" t="e">
        <f>K17/$E41</f>
        <v>#DIV/0!</v>
      </c>
      <c r="N17" s="687" t="e">
        <f>M42</f>
        <v>#DIV/0!</v>
      </c>
      <c r="O17" s="698"/>
      <c r="P17" s="694"/>
      <c r="Q17" s="695"/>
      <c r="R17" s="686" t="e">
        <f t="shared" ref="R17:R22" si="69">Q17/P17</f>
        <v>#DIV/0!</v>
      </c>
      <c r="S17" s="683" t="e">
        <f>Q17/$E41</f>
        <v>#DIV/0!</v>
      </c>
      <c r="T17" s="687" t="e">
        <f>S42</f>
        <v>#DIV/0!</v>
      </c>
      <c r="U17" s="698"/>
      <c r="V17" s="694"/>
      <c r="W17" s="695"/>
      <c r="X17" s="686" t="e">
        <f t="shared" ref="X17:X22" si="70">W17/V17</f>
        <v>#DIV/0!</v>
      </c>
      <c r="Y17" s="683" t="e">
        <f>W17/$E41</f>
        <v>#DIV/0!</v>
      </c>
      <c r="Z17" s="687" t="e">
        <f>Y42</f>
        <v>#DIV/0!</v>
      </c>
      <c r="AA17" s="698"/>
      <c r="AB17" s="694"/>
      <c r="AC17" s="695"/>
      <c r="AD17" s="686" t="e">
        <f t="shared" ref="AD17:AD22" si="71">AC17/AB17</f>
        <v>#DIV/0!</v>
      </c>
      <c r="AE17" s="683" t="e">
        <f>AC17/$E41</f>
        <v>#DIV/0!</v>
      </c>
      <c r="AF17" s="687" t="e">
        <f>AE42</f>
        <v>#DIV/0!</v>
      </c>
      <c r="AG17" s="698"/>
      <c r="AH17" s="694"/>
      <c r="AI17" s="695"/>
      <c r="AJ17" s="686" t="e">
        <f t="shared" ref="AJ17:AJ22" si="72">AI17/AH17</f>
        <v>#DIV/0!</v>
      </c>
      <c r="AK17" s="683" t="e">
        <f>AI17/$E41</f>
        <v>#DIV/0!</v>
      </c>
      <c r="AL17" s="687" t="e">
        <f>AK42</f>
        <v>#DIV/0!</v>
      </c>
      <c r="AM17" s="698"/>
      <c r="AN17" s="694"/>
      <c r="AO17" s="695"/>
      <c r="AP17" s="686" t="e">
        <f t="shared" ref="AP17:AP22" si="73">AO17/AN17</f>
        <v>#DIV/0!</v>
      </c>
      <c r="AQ17" s="683" t="e">
        <f>AO17/$E41</f>
        <v>#DIV/0!</v>
      </c>
      <c r="AR17" s="687" t="e">
        <f>AQ42</f>
        <v>#DIV/0!</v>
      </c>
      <c r="AS17" s="698"/>
      <c r="AT17" s="694"/>
      <c r="AU17" s="695"/>
      <c r="AV17" s="686" t="e">
        <f t="shared" ref="AV17:AV22" si="74">AU17/AT17</f>
        <v>#DIV/0!</v>
      </c>
      <c r="AW17" s="683" t="e">
        <f>AU17/$E41</f>
        <v>#DIV/0!</v>
      </c>
      <c r="AX17" s="687" t="e">
        <f>AW42</f>
        <v>#DIV/0!</v>
      </c>
      <c r="AY17" s="1106"/>
      <c r="AZ17" s="1107"/>
      <c r="BA17" s="1107"/>
      <c r="BB17" s="1107"/>
      <c r="BC17" s="1108"/>
      <c r="BD17" s="687">
        <f>BC42</f>
        <v>1.2246147566078171E-2</v>
      </c>
      <c r="BE17" s="1106"/>
      <c r="BF17" s="1107"/>
      <c r="BG17" s="1107"/>
      <c r="BH17" s="1107"/>
      <c r="BI17" s="1108"/>
      <c r="BJ17" s="687">
        <f>BI42</f>
        <v>1.3860369609856264E-2</v>
      </c>
      <c r="BK17" s="698"/>
      <c r="BL17" s="694"/>
      <c r="BM17" s="695"/>
      <c r="BN17" s="686" t="e">
        <f t="shared" ref="BN17:BN22" si="75">BM17/BL17</f>
        <v>#DIV/0!</v>
      </c>
      <c r="BO17" s="683" t="e">
        <f>BM17/$E41</f>
        <v>#DIV/0!</v>
      </c>
      <c r="BP17" s="687" t="e">
        <f>BO42</f>
        <v>#DIV/0!</v>
      </c>
      <c r="BQ17" s="698"/>
      <c r="BR17" s="694"/>
      <c r="BS17" s="695"/>
      <c r="BT17" s="686" t="e">
        <f t="shared" ref="BT17:BT22" si="76">BS17/BR17</f>
        <v>#DIV/0!</v>
      </c>
      <c r="BU17" s="683" t="e">
        <f>BS17/$E41</f>
        <v>#DIV/0!</v>
      </c>
      <c r="BV17" s="687" t="e">
        <f>BU42</f>
        <v>#DIV/0!</v>
      </c>
      <c r="BW17" s="698"/>
      <c r="BX17" s="694"/>
      <c r="BY17" s="695"/>
      <c r="BZ17" s="686" t="e">
        <f t="shared" ref="BZ17:BZ22" si="77">BY17/BX17</f>
        <v>#DIV/0!</v>
      </c>
      <c r="CA17" s="683" t="e">
        <f>BY17/$E41</f>
        <v>#DIV/0!</v>
      </c>
      <c r="CB17" s="687" t="e">
        <f>CA42</f>
        <v>#DIV/0!</v>
      </c>
      <c r="CC17" s="720"/>
      <c r="CD17" s="720"/>
      <c r="CE17" s="720"/>
      <c r="CF17" s="720"/>
      <c r="CG17" s="720"/>
      <c r="CH17" s="720"/>
      <c r="CI17" s="720"/>
      <c r="CJ17" s="720"/>
      <c r="CK17" s="720"/>
      <c r="CL17" s="720"/>
      <c r="CM17" s="720"/>
      <c r="CN17" s="720"/>
      <c r="CO17" s="720"/>
      <c r="CP17" s="720"/>
      <c r="CQ17" s="720"/>
      <c r="CR17" s="720"/>
      <c r="CS17" s="720"/>
      <c r="CT17" s="720"/>
      <c r="CU17" s="720"/>
      <c r="CV17" s="720"/>
      <c r="CW17" s="720"/>
      <c r="CX17" s="720"/>
      <c r="CY17" s="720"/>
      <c r="CZ17" s="720"/>
      <c r="DA17" s="720"/>
      <c r="DB17" s="720"/>
      <c r="DC17" s="720"/>
      <c r="DD17" s="720"/>
      <c r="DE17" s="720"/>
      <c r="DF17" s="720"/>
      <c r="DG17" s="720"/>
      <c r="DH17" s="720"/>
      <c r="DI17" s="720"/>
      <c r="DJ17" s="720"/>
      <c r="DK17" s="720"/>
      <c r="DL17" s="720"/>
      <c r="DM17" s="720"/>
      <c r="DN17" s="720"/>
      <c r="DO17" s="720"/>
      <c r="DP17" s="720"/>
      <c r="DQ17" s="720"/>
      <c r="DR17" s="720"/>
    </row>
    <row r="18" spans="1:122" s="642" customFormat="1" ht="15.75">
      <c r="A18" s="720"/>
      <c r="B18" s="1121"/>
      <c r="C18" s="1078"/>
      <c r="D18" s="1015"/>
      <c r="E18" s="1081"/>
      <c r="F18" s="1015"/>
      <c r="G18" s="670">
        <f>R67</f>
        <v>1</v>
      </c>
      <c r="H18" s="678" t="str">
        <f t="shared" ref="H18:H21" si="78">H43</f>
        <v>JPPA11</v>
      </c>
      <c r="I18" s="691"/>
      <c r="J18" s="692"/>
      <c r="K18" s="693"/>
      <c r="L18" s="682" t="e">
        <f t="shared" si="68"/>
        <v>#DIV/0!</v>
      </c>
      <c r="M18" s="683" t="e">
        <f t="shared" ref="M18:M22" si="79">K18/$E42</f>
        <v>#DIV/0!</v>
      </c>
      <c r="N18" s="684" t="e">
        <f>M43</f>
        <v>#DIV/0!</v>
      </c>
      <c r="O18" s="691"/>
      <c r="P18" s="692"/>
      <c r="Q18" s="693"/>
      <c r="R18" s="682" t="e">
        <f t="shared" si="69"/>
        <v>#DIV/0!</v>
      </c>
      <c r="S18" s="683" t="e">
        <f t="shared" ref="S18:S22" si="80">Q18/$E42</f>
        <v>#DIV/0!</v>
      </c>
      <c r="T18" s="684" t="e">
        <f>S43</f>
        <v>#DIV/0!</v>
      </c>
      <c r="U18" s="691"/>
      <c r="V18" s="692"/>
      <c r="W18" s="693"/>
      <c r="X18" s="682" t="e">
        <f t="shared" si="70"/>
        <v>#DIV/0!</v>
      </c>
      <c r="Y18" s="683" t="e">
        <f t="shared" ref="Y18:Y22" si="81">W18/$E42</f>
        <v>#DIV/0!</v>
      </c>
      <c r="Z18" s="684" t="e">
        <f>Y43</f>
        <v>#DIV/0!</v>
      </c>
      <c r="AA18" s="691"/>
      <c r="AB18" s="692"/>
      <c r="AC18" s="693"/>
      <c r="AD18" s="682" t="e">
        <f t="shared" si="71"/>
        <v>#DIV/0!</v>
      </c>
      <c r="AE18" s="683" t="e">
        <f t="shared" ref="AE18:AE22" si="82">AC18/$E42</f>
        <v>#DIV/0!</v>
      </c>
      <c r="AF18" s="684" t="e">
        <f>AE43</f>
        <v>#DIV/0!</v>
      </c>
      <c r="AG18" s="691"/>
      <c r="AH18" s="692"/>
      <c r="AI18" s="693"/>
      <c r="AJ18" s="682" t="e">
        <f t="shared" si="72"/>
        <v>#DIV/0!</v>
      </c>
      <c r="AK18" s="683" t="e">
        <f t="shared" ref="AK18:AK22" si="83">AI18/$E42</f>
        <v>#DIV/0!</v>
      </c>
      <c r="AL18" s="684" t="e">
        <f>AK43</f>
        <v>#DIV/0!</v>
      </c>
      <c r="AM18" s="691"/>
      <c r="AN18" s="692"/>
      <c r="AO18" s="693"/>
      <c r="AP18" s="682" t="e">
        <f t="shared" si="73"/>
        <v>#DIV/0!</v>
      </c>
      <c r="AQ18" s="683" t="e">
        <f t="shared" ref="AQ18:AQ22" si="84">AO18/$E42</f>
        <v>#DIV/0!</v>
      </c>
      <c r="AR18" s="684" t="e">
        <f>AQ43</f>
        <v>#DIV/0!</v>
      </c>
      <c r="AS18" s="691"/>
      <c r="AT18" s="692"/>
      <c r="AU18" s="693"/>
      <c r="AV18" s="682" t="e">
        <f t="shared" si="74"/>
        <v>#DIV/0!</v>
      </c>
      <c r="AW18" s="683" t="e">
        <f t="shared" ref="AW18:AW22" si="85">AU18/$E42</f>
        <v>#DIV/0!</v>
      </c>
      <c r="AX18" s="684" t="e">
        <f>AW43</f>
        <v>#DIV/0!</v>
      </c>
      <c r="AY18" s="1100"/>
      <c r="AZ18" s="1101"/>
      <c r="BA18" s="1101"/>
      <c r="BB18" s="1101"/>
      <c r="BC18" s="1102"/>
      <c r="BD18" s="684">
        <f>BC43</f>
        <v>1.2452679816696554E-2</v>
      </c>
      <c r="BE18" s="1103"/>
      <c r="BF18" s="1104"/>
      <c r="BG18" s="1104"/>
      <c r="BH18" s="1104"/>
      <c r="BI18" s="1105"/>
      <c r="BJ18" s="684">
        <f>BI43</f>
        <v>1.1063011063011063E-2</v>
      </c>
      <c r="BK18" s="691"/>
      <c r="BL18" s="692"/>
      <c r="BM18" s="693"/>
      <c r="BN18" s="682" t="e">
        <f t="shared" si="75"/>
        <v>#DIV/0!</v>
      </c>
      <c r="BO18" s="683" t="e">
        <f t="shared" ref="BO18:BO22" si="86">BM18/$E42</f>
        <v>#DIV/0!</v>
      </c>
      <c r="BP18" s="684">
        <f>BO43</f>
        <v>1.1111111111111112E-2</v>
      </c>
      <c r="BQ18" s="691"/>
      <c r="BR18" s="692"/>
      <c r="BS18" s="693"/>
      <c r="BT18" s="682" t="e">
        <f t="shared" si="76"/>
        <v>#DIV/0!</v>
      </c>
      <c r="BU18" s="683" t="e">
        <f t="shared" ref="BU18:BU22" si="87">BS18/$E42</f>
        <v>#DIV/0!</v>
      </c>
      <c r="BV18" s="684" t="e">
        <f>BU43</f>
        <v>#DIV/0!</v>
      </c>
      <c r="BW18" s="691"/>
      <c r="BX18" s="692"/>
      <c r="BY18" s="693"/>
      <c r="BZ18" s="682" t="e">
        <f t="shared" si="77"/>
        <v>#DIV/0!</v>
      </c>
      <c r="CA18" s="683" t="e">
        <f t="shared" ref="CA18:CA22" si="88">BY18/$E42</f>
        <v>#DIV/0!</v>
      </c>
      <c r="CB18" s="684" t="e">
        <f>CA43</f>
        <v>#DIV/0!</v>
      </c>
      <c r="CC18" s="720"/>
      <c r="CD18" s="720"/>
      <c r="CE18" s="720"/>
      <c r="CF18" s="720"/>
      <c r="CG18" s="720"/>
      <c r="CH18" s="720"/>
      <c r="CI18" s="720"/>
      <c r="CJ18" s="720"/>
      <c r="CK18" s="720"/>
      <c r="CL18" s="720"/>
      <c r="CM18" s="720"/>
      <c r="CN18" s="720"/>
      <c r="CO18" s="720"/>
      <c r="CP18" s="720"/>
      <c r="CQ18" s="720"/>
      <c r="CR18" s="720"/>
      <c r="CS18" s="720"/>
      <c r="CT18" s="720"/>
      <c r="CU18" s="720"/>
      <c r="CV18" s="720"/>
      <c r="CW18" s="720"/>
      <c r="CX18" s="720"/>
      <c r="CY18" s="720"/>
      <c r="CZ18" s="720"/>
      <c r="DA18" s="720"/>
      <c r="DB18" s="720"/>
      <c r="DC18" s="720"/>
      <c r="DD18" s="720"/>
      <c r="DE18" s="720"/>
      <c r="DF18" s="720"/>
      <c r="DG18" s="720"/>
      <c r="DH18" s="720"/>
      <c r="DI18" s="720"/>
      <c r="DJ18" s="720"/>
      <c r="DK18" s="720"/>
      <c r="DL18" s="720"/>
      <c r="DM18" s="720"/>
      <c r="DN18" s="720"/>
      <c r="DO18" s="720"/>
      <c r="DP18" s="720"/>
      <c r="DQ18" s="720"/>
      <c r="DR18" s="720"/>
    </row>
    <row r="19" spans="1:122" s="642" customFormat="1" ht="15.75">
      <c r="A19" s="720"/>
      <c r="B19" s="1121"/>
      <c r="C19" s="1078"/>
      <c r="D19" s="1015"/>
      <c r="E19" s="1081"/>
      <c r="F19" s="1015"/>
      <c r="G19" s="670">
        <f>W67</f>
        <v>20</v>
      </c>
      <c r="H19" s="678" t="str">
        <f t="shared" si="78"/>
        <v>FGAA11</v>
      </c>
      <c r="I19" s="691"/>
      <c r="J19" s="692"/>
      <c r="K19" s="693"/>
      <c r="L19" s="682" t="e">
        <f t="shared" si="68"/>
        <v>#DIV/0!</v>
      </c>
      <c r="M19" s="683">
        <f t="shared" si="79"/>
        <v>0</v>
      </c>
      <c r="N19" s="684" t="e">
        <f t="shared" ref="N19:N22" si="89">M44</f>
        <v>#DIV/0!</v>
      </c>
      <c r="O19" s="691"/>
      <c r="P19" s="692"/>
      <c r="Q19" s="693"/>
      <c r="R19" s="682" t="e">
        <f t="shared" si="69"/>
        <v>#DIV/0!</v>
      </c>
      <c r="S19" s="683">
        <f t="shared" si="80"/>
        <v>0</v>
      </c>
      <c r="T19" s="684" t="e">
        <f t="shared" ref="T19:T22" si="90">S44</f>
        <v>#DIV/0!</v>
      </c>
      <c r="U19" s="691"/>
      <c r="V19" s="692"/>
      <c r="W19" s="693"/>
      <c r="X19" s="682" t="e">
        <f t="shared" si="70"/>
        <v>#DIV/0!</v>
      </c>
      <c r="Y19" s="683">
        <f t="shared" si="81"/>
        <v>0</v>
      </c>
      <c r="Z19" s="684" t="e">
        <f t="shared" ref="Z19:Z22" si="91">Y44</f>
        <v>#DIV/0!</v>
      </c>
      <c r="AA19" s="691"/>
      <c r="AB19" s="692"/>
      <c r="AC19" s="693"/>
      <c r="AD19" s="682" t="e">
        <f t="shared" si="71"/>
        <v>#DIV/0!</v>
      </c>
      <c r="AE19" s="683">
        <f t="shared" si="82"/>
        <v>0</v>
      </c>
      <c r="AF19" s="684" t="e">
        <f t="shared" ref="AF19:AF22" si="92">AE44</f>
        <v>#DIV/0!</v>
      </c>
      <c r="AG19" s="691"/>
      <c r="AH19" s="692"/>
      <c r="AI19" s="693"/>
      <c r="AJ19" s="682" t="e">
        <f t="shared" si="72"/>
        <v>#DIV/0!</v>
      </c>
      <c r="AK19" s="683">
        <f t="shared" si="83"/>
        <v>0</v>
      </c>
      <c r="AL19" s="684" t="e">
        <f t="shared" ref="AL19:AL22" si="93">AK44</f>
        <v>#DIV/0!</v>
      </c>
      <c r="AM19" s="691"/>
      <c r="AN19" s="692"/>
      <c r="AO19" s="693"/>
      <c r="AP19" s="682" t="e">
        <f t="shared" si="73"/>
        <v>#DIV/0!</v>
      </c>
      <c r="AQ19" s="683">
        <f t="shared" si="84"/>
        <v>0</v>
      </c>
      <c r="AR19" s="684" t="e">
        <f t="shared" ref="AR19:AR22" si="94">AQ44</f>
        <v>#DIV/0!</v>
      </c>
      <c r="AS19" s="691"/>
      <c r="AT19" s="692"/>
      <c r="AU19" s="693"/>
      <c r="AV19" s="682" t="e">
        <f t="shared" si="74"/>
        <v>#DIV/0!</v>
      </c>
      <c r="AW19" s="683">
        <f t="shared" si="85"/>
        <v>0</v>
      </c>
      <c r="AX19" s="684" t="e">
        <f t="shared" ref="AX19:AX22" si="95">AW44</f>
        <v>#DIV/0!</v>
      </c>
      <c r="AY19" s="1100"/>
      <c r="AZ19" s="1101"/>
      <c r="BA19" s="1101"/>
      <c r="BB19" s="1101"/>
      <c r="BC19" s="1102"/>
      <c r="BD19" s="684">
        <f t="shared" ref="BD19:BD22" si="96">BC44</f>
        <v>1.2987012987012988E-2</v>
      </c>
      <c r="BE19" s="691">
        <v>15</v>
      </c>
      <c r="BF19" s="692">
        <v>20</v>
      </c>
      <c r="BG19" s="693">
        <v>2.6</v>
      </c>
      <c r="BH19" s="682">
        <f t="shared" ref="BH19" si="97">BG19/BF19</f>
        <v>0.13</v>
      </c>
      <c r="BI19" s="683">
        <f t="shared" ref="BI19" si="98">BG19/$E43</f>
        <v>1.3013013013013013E-2</v>
      </c>
      <c r="BJ19" s="684">
        <f t="shared" ref="BJ19:BJ22" si="99">BI44</f>
        <v>1.282051282051282E-2</v>
      </c>
      <c r="BK19" s="691"/>
      <c r="BL19" s="692"/>
      <c r="BM19" s="693"/>
      <c r="BN19" s="682" t="e">
        <f t="shared" si="75"/>
        <v>#DIV/0!</v>
      </c>
      <c r="BO19" s="683">
        <f t="shared" si="86"/>
        <v>0</v>
      </c>
      <c r="BP19" s="684" t="e">
        <f t="shared" ref="BP19:BP22" si="100">BO44</f>
        <v>#DIV/0!</v>
      </c>
      <c r="BQ19" s="691"/>
      <c r="BR19" s="692"/>
      <c r="BS19" s="693"/>
      <c r="BT19" s="682" t="e">
        <f t="shared" si="76"/>
        <v>#DIV/0!</v>
      </c>
      <c r="BU19" s="683">
        <f t="shared" si="87"/>
        <v>0</v>
      </c>
      <c r="BV19" s="684" t="e">
        <f t="shared" ref="BV19:BV22" si="101">BU44</f>
        <v>#DIV/0!</v>
      </c>
      <c r="BW19" s="691"/>
      <c r="BX19" s="692"/>
      <c r="BY19" s="693"/>
      <c r="BZ19" s="682" t="e">
        <f t="shared" si="77"/>
        <v>#DIV/0!</v>
      </c>
      <c r="CA19" s="683">
        <f t="shared" si="88"/>
        <v>0</v>
      </c>
      <c r="CB19" s="684" t="e">
        <f t="shared" ref="CB19:CB22" si="102">CA44</f>
        <v>#DIV/0!</v>
      </c>
      <c r="CC19" s="720"/>
      <c r="CD19" s="720"/>
      <c r="CE19" s="720"/>
      <c r="CF19" s="720"/>
      <c r="CG19" s="720"/>
      <c r="CH19" s="720"/>
      <c r="CI19" s="720"/>
      <c r="CJ19" s="720"/>
      <c r="CK19" s="720"/>
      <c r="CL19" s="720"/>
      <c r="CM19" s="720"/>
      <c r="CN19" s="720"/>
      <c r="CO19" s="720"/>
      <c r="CP19" s="720"/>
      <c r="CQ19" s="720"/>
      <c r="CR19" s="720"/>
      <c r="CS19" s="720"/>
      <c r="CT19" s="720"/>
      <c r="CU19" s="720"/>
      <c r="CV19" s="720"/>
      <c r="CW19" s="720"/>
      <c r="CX19" s="720"/>
      <c r="CY19" s="720"/>
      <c r="CZ19" s="720"/>
      <c r="DA19" s="720"/>
      <c r="DB19" s="720"/>
      <c r="DC19" s="720"/>
      <c r="DD19" s="720"/>
      <c r="DE19" s="720"/>
      <c r="DF19" s="720"/>
      <c r="DG19" s="720"/>
      <c r="DH19" s="720"/>
      <c r="DI19" s="720"/>
      <c r="DJ19" s="720"/>
      <c r="DK19" s="720"/>
      <c r="DL19" s="720"/>
      <c r="DM19" s="720"/>
      <c r="DN19" s="720"/>
      <c r="DO19" s="720"/>
      <c r="DP19" s="720"/>
      <c r="DQ19" s="720"/>
      <c r="DR19" s="720"/>
    </row>
    <row r="20" spans="1:122" s="642" customFormat="1" ht="15.75">
      <c r="A20" s="720"/>
      <c r="B20" s="1121"/>
      <c r="C20" s="1078"/>
      <c r="D20" s="1015"/>
      <c r="E20" s="1081"/>
      <c r="F20" s="1015"/>
      <c r="G20" s="670">
        <f>AB67</f>
        <v>1</v>
      </c>
      <c r="H20" s="678" t="str">
        <f t="shared" si="78"/>
        <v>VCRI11</v>
      </c>
      <c r="I20" s="691"/>
      <c r="J20" s="692"/>
      <c r="K20" s="693"/>
      <c r="L20" s="682" t="e">
        <f t="shared" si="68"/>
        <v>#DIV/0!</v>
      </c>
      <c r="M20" s="683" t="e">
        <f t="shared" si="79"/>
        <v>#DIV/0!</v>
      </c>
      <c r="N20" s="684" t="e">
        <f t="shared" si="89"/>
        <v>#DIV/0!</v>
      </c>
      <c r="O20" s="691"/>
      <c r="P20" s="692"/>
      <c r="Q20" s="693"/>
      <c r="R20" s="682" t="e">
        <f t="shared" si="69"/>
        <v>#DIV/0!</v>
      </c>
      <c r="S20" s="683" t="e">
        <f t="shared" si="80"/>
        <v>#DIV/0!</v>
      </c>
      <c r="T20" s="684" t="e">
        <f t="shared" si="90"/>
        <v>#DIV/0!</v>
      </c>
      <c r="U20" s="691"/>
      <c r="V20" s="692"/>
      <c r="W20" s="693"/>
      <c r="X20" s="682" t="e">
        <f t="shared" si="70"/>
        <v>#DIV/0!</v>
      </c>
      <c r="Y20" s="683" t="e">
        <f t="shared" si="81"/>
        <v>#DIV/0!</v>
      </c>
      <c r="Z20" s="684" t="e">
        <f t="shared" si="91"/>
        <v>#DIV/0!</v>
      </c>
      <c r="AA20" s="691"/>
      <c r="AB20" s="692"/>
      <c r="AC20" s="693"/>
      <c r="AD20" s="682" t="e">
        <f t="shared" si="71"/>
        <v>#DIV/0!</v>
      </c>
      <c r="AE20" s="683" t="e">
        <f t="shared" si="82"/>
        <v>#DIV/0!</v>
      </c>
      <c r="AF20" s="684" t="e">
        <f t="shared" si="92"/>
        <v>#DIV/0!</v>
      </c>
      <c r="AG20" s="691"/>
      <c r="AH20" s="692"/>
      <c r="AI20" s="693"/>
      <c r="AJ20" s="682" t="e">
        <f t="shared" si="72"/>
        <v>#DIV/0!</v>
      </c>
      <c r="AK20" s="683" t="e">
        <f t="shared" si="83"/>
        <v>#DIV/0!</v>
      </c>
      <c r="AL20" s="684" t="e">
        <f t="shared" si="93"/>
        <v>#DIV/0!</v>
      </c>
      <c r="AM20" s="691"/>
      <c r="AN20" s="692"/>
      <c r="AO20" s="693"/>
      <c r="AP20" s="682" t="e">
        <f t="shared" si="73"/>
        <v>#DIV/0!</v>
      </c>
      <c r="AQ20" s="683" t="e">
        <f t="shared" si="84"/>
        <v>#DIV/0!</v>
      </c>
      <c r="AR20" s="684" t="e">
        <f t="shared" si="94"/>
        <v>#DIV/0!</v>
      </c>
      <c r="AS20" s="691"/>
      <c r="AT20" s="692"/>
      <c r="AU20" s="693"/>
      <c r="AV20" s="682" t="e">
        <f t="shared" si="74"/>
        <v>#DIV/0!</v>
      </c>
      <c r="AW20" s="683" t="e">
        <f t="shared" si="85"/>
        <v>#DIV/0!</v>
      </c>
      <c r="AX20" s="684" t="e">
        <f t="shared" si="95"/>
        <v>#DIV/0!</v>
      </c>
      <c r="AY20" s="1100"/>
      <c r="AZ20" s="1101"/>
      <c r="BA20" s="1101"/>
      <c r="BB20" s="1101"/>
      <c r="BC20" s="1102"/>
      <c r="BD20" s="684">
        <f t="shared" si="96"/>
        <v>1.1402508551881414E-2</v>
      </c>
      <c r="BE20" s="1097"/>
      <c r="BF20" s="1098"/>
      <c r="BG20" s="1098"/>
      <c r="BH20" s="1098"/>
      <c r="BI20" s="1099"/>
      <c r="BJ20" s="684">
        <f t="shared" si="99"/>
        <v>1.0416666666666666E-2</v>
      </c>
      <c r="BK20" s="691"/>
      <c r="BL20" s="692"/>
      <c r="BM20" s="693"/>
      <c r="BN20" s="682" t="e">
        <f t="shared" si="75"/>
        <v>#DIV/0!</v>
      </c>
      <c r="BO20" s="683" t="e">
        <f t="shared" si="86"/>
        <v>#DIV/0!</v>
      </c>
      <c r="BP20" s="684">
        <f t="shared" si="100"/>
        <v>9.0252707581227436E-3</v>
      </c>
      <c r="BQ20" s="691"/>
      <c r="BR20" s="692"/>
      <c r="BS20" s="693"/>
      <c r="BT20" s="682" t="e">
        <f t="shared" si="76"/>
        <v>#DIV/0!</v>
      </c>
      <c r="BU20" s="683" t="e">
        <f t="shared" si="87"/>
        <v>#DIV/0!</v>
      </c>
      <c r="BV20" s="684" t="e">
        <f t="shared" si="101"/>
        <v>#DIV/0!</v>
      </c>
      <c r="BW20" s="691"/>
      <c r="BX20" s="692"/>
      <c r="BY20" s="693"/>
      <c r="BZ20" s="682" t="e">
        <f t="shared" si="77"/>
        <v>#DIV/0!</v>
      </c>
      <c r="CA20" s="683" t="e">
        <f t="shared" si="88"/>
        <v>#DIV/0!</v>
      </c>
      <c r="CB20" s="684" t="e">
        <f t="shared" si="102"/>
        <v>#DIV/0!</v>
      </c>
      <c r="CC20" s="720"/>
      <c r="CD20" s="720"/>
      <c r="CE20" s="720"/>
      <c r="CF20" s="720"/>
      <c r="CG20" s="720"/>
      <c r="CH20" s="720"/>
      <c r="CI20" s="720"/>
      <c r="CJ20" s="720"/>
      <c r="CK20" s="720"/>
      <c r="CL20" s="720"/>
      <c r="CM20" s="720"/>
      <c r="CN20" s="720"/>
      <c r="CO20" s="720"/>
      <c r="CP20" s="720"/>
      <c r="CQ20" s="720"/>
      <c r="CR20" s="720"/>
      <c r="CS20" s="720"/>
      <c r="CT20" s="720"/>
      <c r="CU20" s="720"/>
      <c r="CV20" s="720"/>
      <c r="CW20" s="720"/>
      <c r="CX20" s="720"/>
      <c r="CY20" s="720"/>
      <c r="CZ20" s="720"/>
      <c r="DA20" s="720"/>
      <c r="DB20" s="720"/>
      <c r="DC20" s="720"/>
      <c r="DD20" s="720"/>
      <c r="DE20" s="720"/>
      <c r="DF20" s="720"/>
      <c r="DG20" s="720"/>
      <c r="DH20" s="720"/>
      <c r="DI20" s="720"/>
      <c r="DJ20" s="720"/>
      <c r="DK20" s="720"/>
      <c r="DL20" s="720"/>
      <c r="DM20" s="720"/>
      <c r="DN20" s="720"/>
      <c r="DO20" s="720"/>
      <c r="DP20" s="720"/>
      <c r="DQ20" s="720"/>
      <c r="DR20" s="720"/>
    </row>
    <row r="21" spans="1:122" s="642" customFormat="1" ht="15.75">
      <c r="A21" s="720"/>
      <c r="B21" s="1121"/>
      <c r="C21" s="1078"/>
      <c r="D21" s="1015"/>
      <c r="E21" s="1081"/>
      <c r="F21" s="1015"/>
      <c r="G21" s="670">
        <f>AG67</f>
        <v>1</v>
      </c>
      <c r="H21" s="678" t="str">
        <f t="shared" si="78"/>
        <v>BBFI11</v>
      </c>
      <c r="I21" s="691"/>
      <c r="J21" s="692"/>
      <c r="K21" s="693"/>
      <c r="L21" s="682" t="e">
        <f t="shared" si="68"/>
        <v>#DIV/0!</v>
      </c>
      <c r="M21" s="683" t="e">
        <f t="shared" si="79"/>
        <v>#DIV/0!</v>
      </c>
      <c r="N21" s="684" t="e">
        <f t="shared" si="89"/>
        <v>#DIV/0!</v>
      </c>
      <c r="O21" s="691"/>
      <c r="P21" s="692"/>
      <c r="Q21" s="693"/>
      <c r="R21" s="682" t="e">
        <f t="shared" si="69"/>
        <v>#DIV/0!</v>
      </c>
      <c r="S21" s="683" t="e">
        <f t="shared" si="80"/>
        <v>#DIV/0!</v>
      </c>
      <c r="T21" s="684" t="e">
        <f t="shared" si="90"/>
        <v>#DIV/0!</v>
      </c>
      <c r="U21" s="691"/>
      <c r="V21" s="692"/>
      <c r="W21" s="693"/>
      <c r="X21" s="682" t="e">
        <f t="shared" si="70"/>
        <v>#DIV/0!</v>
      </c>
      <c r="Y21" s="683" t="e">
        <f t="shared" si="81"/>
        <v>#DIV/0!</v>
      </c>
      <c r="Z21" s="684" t="e">
        <f t="shared" si="91"/>
        <v>#DIV/0!</v>
      </c>
      <c r="AA21" s="691"/>
      <c r="AB21" s="692"/>
      <c r="AC21" s="693"/>
      <c r="AD21" s="682" t="e">
        <f t="shared" si="71"/>
        <v>#DIV/0!</v>
      </c>
      <c r="AE21" s="683" t="e">
        <f t="shared" si="82"/>
        <v>#DIV/0!</v>
      </c>
      <c r="AF21" s="684" t="e">
        <f t="shared" si="92"/>
        <v>#DIV/0!</v>
      </c>
      <c r="AG21" s="691"/>
      <c r="AH21" s="692"/>
      <c r="AI21" s="693"/>
      <c r="AJ21" s="682" t="e">
        <f t="shared" si="72"/>
        <v>#DIV/0!</v>
      </c>
      <c r="AK21" s="683" t="e">
        <f t="shared" si="83"/>
        <v>#DIV/0!</v>
      </c>
      <c r="AL21" s="684" t="e">
        <f t="shared" si="93"/>
        <v>#DIV/0!</v>
      </c>
      <c r="AM21" s="691"/>
      <c r="AN21" s="692"/>
      <c r="AO21" s="693"/>
      <c r="AP21" s="682" t="e">
        <f t="shared" si="73"/>
        <v>#DIV/0!</v>
      </c>
      <c r="AQ21" s="683" t="e">
        <f t="shared" si="84"/>
        <v>#DIV/0!</v>
      </c>
      <c r="AR21" s="684" t="e">
        <f t="shared" si="94"/>
        <v>#DIV/0!</v>
      </c>
      <c r="AS21" s="691"/>
      <c r="AT21" s="692"/>
      <c r="AU21" s="693"/>
      <c r="AV21" s="682" t="e">
        <f t="shared" si="74"/>
        <v>#DIV/0!</v>
      </c>
      <c r="AW21" s="683" t="e">
        <f t="shared" si="85"/>
        <v>#DIV/0!</v>
      </c>
      <c r="AX21" s="684" t="e">
        <f t="shared" si="95"/>
        <v>#DIV/0!</v>
      </c>
      <c r="AY21" s="1100"/>
      <c r="AZ21" s="1101"/>
      <c r="BA21" s="1101"/>
      <c r="BB21" s="1101"/>
      <c r="BC21" s="1102"/>
      <c r="BD21" s="684">
        <f t="shared" si="96"/>
        <v>5.5421686746987952E-3</v>
      </c>
      <c r="BE21" s="1100"/>
      <c r="BF21" s="1101"/>
      <c r="BG21" s="1101"/>
      <c r="BH21" s="1101"/>
      <c r="BI21" s="1102"/>
      <c r="BJ21" s="684">
        <f t="shared" si="99"/>
        <v>7.7454909819639284E-3</v>
      </c>
      <c r="BK21" s="691"/>
      <c r="BL21" s="692"/>
      <c r="BM21" s="693"/>
      <c r="BN21" s="682" t="e">
        <f t="shared" si="75"/>
        <v>#DIV/0!</v>
      </c>
      <c r="BO21" s="683" t="e">
        <f t="shared" si="86"/>
        <v>#DIV/0!</v>
      </c>
      <c r="BP21" s="684">
        <f t="shared" si="100"/>
        <v>7.8328173374613008E-3</v>
      </c>
      <c r="BQ21" s="691"/>
      <c r="BR21" s="692"/>
      <c r="BS21" s="693"/>
      <c r="BT21" s="682" t="e">
        <f t="shared" si="76"/>
        <v>#DIV/0!</v>
      </c>
      <c r="BU21" s="683" t="e">
        <f t="shared" si="87"/>
        <v>#DIV/0!</v>
      </c>
      <c r="BV21" s="684" t="e">
        <f t="shared" si="101"/>
        <v>#DIV/0!</v>
      </c>
      <c r="BW21" s="691"/>
      <c r="BX21" s="692"/>
      <c r="BY21" s="693"/>
      <c r="BZ21" s="682" t="e">
        <f t="shared" si="77"/>
        <v>#DIV/0!</v>
      </c>
      <c r="CA21" s="683" t="e">
        <f t="shared" si="88"/>
        <v>#DIV/0!</v>
      </c>
      <c r="CB21" s="684" t="e">
        <f t="shared" si="102"/>
        <v>#DIV/0!</v>
      </c>
      <c r="CC21" s="720"/>
      <c r="CD21" s="720"/>
      <c r="CE21" s="720"/>
      <c r="CF21" s="720"/>
      <c r="CG21" s="720"/>
      <c r="CH21" s="720"/>
      <c r="CI21" s="720"/>
      <c r="CJ21" s="720"/>
      <c r="CK21" s="720"/>
      <c r="CL21" s="720"/>
      <c r="CM21" s="720"/>
      <c r="CN21" s="720"/>
      <c r="CO21" s="720"/>
      <c r="CP21" s="720"/>
      <c r="CQ21" s="720"/>
      <c r="CR21" s="720"/>
      <c r="CS21" s="720"/>
      <c r="CT21" s="720"/>
      <c r="CU21" s="720"/>
      <c r="CV21" s="720"/>
      <c r="CW21" s="720"/>
      <c r="CX21" s="720"/>
      <c r="CY21" s="720"/>
      <c r="CZ21" s="720"/>
      <c r="DA21" s="720"/>
      <c r="DB21" s="720"/>
      <c r="DC21" s="720"/>
      <c r="DD21" s="720"/>
      <c r="DE21" s="720"/>
      <c r="DF21" s="720"/>
      <c r="DG21" s="720"/>
      <c r="DH21" s="720"/>
      <c r="DI21" s="720"/>
      <c r="DJ21" s="720"/>
      <c r="DK21" s="720"/>
      <c r="DL21" s="720"/>
      <c r="DM21" s="720"/>
      <c r="DN21" s="720"/>
      <c r="DO21" s="720"/>
      <c r="DP21" s="720"/>
      <c r="DQ21" s="720"/>
      <c r="DR21" s="720"/>
    </row>
    <row r="22" spans="1:122" s="642" customFormat="1" ht="15.75">
      <c r="A22" s="720"/>
      <c r="B22" s="1121"/>
      <c r="C22" s="1078"/>
      <c r="D22" s="1015"/>
      <c r="E22" s="1081"/>
      <c r="F22" s="1015"/>
      <c r="G22" s="670">
        <f>AL67</f>
        <v>1</v>
      </c>
      <c r="H22" s="678" t="str">
        <f>H47</f>
        <v>RBOP11</v>
      </c>
      <c r="I22" s="691"/>
      <c r="J22" s="692"/>
      <c r="K22" s="693"/>
      <c r="L22" s="682" t="e">
        <f t="shared" si="68"/>
        <v>#DIV/0!</v>
      </c>
      <c r="M22" s="683" t="e">
        <f t="shared" si="79"/>
        <v>#DIV/0!</v>
      </c>
      <c r="N22" s="684" t="e">
        <f t="shared" si="89"/>
        <v>#DIV/0!</v>
      </c>
      <c r="O22" s="691"/>
      <c r="P22" s="692"/>
      <c r="Q22" s="693"/>
      <c r="R22" s="682" t="e">
        <f t="shared" si="69"/>
        <v>#DIV/0!</v>
      </c>
      <c r="S22" s="683" t="e">
        <f t="shared" si="80"/>
        <v>#DIV/0!</v>
      </c>
      <c r="T22" s="684" t="e">
        <f t="shared" si="90"/>
        <v>#DIV/0!</v>
      </c>
      <c r="U22" s="691"/>
      <c r="V22" s="692"/>
      <c r="W22" s="693"/>
      <c r="X22" s="682" t="e">
        <f t="shared" si="70"/>
        <v>#DIV/0!</v>
      </c>
      <c r="Y22" s="683" t="e">
        <f t="shared" si="81"/>
        <v>#DIV/0!</v>
      </c>
      <c r="Z22" s="684" t="e">
        <f t="shared" si="91"/>
        <v>#DIV/0!</v>
      </c>
      <c r="AA22" s="691"/>
      <c r="AB22" s="692"/>
      <c r="AC22" s="693"/>
      <c r="AD22" s="682" t="e">
        <f t="shared" si="71"/>
        <v>#DIV/0!</v>
      </c>
      <c r="AE22" s="683" t="e">
        <f t="shared" si="82"/>
        <v>#DIV/0!</v>
      </c>
      <c r="AF22" s="684" t="e">
        <f t="shared" si="92"/>
        <v>#DIV/0!</v>
      </c>
      <c r="AG22" s="691"/>
      <c r="AH22" s="692"/>
      <c r="AI22" s="693"/>
      <c r="AJ22" s="682" t="e">
        <f t="shared" si="72"/>
        <v>#DIV/0!</v>
      </c>
      <c r="AK22" s="683" t="e">
        <f t="shared" si="83"/>
        <v>#DIV/0!</v>
      </c>
      <c r="AL22" s="684" t="e">
        <f t="shared" si="93"/>
        <v>#DIV/0!</v>
      </c>
      <c r="AM22" s="691"/>
      <c r="AN22" s="692"/>
      <c r="AO22" s="693"/>
      <c r="AP22" s="682" t="e">
        <f t="shared" si="73"/>
        <v>#DIV/0!</v>
      </c>
      <c r="AQ22" s="683" t="e">
        <f t="shared" si="84"/>
        <v>#DIV/0!</v>
      </c>
      <c r="AR22" s="684" t="e">
        <f t="shared" si="94"/>
        <v>#DIV/0!</v>
      </c>
      <c r="AS22" s="691"/>
      <c r="AT22" s="692"/>
      <c r="AU22" s="693"/>
      <c r="AV22" s="682" t="e">
        <f t="shared" si="74"/>
        <v>#DIV/0!</v>
      </c>
      <c r="AW22" s="683" t="e">
        <f t="shared" si="85"/>
        <v>#DIV/0!</v>
      </c>
      <c r="AX22" s="684" t="e">
        <f t="shared" si="95"/>
        <v>#DIV/0!</v>
      </c>
      <c r="AY22" s="1103"/>
      <c r="AZ22" s="1104"/>
      <c r="BA22" s="1104"/>
      <c r="BB22" s="1104"/>
      <c r="BC22" s="1105"/>
      <c r="BD22" s="684">
        <f t="shared" si="96"/>
        <v>7.0588235294117641E-3</v>
      </c>
      <c r="BE22" s="1103"/>
      <c r="BF22" s="1104"/>
      <c r="BG22" s="1104"/>
      <c r="BH22" s="1104"/>
      <c r="BI22" s="1105"/>
      <c r="BJ22" s="684">
        <f t="shared" si="99"/>
        <v>7.6920611518861573E-3</v>
      </c>
      <c r="BK22" s="691"/>
      <c r="BL22" s="692"/>
      <c r="BM22" s="693"/>
      <c r="BN22" s="682" t="e">
        <f t="shared" si="75"/>
        <v>#DIV/0!</v>
      </c>
      <c r="BO22" s="683" t="e">
        <f t="shared" si="86"/>
        <v>#DIV/0!</v>
      </c>
      <c r="BP22" s="684" t="e">
        <f t="shared" si="100"/>
        <v>#DIV/0!</v>
      </c>
      <c r="BQ22" s="691"/>
      <c r="BR22" s="692"/>
      <c r="BS22" s="693"/>
      <c r="BT22" s="682" t="e">
        <f t="shared" si="76"/>
        <v>#DIV/0!</v>
      </c>
      <c r="BU22" s="683" t="e">
        <f t="shared" si="87"/>
        <v>#DIV/0!</v>
      </c>
      <c r="BV22" s="684" t="e">
        <f t="shared" si="101"/>
        <v>#DIV/0!</v>
      </c>
      <c r="BW22" s="691"/>
      <c r="BX22" s="692"/>
      <c r="BY22" s="693"/>
      <c r="BZ22" s="682" t="e">
        <f t="shared" si="77"/>
        <v>#DIV/0!</v>
      </c>
      <c r="CA22" s="683" t="e">
        <f t="shared" si="88"/>
        <v>#DIV/0!</v>
      </c>
      <c r="CB22" s="684" t="e">
        <f t="shared" si="102"/>
        <v>#DIV/0!</v>
      </c>
      <c r="CC22" s="720"/>
      <c r="CD22" s="720"/>
      <c r="CE22" s="720"/>
      <c r="CF22" s="720"/>
      <c r="CG22" s="720"/>
      <c r="CH22" s="720"/>
      <c r="CI22" s="720"/>
      <c r="CJ22" s="720"/>
      <c r="CK22" s="720"/>
      <c r="CL22" s="720"/>
      <c r="CM22" s="720"/>
      <c r="CN22" s="720"/>
      <c r="CO22" s="720"/>
      <c r="CP22" s="720"/>
      <c r="CQ22" s="720"/>
      <c r="CR22" s="720"/>
      <c r="CS22" s="720"/>
      <c r="CT22" s="720"/>
      <c r="CU22" s="720"/>
      <c r="CV22" s="720"/>
      <c r="CW22" s="720"/>
      <c r="CX22" s="720"/>
      <c r="CY22" s="720"/>
      <c r="CZ22" s="720"/>
      <c r="DA22" s="720"/>
      <c r="DB22" s="720"/>
      <c r="DC22" s="720"/>
      <c r="DD22" s="720"/>
      <c r="DE22" s="720"/>
      <c r="DF22" s="720"/>
      <c r="DG22" s="720"/>
      <c r="DH22" s="720"/>
      <c r="DI22" s="720"/>
      <c r="DJ22" s="720"/>
      <c r="DK22" s="720"/>
      <c r="DL22" s="720"/>
      <c r="DM22" s="720"/>
      <c r="DN22" s="720"/>
      <c r="DO22" s="720"/>
      <c r="DP22" s="720"/>
      <c r="DQ22" s="720"/>
      <c r="DR22" s="720"/>
    </row>
    <row r="23" spans="1:122" s="642" customFormat="1" ht="16.5" thickBot="1">
      <c r="A23" s="720"/>
      <c r="B23" s="1122"/>
      <c r="C23" s="1079"/>
      <c r="D23" s="1016"/>
      <c r="E23" s="1082"/>
      <c r="F23" s="1016"/>
      <c r="G23" s="1114" t="s">
        <v>620</v>
      </c>
      <c r="H23" s="1115"/>
      <c r="I23" s="1006">
        <f>SUM(J17:J22)</f>
        <v>0</v>
      </c>
      <c r="J23" s="1007"/>
      <c r="K23" s="690">
        <f>SUM(K17:K22)</f>
        <v>0</v>
      </c>
      <c r="L23" s="690" t="e">
        <f>SUM(L17:L22)</f>
        <v>#DIV/0!</v>
      </c>
      <c r="M23" s="1008"/>
      <c r="N23" s="1009"/>
      <c r="O23" s="1006">
        <f>SUM(P17:P22)</f>
        <v>0</v>
      </c>
      <c r="P23" s="1007"/>
      <c r="Q23" s="690">
        <f>SUM(Q17:Q22)</f>
        <v>0</v>
      </c>
      <c r="R23" s="690" t="e">
        <f>SUM(R17:R22)</f>
        <v>#DIV/0!</v>
      </c>
      <c r="S23" s="1008"/>
      <c r="T23" s="1009"/>
      <c r="U23" s="1006">
        <f>SUM(V17:V22)</f>
        <v>0</v>
      </c>
      <c r="V23" s="1007"/>
      <c r="W23" s="690">
        <f>SUM(W17:W22)</f>
        <v>0</v>
      </c>
      <c r="X23" s="690" t="e">
        <f>SUM(X17:X22)</f>
        <v>#DIV/0!</v>
      </c>
      <c r="Y23" s="1008"/>
      <c r="Z23" s="1009"/>
      <c r="AA23" s="1006">
        <f>SUM(AB17:AB22)</f>
        <v>0</v>
      </c>
      <c r="AB23" s="1007"/>
      <c r="AC23" s="690">
        <f>SUM(AC17:AC22)</f>
        <v>0</v>
      </c>
      <c r="AD23" s="690" t="e">
        <f>SUM(AD17:AD22)</f>
        <v>#DIV/0!</v>
      </c>
      <c r="AE23" s="1008"/>
      <c r="AF23" s="1009"/>
      <c r="AG23" s="1006">
        <f>SUM(AH17:AH22)</f>
        <v>0</v>
      </c>
      <c r="AH23" s="1007"/>
      <c r="AI23" s="690">
        <f>SUM(AI17:AI22)</f>
        <v>0</v>
      </c>
      <c r="AJ23" s="690" t="e">
        <f>SUM(AJ17:AJ22)</f>
        <v>#DIV/0!</v>
      </c>
      <c r="AK23" s="1008"/>
      <c r="AL23" s="1009"/>
      <c r="AM23" s="1006">
        <f>SUM(AN17:AN22)</f>
        <v>0</v>
      </c>
      <c r="AN23" s="1007"/>
      <c r="AO23" s="690">
        <f>SUM(AO17:AO22)</f>
        <v>0</v>
      </c>
      <c r="AP23" s="690" t="e">
        <f>SUM(AP17:AP22)</f>
        <v>#DIV/0!</v>
      </c>
      <c r="AQ23" s="1008"/>
      <c r="AR23" s="1009"/>
      <c r="AS23" s="1006">
        <f>SUM(AT17:AT22)</f>
        <v>0</v>
      </c>
      <c r="AT23" s="1007"/>
      <c r="AU23" s="690">
        <f>SUM(AU17:AU22)</f>
        <v>0</v>
      </c>
      <c r="AV23" s="690" t="e">
        <f>SUM(AV17:AV22)</f>
        <v>#DIV/0!</v>
      </c>
      <c r="AW23" s="1008"/>
      <c r="AX23" s="1009"/>
      <c r="AY23" s="1006">
        <f>SUM(AZ17:AZ22)</f>
        <v>0</v>
      </c>
      <c r="AZ23" s="1007"/>
      <c r="BA23" s="690">
        <f>SUM(BA17:BA22)</f>
        <v>0</v>
      </c>
      <c r="BB23" s="690">
        <f>SUM(BB17:BB22)</f>
        <v>0</v>
      </c>
      <c r="BC23" s="1008"/>
      <c r="BD23" s="1009"/>
      <c r="BE23" s="1006">
        <f>SUM(BF17:BF22)</f>
        <v>20</v>
      </c>
      <c r="BF23" s="1007"/>
      <c r="BG23" s="690">
        <f>SUM(BG17:BG22)</f>
        <v>2.6</v>
      </c>
      <c r="BH23" s="690">
        <f>SUM(BH17:BH22)</f>
        <v>0.13</v>
      </c>
      <c r="BI23" s="1008"/>
      <c r="BJ23" s="1009"/>
      <c r="BK23" s="1006">
        <f>SUM(BL17:BL22)</f>
        <v>0</v>
      </c>
      <c r="BL23" s="1007"/>
      <c r="BM23" s="690">
        <f>SUM(BM17:BM22)</f>
        <v>0</v>
      </c>
      <c r="BN23" s="690" t="e">
        <f>SUM(BN17:BN22)</f>
        <v>#DIV/0!</v>
      </c>
      <c r="BO23" s="1008"/>
      <c r="BP23" s="1009"/>
      <c r="BQ23" s="1006">
        <f>SUM(BR17:BR22)</f>
        <v>0</v>
      </c>
      <c r="BR23" s="1007"/>
      <c r="BS23" s="690">
        <f>SUM(BS17:BS22)</f>
        <v>0</v>
      </c>
      <c r="BT23" s="690" t="e">
        <f>SUM(BT17:BT22)</f>
        <v>#DIV/0!</v>
      </c>
      <c r="BU23" s="1008"/>
      <c r="BV23" s="1009"/>
      <c r="BW23" s="1006">
        <f>SUM(BX17:BX22)</f>
        <v>0</v>
      </c>
      <c r="BX23" s="1007"/>
      <c r="BY23" s="690">
        <f>SUM(BY17:BY22)</f>
        <v>0</v>
      </c>
      <c r="BZ23" s="690" t="e">
        <f>SUM(BZ17:BZ22)</f>
        <v>#DIV/0!</v>
      </c>
      <c r="CA23" s="1008"/>
      <c r="CB23" s="1009"/>
      <c r="CC23" s="720"/>
      <c r="CD23" s="720"/>
      <c r="CE23" s="720"/>
      <c r="CF23" s="720"/>
      <c r="CG23" s="720"/>
      <c r="CH23" s="720"/>
      <c r="CI23" s="720"/>
      <c r="CJ23" s="720"/>
      <c r="CK23" s="720"/>
      <c r="CL23" s="720"/>
      <c r="CM23" s="720"/>
      <c r="CN23" s="720"/>
      <c r="CO23" s="720"/>
      <c r="CP23" s="720"/>
      <c r="CQ23" s="720"/>
      <c r="CR23" s="720"/>
      <c r="CS23" s="720"/>
      <c r="CT23" s="720"/>
      <c r="CU23" s="720"/>
      <c r="CV23" s="720"/>
      <c r="CW23" s="720"/>
      <c r="CX23" s="720"/>
      <c r="CY23" s="720"/>
      <c r="CZ23" s="720"/>
      <c r="DA23" s="720"/>
      <c r="DB23" s="720"/>
      <c r="DC23" s="720"/>
      <c r="DD23" s="720"/>
      <c r="DE23" s="720"/>
      <c r="DF23" s="720"/>
      <c r="DG23" s="720"/>
      <c r="DH23" s="720"/>
      <c r="DI23" s="720"/>
      <c r="DJ23" s="720"/>
      <c r="DK23" s="720"/>
      <c r="DL23" s="720"/>
      <c r="DM23" s="720"/>
      <c r="DN23" s="720"/>
      <c r="DO23" s="720"/>
      <c r="DP23" s="720"/>
      <c r="DQ23" s="720"/>
      <c r="DR23" s="720"/>
    </row>
    <row r="24" spans="1:122" s="642" customFormat="1" ht="18">
      <c r="A24" s="720"/>
      <c r="B24" s="722"/>
      <c r="C24" s="805">
        <f>C10+C4+C17</f>
        <v>568</v>
      </c>
      <c r="D24" s="701">
        <f>D10+D4+D17</f>
        <v>1</v>
      </c>
      <c r="E24" s="702">
        <f>E10+E4+E17</f>
        <v>0</v>
      </c>
      <c r="F24" s="701">
        <f>F10+F4+F17</f>
        <v>0</v>
      </c>
      <c r="G24" s="720"/>
      <c r="H24" s="703" t="s">
        <v>45</v>
      </c>
      <c r="I24" s="1128">
        <f>I16+I9</f>
        <v>0</v>
      </c>
      <c r="J24" s="996"/>
      <c r="K24" s="992">
        <f>SUM(K9,K16,K23)</f>
        <v>0</v>
      </c>
      <c r="L24" s="993"/>
      <c r="M24" s="997" t="e">
        <f>K24/K26</f>
        <v>#DIV/0!</v>
      </c>
      <c r="N24" s="990" t="e">
        <f>(SUM(N4:N8)+SUM(N10:N15)+SUM(N17:N22))/16</f>
        <v>#DIV/0!</v>
      </c>
      <c r="O24" s="995">
        <f>O16+O9</f>
        <v>0</v>
      </c>
      <c r="P24" s="996"/>
      <c r="Q24" s="992">
        <f>SUM(Q9,Q16,Q23)</f>
        <v>0</v>
      </c>
      <c r="R24" s="993"/>
      <c r="S24" s="997" t="e">
        <f>Q24/Q26</f>
        <v>#DIV/0!</v>
      </c>
      <c r="T24" s="990" t="e">
        <f>(SUM(T4:T8)+SUM(T10:T15)+SUM(T17:T22))/16</f>
        <v>#DIV/0!</v>
      </c>
      <c r="U24" s="995">
        <f>U16+U9</f>
        <v>0</v>
      </c>
      <c r="V24" s="996"/>
      <c r="W24" s="992">
        <f>SUM(W9,W16,W23)</f>
        <v>0</v>
      </c>
      <c r="X24" s="993"/>
      <c r="Y24" s="997" t="e">
        <f>W24/W26</f>
        <v>#DIV/0!</v>
      </c>
      <c r="Z24" s="990" t="e">
        <f>(SUM(Z4:Z8)+SUM(Z10:Z15)+SUM(Z17:Z22))/16</f>
        <v>#DIV/0!</v>
      </c>
      <c r="AA24" s="995">
        <f>AA16+AA9</f>
        <v>0</v>
      </c>
      <c r="AB24" s="996"/>
      <c r="AC24" s="992">
        <f>SUM(AC9,AC16,AC23)</f>
        <v>0</v>
      </c>
      <c r="AD24" s="993"/>
      <c r="AE24" s="997" t="e">
        <f>AC24/AC26</f>
        <v>#DIV/0!</v>
      </c>
      <c r="AF24" s="990" t="e">
        <f>(SUM(AF4:AF8)+SUM(AF10:AF15)+SUM(AF17:AF22))/16</f>
        <v>#DIV/0!</v>
      </c>
      <c r="AG24" s="995">
        <f>AG16+AG9</f>
        <v>0</v>
      </c>
      <c r="AH24" s="996"/>
      <c r="AI24" s="992">
        <f>SUM(AI9,AI16,AI23)</f>
        <v>0</v>
      </c>
      <c r="AJ24" s="993"/>
      <c r="AK24" s="997" t="e">
        <f>AI24/AI26</f>
        <v>#DIV/0!</v>
      </c>
      <c r="AL24" s="990" t="e">
        <f>(SUM(AL4:AL8)+SUM(AL10:AL15)+SUM(AL17:AL22))/16</f>
        <v>#DIV/0!</v>
      </c>
      <c r="AM24" s="995">
        <f>AM16+AM9</f>
        <v>0</v>
      </c>
      <c r="AN24" s="996"/>
      <c r="AO24" s="992">
        <f>SUM(AO9,AO16,AO23)</f>
        <v>0</v>
      </c>
      <c r="AP24" s="993"/>
      <c r="AQ24" s="997" t="e">
        <f>AO24/AO26</f>
        <v>#DIV/0!</v>
      </c>
      <c r="AR24" s="990" t="e">
        <f>(SUM(AR4:AR8)+SUM(AR10:AR15)+SUM(AR17:AR22))/16</f>
        <v>#DIV/0!</v>
      </c>
      <c r="AS24" s="995">
        <f>AS16+AS9</f>
        <v>0</v>
      </c>
      <c r="AT24" s="996"/>
      <c r="AU24" s="992">
        <f>SUM(AU9,AU16,AU23)</f>
        <v>0</v>
      </c>
      <c r="AV24" s="993"/>
      <c r="AW24" s="997" t="e">
        <f>AU24/AU26</f>
        <v>#DIV/0!</v>
      </c>
      <c r="AX24" s="990" t="e">
        <f>(SUM(AX4:AX8)+SUM(AX10:AX15)+SUM(AX17:AX22))/16</f>
        <v>#DIV/0!</v>
      </c>
      <c r="AY24" s="995">
        <f>AY16+AY9</f>
        <v>431</v>
      </c>
      <c r="AZ24" s="996"/>
      <c r="BA24" s="992">
        <v>121.05</v>
      </c>
      <c r="BB24" s="993"/>
      <c r="BC24" s="997">
        <v>1.23E-2</v>
      </c>
      <c r="BD24" s="990">
        <v>1.14E-2</v>
      </c>
      <c r="BE24" s="995">
        <f>BE16+BE9</f>
        <v>456</v>
      </c>
      <c r="BF24" s="996"/>
      <c r="BG24" s="992">
        <f>SUM(BG9,BG16,BG23)+0.73</f>
        <v>129.66</v>
      </c>
      <c r="BH24" s="993"/>
      <c r="BI24" s="997">
        <f>BG24/BG26</f>
        <v>1.2464619623698691E-2</v>
      </c>
      <c r="BJ24" s="990">
        <f>(SUM(BJ4:BJ8)+SUM(BJ10:BJ15)+SUM(BJ17:BJ22))/16</f>
        <v>1.13344086343016E-2</v>
      </c>
      <c r="BK24" s="995">
        <f>BK16+BK9</f>
        <v>234</v>
      </c>
      <c r="BL24" s="996"/>
      <c r="BM24" s="992">
        <f>SUM(BM9,BM16,BM23)</f>
        <v>65.69</v>
      </c>
      <c r="BN24" s="993"/>
      <c r="BO24" s="997">
        <f>BM24/BM26</f>
        <v>1.1862454470223939E-2</v>
      </c>
      <c r="BP24" s="990" t="e">
        <f>(SUM(BP4:BP8)+SUM(BP10:BP15)+SUM(BP17:BP22))/16</f>
        <v>#DIV/0!</v>
      </c>
      <c r="BQ24" s="995">
        <f>BQ16+BQ9</f>
        <v>0</v>
      </c>
      <c r="BR24" s="996"/>
      <c r="BS24" s="992">
        <f>SUM(BS9,BS16,BS23)</f>
        <v>0</v>
      </c>
      <c r="BT24" s="993"/>
      <c r="BU24" s="997" t="e">
        <f>BS24/BS26</f>
        <v>#DIV/0!</v>
      </c>
      <c r="BV24" s="990" t="e">
        <f>(SUM(BV4:BV8)+SUM(BV10:BV15)+SUM(BV17:BV22))/16</f>
        <v>#DIV/0!</v>
      </c>
      <c r="BW24" s="995">
        <f>BW16+BW9</f>
        <v>0</v>
      </c>
      <c r="BX24" s="996"/>
      <c r="BY24" s="992">
        <f>SUM(BY9,BY16,BY23)</f>
        <v>0</v>
      </c>
      <c r="BZ24" s="993"/>
      <c r="CA24" s="997" t="e">
        <f>BY24/BY26</f>
        <v>#DIV/0!</v>
      </c>
      <c r="CB24" s="990" t="e">
        <f>(SUM(CB4:CB8)+SUM(CB10:CB15)+SUM(CB17:CB22))/16</f>
        <v>#DIV/0!</v>
      </c>
      <c r="CC24" s="720"/>
      <c r="CD24" s="720"/>
      <c r="CE24" s="720"/>
      <c r="CF24" s="720"/>
      <c r="CG24" s="720"/>
      <c r="CH24" s="720"/>
      <c r="CI24" s="720"/>
      <c r="CJ24" s="720"/>
      <c r="CK24" s="720"/>
      <c r="CL24" s="720"/>
      <c r="CM24" s="720"/>
      <c r="CN24" s="720"/>
      <c r="CO24" s="720"/>
      <c r="CP24" s="720"/>
      <c r="CQ24" s="720"/>
      <c r="CR24" s="720"/>
      <c r="CS24" s="720"/>
      <c r="CT24" s="720"/>
      <c r="CU24" s="720"/>
      <c r="CV24" s="720"/>
      <c r="CW24" s="720"/>
      <c r="CX24" s="720"/>
      <c r="CY24" s="720"/>
      <c r="CZ24" s="720"/>
      <c r="DA24" s="720"/>
      <c r="DB24" s="720"/>
      <c r="DC24" s="720"/>
      <c r="DD24" s="720"/>
      <c r="DE24" s="720"/>
      <c r="DF24" s="720"/>
      <c r="DG24" s="720"/>
      <c r="DH24" s="720"/>
      <c r="DI24" s="720"/>
      <c r="DJ24" s="720"/>
      <c r="DK24" s="720"/>
      <c r="DL24" s="720"/>
      <c r="DM24" s="720"/>
      <c r="DN24" s="720"/>
      <c r="DO24" s="720"/>
      <c r="DP24" s="720"/>
      <c r="DQ24" s="720"/>
      <c r="DR24" s="720"/>
    </row>
    <row r="25" spans="1:122" s="642" customFormat="1" ht="15.75" customHeight="1">
      <c r="A25" s="720"/>
      <c r="B25" s="720"/>
      <c r="C25" s="1013" t="s">
        <v>45</v>
      </c>
      <c r="D25" s="1013"/>
      <c r="E25" s="1013"/>
      <c r="F25" s="1013"/>
      <c r="G25" s="724"/>
      <c r="H25" s="720"/>
      <c r="I25" s="723"/>
      <c r="J25" s="723"/>
      <c r="K25" s="994"/>
      <c r="L25" s="994"/>
      <c r="M25" s="998"/>
      <c r="N25" s="991"/>
      <c r="O25" s="723"/>
      <c r="P25" s="723"/>
      <c r="Q25" s="994"/>
      <c r="R25" s="994"/>
      <c r="S25" s="998"/>
      <c r="T25" s="991"/>
      <c r="U25" s="723"/>
      <c r="V25" s="723"/>
      <c r="W25" s="994"/>
      <c r="X25" s="994"/>
      <c r="Y25" s="998"/>
      <c r="Z25" s="991"/>
      <c r="AA25" s="723"/>
      <c r="AB25" s="723"/>
      <c r="AC25" s="994"/>
      <c r="AD25" s="994"/>
      <c r="AE25" s="998"/>
      <c r="AF25" s="991"/>
      <c r="AG25" s="723"/>
      <c r="AH25" s="723"/>
      <c r="AI25" s="994"/>
      <c r="AJ25" s="994"/>
      <c r="AK25" s="998"/>
      <c r="AL25" s="991"/>
      <c r="AM25" s="723"/>
      <c r="AN25" s="723"/>
      <c r="AO25" s="994"/>
      <c r="AP25" s="994"/>
      <c r="AQ25" s="998"/>
      <c r="AR25" s="991"/>
      <c r="AS25" s="723"/>
      <c r="AT25" s="723"/>
      <c r="AU25" s="994"/>
      <c r="AV25" s="994"/>
      <c r="AW25" s="998"/>
      <c r="AX25" s="991"/>
      <c r="AY25" s="723"/>
      <c r="AZ25" s="723"/>
      <c r="BA25" s="994"/>
      <c r="BB25" s="994"/>
      <c r="BC25" s="998"/>
      <c r="BD25" s="991"/>
      <c r="BE25" s="723"/>
      <c r="BF25" s="723"/>
      <c r="BG25" s="994"/>
      <c r="BH25" s="994"/>
      <c r="BI25" s="998"/>
      <c r="BJ25" s="991"/>
      <c r="BK25" s="723"/>
      <c r="BL25" s="723"/>
      <c r="BM25" s="994"/>
      <c r="BN25" s="994"/>
      <c r="BO25" s="998"/>
      <c r="BP25" s="991"/>
      <c r="BQ25" s="723"/>
      <c r="BR25" s="723"/>
      <c r="BS25" s="994"/>
      <c r="BT25" s="994"/>
      <c r="BU25" s="998"/>
      <c r="BV25" s="991"/>
      <c r="BW25" s="723"/>
      <c r="BX25" s="723"/>
      <c r="BY25" s="994"/>
      <c r="BZ25" s="994"/>
      <c r="CA25" s="998"/>
      <c r="CB25" s="991"/>
      <c r="CC25" s="725"/>
      <c r="CD25" s="725"/>
      <c r="CE25" s="725"/>
      <c r="CF25" s="720"/>
      <c r="CG25" s="720"/>
      <c r="CH25" s="720"/>
      <c r="CI25" s="720"/>
      <c r="CJ25" s="720"/>
      <c r="CK25" s="720"/>
      <c r="CL25" s="720"/>
      <c r="CM25" s="720"/>
      <c r="CN25" s="720"/>
      <c r="CO25" s="720"/>
      <c r="CP25" s="720"/>
      <c r="CQ25" s="720"/>
      <c r="CR25" s="720"/>
      <c r="CS25" s="720"/>
      <c r="CT25" s="720"/>
      <c r="CU25" s="720"/>
      <c r="CV25" s="720"/>
      <c r="CW25" s="720"/>
      <c r="CX25" s="720"/>
      <c r="CY25" s="720"/>
      <c r="CZ25" s="720"/>
      <c r="DA25" s="720"/>
      <c r="DB25" s="720"/>
      <c r="DC25" s="720"/>
      <c r="DD25" s="720"/>
      <c r="DE25" s="720"/>
      <c r="DF25" s="720"/>
      <c r="DG25" s="720"/>
      <c r="DH25" s="720"/>
      <c r="DI25" s="720"/>
      <c r="DJ25" s="720"/>
      <c r="DK25" s="720"/>
      <c r="DL25" s="720"/>
      <c r="DM25" s="720"/>
      <c r="DN25" s="720"/>
      <c r="DO25" s="720"/>
      <c r="DP25" s="720"/>
      <c r="DQ25" s="720"/>
      <c r="DR25" s="720"/>
    </row>
    <row r="26" spans="1:122" s="642" customFormat="1" ht="18" thickBot="1">
      <c r="A26" s="720"/>
      <c r="B26" s="720"/>
      <c r="C26" s="720"/>
      <c r="D26" s="720"/>
      <c r="E26" s="720"/>
      <c r="F26" s="720"/>
      <c r="G26" s="720"/>
      <c r="H26" s="720"/>
      <c r="I26" s="720"/>
      <c r="J26" s="720"/>
      <c r="K26" s="1001">
        <f>J4*$C31+J5*$C32+J6*$C33+J7*$C34+J8*$C35+J10*$C36+J11*$C37+J12*$C38+J13*$C39+J14*$C40+J17*$C41+J18*$C42+J19*$C43+J20*$C44+J21*$C45+J22*$C46</f>
        <v>0</v>
      </c>
      <c r="L26" s="1001"/>
      <c r="M26" s="999" t="s">
        <v>622</v>
      </c>
      <c r="N26" s="1000"/>
      <c r="O26" s="720"/>
      <c r="P26" s="720"/>
      <c r="Q26" s="1001">
        <f>P4*$C31+P5*$C32+P6*$C33+P7*$C34+P8*$C35+P10*$C36+P11*$C37+P12*$C38+P13*$C39+P14*$C40+P17*$C41+P18*$C42+P19*$C43+P20*$C44+P21*$C45+P22*$C46</f>
        <v>0</v>
      </c>
      <c r="R26" s="1001"/>
      <c r="S26" s="999" t="s">
        <v>622</v>
      </c>
      <c r="T26" s="1000"/>
      <c r="U26" s="720"/>
      <c r="V26" s="720"/>
      <c r="W26" s="1001">
        <f>V4*$C31+V5*$C32+V6*$C33+V7*$C34+V8*$C35+V10*$C36+V11*$C37+V12*$C38+V13*$C39+V14*$C40+V17*$C41+V18*$C42+V19*$C43+V20*$C44+V21*$C45+V22*$C46</f>
        <v>0</v>
      </c>
      <c r="X26" s="1001"/>
      <c r="Y26" s="999" t="s">
        <v>622</v>
      </c>
      <c r="Z26" s="1000"/>
      <c r="AA26" s="720"/>
      <c r="AB26" s="720"/>
      <c r="AC26" s="1001">
        <f>AB4*$C31+AB5*$C32+AB6*$C33+AB7*$C34+AB8*$C35+AB10*$C36+AB11*$C37+AB12*$C38+AB13*$C39+AB14*$C40+AB17*$C41+AB18*$C42+AB19*$C43+AB20*$C44+AB21*$C45+AB22*$C46</f>
        <v>0</v>
      </c>
      <c r="AD26" s="1001"/>
      <c r="AE26" s="999" t="s">
        <v>622</v>
      </c>
      <c r="AF26" s="1000"/>
      <c r="AG26" s="720"/>
      <c r="AH26" s="720"/>
      <c r="AI26" s="1001">
        <f>AH4*$C31+AH5*$C32+AH6*$C33+AH7*$C34+AH8*$C35+AH10*$C36+AH11*$C37+AH12*$C38+AH13*$C39+AH14*$C40+AH17*$C41+AH18*$C42+AH19*$C43+AH20*$C44+AH21*$C45+AH22*$C46</f>
        <v>0</v>
      </c>
      <c r="AJ26" s="1001"/>
      <c r="AK26" s="999" t="s">
        <v>622</v>
      </c>
      <c r="AL26" s="1000"/>
      <c r="AM26" s="720"/>
      <c r="AN26" s="720"/>
      <c r="AO26" s="1001">
        <f>AN4*$C31+AN5*$C32+AN6*$C33+AN7*$C34+AN8*$C35+AN10*$C36+AN11*$C37+AN12*$C38+AN13*$C39+AN14*$C40+AN17*$C41+AN18*$C42+AN19*$C43+AN20*$C44+AN21*$C45+AN22*$C46</f>
        <v>0</v>
      </c>
      <c r="AP26" s="1001"/>
      <c r="AQ26" s="999" t="s">
        <v>622</v>
      </c>
      <c r="AR26" s="1000"/>
      <c r="AS26" s="720"/>
      <c r="AT26" s="720"/>
      <c r="AU26" s="1001">
        <f>AT4*$C31+AT5*$C32+AT6*$C33+AT7*$C34+AT8*$C35+AT10*$C36+AT11*$C37+AT12*$C38+AT13*$C39+AT14*$C40+AT17*$C41+AT18*$C42+AT19*$C43+AT20*$C44+AT21*$C45+AT22*$C46</f>
        <v>0</v>
      </c>
      <c r="AV26" s="1001"/>
      <c r="AW26" s="999" t="s">
        <v>622</v>
      </c>
      <c r="AX26" s="1000"/>
      <c r="AY26" s="720"/>
      <c r="AZ26" s="720"/>
      <c r="BA26" s="1001">
        <v>9868.01</v>
      </c>
      <c r="BB26" s="1001"/>
      <c r="BC26" s="999" t="s">
        <v>622</v>
      </c>
      <c r="BD26" s="1000"/>
      <c r="BE26" s="720"/>
      <c r="BF26" s="720"/>
      <c r="BG26" s="1001">
        <f>BF4*$C31+BF5*$C32+BF6*$C33+BF7*$C34+BF8*$C35+BF10*$C36+BF11*$C37+BF12*$C38+BF13*$C39+BF14*$C40+BF17*$C41+BF18*$C42+BF19*$C43+BF20*$C44+BF21*$C45+BF22*$C46+E49</f>
        <v>10402.242821231421</v>
      </c>
      <c r="BH26" s="1001"/>
      <c r="BI26" s="999" t="s">
        <v>622</v>
      </c>
      <c r="BJ26" s="1000"/>
      <c r="BK26" s="720"/>
      <c r="BL26" s="720"/>
      <c r="BM26" s="1001">
        <f>BL4*$C31+BL5*$C32+BL6*$C33+BL7*$C34+BL8*$C35+BL10*$C36+BL11*$C37+BL12*$C38+BL13*$C39+BL14*$C40+BL17*$C41+BL18*$C42+BL19*$C43+BL20*$C44+BL21*$C45+BL22*$C46</f>
        <v>5537.6397999999999</v>
      </c>
      <c r="BN26" s="1001"/>
      <c r="BO26" s="999" t="s">
        <v>622</v>
      </c>
      <c r="BP26" s="1000"/>
      <c r="BQ26" s="720"/>
      <c r="BR26" s="720"/>
      <c r="BS26" s="1001">
        <f>BR4*$C31+BR5*$C32+BR6*$C33+BR7*$C34+BR8*$C35+BR10*$C36+BR11*$C37+BR12*$C38+BR13*$C39+BR14*$C40+BR17*$C41+BR18*$C42+BR19*$C43+BR20*$C44+BR21*$C45+BR22*$C46</f>
        <v>0</v>
      </c>
      <c r="BT26" s="1001"/>
      <c r="BU26" s="999" t="s">
        <v>622</v>
      </c>
      <c r="BV26" s="1000"/>
      <c r="BW26" s="720"/>
      <c r="BX26" s="720"/>
      <c r="BY26" s="1001">
        <f>BX4*$C31+BX5*$C32+BX6*$C33+BX7*$C34+BX8*$C35+BX10*$C36+BX11*$C37+BX12*$C38+BX13*$C39+BX14*$C40+BX17*$C41+BX18*$C42+BX19*$C43+BX20*$C44+BX21*$C45+BX22*$C46</f>
        <v>0</v>
      </c>
      <c r="BZ26" s="1001"/>
      <c r="CA26" s="999" t="s">
        <v>622</v>
      </c>
      <c r="CB26" s="1000"/>
      <c r="CC26" s="725"/>
      <c r="CD26" s="725"/>
      <c r="CE26" s="725"/>
      <c r="CF26" s="720"/>
      <c r="CG26" s="720"/>
      <c r="CH26" s="720"/>
      <c r="CI26" s="720"/>
      <c r="CJ26" s="720"/>
      <c r="CK26" s="720"/>
      <c r="CL26" s="720"/>
      <c r="CM26" s="720"/>
      <c r="CN26" s="720"/>
      <c r="CO26" s="720"/>
      <c r="CP26" s="720"/>
      <c r="CQ26" s="720"/>
      <c r="CR26" s="720"/>
      <c r="CS26" s="720"/>
      <c r="CT26" s="720"/>
      <c r="CU26" s="720"/>
      <c r="CV26" s="720"/>
      <c r="CW26" s="720"/>
      <c r="CX26" s="720"/>
      <c r="CY26" s="720"/>
      <c r="CZ26" s="720"/>
      <c r="DA26" s="720"/>
      <c r="DB26" s="720"/>
      <c r="DC26" s="720"/>
      <c r="DD26" s="720"/>
      <c r="DE26" s="720"/>
      <c r="DF26" s="720"/>
      <c r="DG26" s="720"/>
      <c r="DH26" s="720"/>
      <c r="DI26" s="720"/>
      <c r="DJ26" s="720"/>
      <c r="DK26" s="720"/>
      <c r="DL26" s="720"/>
      <c r="DM26" s="720"/>
      <c r="DN26" s="720"/>
      <c r="DO26" s="720"/>
      <c r="DP26" s="720"/>
      <c r="DQ26" s="720"/>
      <c r="DR26" s="720"/>
    </row>
    <row r="27" spans="1:122" s="642" customFormat="1" ht="21" thickBot="1">
      <c r="A27" s="720"/>
      <c r="B27" s="705" t="s">
        <v>624</v>
      </c>
      <c r="C27" s="704">
        <v>10461</v>
      </c>
      <c r="D27" s="1004">
        <f>C27-E47</f>
        <v>-582.38979999999901</v>
      </c>
      <c r="E27" s="1005"/>
      <c r="F27" s="706">
        <f>D27/C27</f>
        <v>-5.5672478730522799E-2</v>
      </c>
      <c r="G27" s="720"/>
      <c r="H27" s="720"/>
      <c r="I27" s="720"/>
      <c r="J27" s="720"/>
      <c r="K27" s="720"/>
      <c r="L27" s="768">
        <f>K24</f>
        <v>0</v>
      </c>
      <c r="M27" s="720"/>
      <c r="N27" s="720"/>
      <c r="O27" s="720"/>
      <c r="P27" s="720"/>
      <c r="Q27" s="720"/>
      <c r="R27" s="768">
        <f>Q24</f>
        <v>0</v>
      </c>
      <c r="S27" s="720"/>
      <c r="T27" s="720"/>
      <c r="U27" s="720"/>
      <c r="V27" s="720"/>
      <c r="W27" s="720"/>
      <c r="X27" s="768">
        <f>W24</f>
        <v>0</v>
      </c>
      <c r="Y27" s="720"/>
      <c r="Z27" s="720"/>
      <c r="AA27" s="720"/>
      <c r="AB27" s="720"/>
      <c r="AC27" s="720"/>
      <c r="AD27" s="768">
        <f>AC24</f>
        <v>0</v>
      </c>
      <c r="AE27" s="720"/>
      <c r="AF27" s="720"/>
      <c r="AG27" s="720"/>
      <c r="AH27" s="720"/>
      <c r="AI27" s="720"/>
      <c r="AJ27" s="768">
        <f>AI24</f>
        <v>0</v>
      </c>
      <c r="AK27" s="720"/>
      <c r="AL27" s="720"/>
      <c r="AM27" s="720"/>
      <c r="AN27" s="720"/>
      <c r="AO27" s="720"/>
      <c r="AP27" s="768">
        <f>AO24</f>
        <v>0</v>
      </c>
      <c r="AQ27" s="720"/>
      <c r="AR27" s="720"/>
      <c r="AS27" s="720"/>
      <c r="AT27" s="720"/>
      <c r="AU27" s="720"/>
      <c r="AV27" s="768">
        <f>AU24</f>
        <v>0</v>
      </c>
      <c r="AW27" s="720"/>
      <c r="AX27" s="720"/>
      <c r="AY27" s="720"/>
      <c r="AZ27" s="720"/>
      <c r="BA27" s="720"/>
      <c r="BB27" s="768">
        <f>BA24</f>
        <v>121.05</v>
      </c>
      <c r="BC27" s="720"/>
      <c r="BD27" s="720"/>
      <c r="BE27" s="720"/>
      <c r="BF27" s="725"/>
      <c r="BG27" s="725"/>
      <c r="BH27" s="768">
        <f>BG24</f>
        <v>129.66</v>
      </c>
      <c r="BI27" s="725"/>
      <c r="BJ27" s="725"/>
      <c r="BK27" s="725"/>
      <c r="BL27" s="725"/>
      <c r="BM27" s="725"/>
      <c r="BN27" s="768">
        <f>BM24</f>
        <v>65.69</v>
      </c>
      <c r="BO27" s="725"/>
      <c r="BP27" s="725"/>
      <c r="BQ27" s="725"/>
      <c r="BR27" s="725"/>
      <c r="BS27" s="725"/>
      <c r="BT27" s="768">
        <f>BS24</f>
        <v>0</v>
      </c>
      <c r="BU27" s="725"/>
      <c r="BV27" s="725"/>
      <c r="BW27" s="725"/>
      <c r="BX27" s="725"/>
      <c r="BY27" s="725"/>
      <c r="BZ27" s="768">
        <f>BY24</f>
        <v>0</v>
      </c>
      <c r="CA27" s="725"/>
      <c r="CB27" s="725"/>
      <c r="CC27" s="769">
        <f>SUM(L27:BZ27)</f>
        <v>316.39999999999998</v>
      </c>
      <c r="CD27" s="725"/>
      <c r="CE27" s="725"/>
      <c r="CF27" s="720"/>
      <c r="CG27" s="720"/>
      <c r="CH27" s="720"/>
      <c r="CI27" s="720"/>
      <c r="CJ27" s="720"/>
      <c r="CK27" s="720"/>
      <c r="CL27" s="720"/>
      <c r="CM27" s="720"/>
      <c r="CN27" s="720"/>
      <c r="CO27" s="720"/>
      <c r="CP27" s="720"/>
      <c r="CQ27" s="720"/>
      <c r="CR27" s="720"/>
      <c r="CS27" s="720"/>
      <c r="CT27" s="720"/>
      <c r="CU27" s="720"/>
      <c r="CV27" s="720"/>
      <c r="CW27" s="720"/>
      <c r="CX27" s="720"/>
      <c r="CY27" s="720"/>
      <c r="CZ27" s="720"/>
      <c r="DA27" s="720"/>
      <c r="DB27" s="720"/>
      <c r="DC27" s="720"/>
      <c r="DD27" s="720"/>
      <c r="DE27" s="720"/>
      <c r="DF27" s="720"/>
      <c r="DG27" s="720"/>
      <c r="DH27" s="720"/>
      <c r="DI27" s="720"/>
      <c r="DJ27" s="720"/>
      <c r="DK27" s="720"/>
      <c r="DL27" s="720"/>
      <c r="DM27" s="720"/>
      <c r="DN27" s="720"/>
      <c r="DO27" s="720"/>
      <c r="DP27" s="720"/>
      <c r="DQ27" s="720"/>
      <c r="DR27" s="720"/>
    </row>
    <row r="28" spans="1:122" s="720" customFormat="1" ht="19.5" customHeight="1">
      <c r="B28" s="1117" t="s">
        <v>644</v>
      </c>
      <c r="C28" s="1117"/>
      <c r="D28" s="1116">
        <f>CC27</f>
        <v>316.39999999999998</v>
      </c>
      <c r="E28" s="1116"/>
      <c r="BF28" s="725"/>
      <c r="BG28" s="725"/>
      <c r="BH28" s="725"/>
      <c r="BI28" s="725"/>
      <c r="BJ28" s="725"/>
      <c r="BK28" s="725"/>
      <c r="BL28" s="725"/>
      <c r="BM28" s="725"/>
      <c r="BN28" s="725"/>
      <c r="BO28" s="725"/>
      <c r="BP28" s="725"/>
      <c r="BQ28" s="725"/>
      <c r="BR28" s="725"/>
      <c r="BS28" s="725"/>
      <c r="BT28" s="725"/>
      <c r="BU28" s="725"/>
      <c r="BV28" s="725"/>
      <c r="BW28" s="725"/>
      <c r="BX28" s="725"/>
      <c r="BY28" s="725"/>
      <c r="BZ28" s="725"/>
      <c r="CA28" s="725"/>
      <c r="CB28" s="725"/>
      <c r="CC28" s="725"/>
      <c r="CD28" s="725"/>
      <c r="CE28" s="725"/>
    </row>
    <row r="29" spans="1:122" s="642" customFormat="1" ht="15.75">
      <c r="A29" s="720"/>
      <c r="B29" s="1013">
        <v>2023</v>
      </c>
      <c r="C29" s="1013"/>
      <c r="D29" s="1013"/>
      <c r="E29" s="1013"/>
      <c r="F29" s="720"/>
      <c r="G29" s="720"/>
      <c r="H29" s="720"/>
      <c r="I29" s="720"/>
      <c r="J29" s="720"/>
      <c r="K29" s="720"/>
      <c r="L29" s="720"/>
      <c r="M29" s="720"/>
      <c r="N29" s="720"/>
      <c r="O29" s="720"/>
      <c r="P29" s="720"/>
      <c r="Q29" s="720"/>
      <c r="R29" s="720"/>
      <c r="S29" s="720"/>
      <c r="T29" s="720"/>
      <c r="U29" s="720"/>
      <c r="V29" s="720"/>
      <c r="W29" s="720"/>
      <c r="X29" s="720"/>
      <c r="Y29" s="720"/>
      <c r="Z29" s="720"/>
      <c r="AA29" s="720"/>
      <c r="AB29" s="720"/>
      <c r="AC29" s="720"/>
      <c r="AD29" s="720"/>
      <c r="AE29" s="720"/>
      <c r="AF29" s="720"/>
      <c r="AG29" s="720"/>
      <c r="AH29" s="720"/>
      <c r="AI29" s="720"/>
      <c r="AJ29" s="720"/>
      <c r="AK29" s="720"/>
      <c r="AL29" s="720"/>
      <c r="AM29" s="720"/>
      <c r="AN29" s="720"/>
      <c r="AO29" s="720"/>
      <c r="AP29" s="720"/>
      <c r="AQ29" s="720"/>
      <c r="AR29" s="720"/>
      <c r="AS29" s="720"/>
      <c r="AT29" s="720"/>
      <c r="AU29" s="720"/>
      <c r="AV29" s="720"/>
      <c r="AW29" s="720"/>
      <c r="AX29" s="720"/>
      <c r="AY29" s="720"/>
      <c r="AZ29" s="720"/>
      <c r="BA29" s="720"/>
      <c r="BB29" s="720"/>
      <c r="BC29" s="720"/>
      <c r="BD29" s="720"/>
      <c r="BE29" s="720"/>
      <c r="BF29" s="725"/>
      <c r="BG29" s="725"/>
      <c r="BH29" s="725"/>
      <c r="BI29" s="725"/>
      <c r="BJ29" s="725"/>
      <c r="BK29" s="725"/>
      <c r="BL29" s="725"/>
      <c r="BM29" s="725"/>
      <c r="BN29" s="725"/>
      <c r="BO29" s="725"/>
      <c r="BP29" s="725"/>
      <c r="BQ29" s="725"/>
      <c r="BR29" s="725"/>
      <c r="BS29" s="725"/>
      <c r="BT29" s="725"/>
      <c r="BU29" s="725"/>
      <c r="BV29" s="725"/>
      <c r="BW29" s="725"/>
      <c r="BX29" s="725"/>
      <c r="BY29" s="725"/>
      <c r="BZ29" s="725"/>
      <c r="CA29" s="725"/>
      <c r="CB29" s="725"/>
      <c r="CC29" s="725"/>
      <c r="CD29" s="725"/>
      <c r="CE29" s="725"/>
      <c r="CF29" s="720"/>
      <c r="CG29" s="720"/>
      <c r="CH29" s="720"/>
      <c r="CI29" s="720"/>
      <c r="CJ29" s="720"/>
      <c r="CK29" s="720"/>
      <c r="CL29" s="720"/>
      <c r="CM29" s="720"/>
      <c r="CN29" s="720"/>
      <c r="CO29" s="720"/>
      <c r="CP29" s="720"/>
      <c r="CQ29" s="720"/>
      <c r="CR29" s="720"/>
      <c r="CS29" s="720"/>
      <c r="CT29" s="720"/>
      <c r="CU29" s="720"/>
      <c r="CV29" s="720"/>
      <c r="CW29" s="720"/>
      <c r="CX29" s="720"/>
      <c r="CY29" s="720"/>
      <c r="CZ29" s="720"/>
      <c r="DA29" s="720"/>
      <c r="DB29" s="720"/>
      <c r="DC29" s="720"/>
      <c r="DD29" s="720"/>
      <c r="DE29" s="720"/>
      <c r="DF29" s="720"/>
      <c r="DG29" s="720"/>
      <c r="DH29" s="720"/>
      <c r="DI29" s="720"/>
      <c r="DJ29" s="720"/>
      <c r="DK29" s="720"/>
      <c r="DL29" s="720"/>
      <c r="DM29" s="720"/>
      <c r="DN29" s="720"/>
      <c r="DO29" s="720"/>
      <c r="DP29" s="720"/>
      <c r="DQ29" s="720"/>
      <c r="DR29" s="720"/>
    </row>
    <row r="30" spans="1:122" s="642" customFormat="1" ht="15.75">
      <c r="A30" s="720"/>
      <c r="B30" s="807" t="s">
        <v>209</v>
      </c>
      <c r="C30" s="807" t="s">
        <v>561</v>
      </c>
      <c r="D30" s="807" t="s">
        <v>542</v>
      </c>
      <c r="E30" s="807" t="s">
        <v>2</v>
      </c>
      <c r="F30" s="720"/>
      <c r="G30" s="720"/>
      <c r="H30" s="720"/>
      <c r="I30" s="1043" t="s">
        <v>10</v>
      </c>
      <c r="J30" s="1043"/>
      <c r="K30" s="1043"/>
      <c r="L30" s="1043"/>
      <c r="M30" s="1043"/>
      <c r="N30" s="1043"/>
      <c r="O30" s="1044" t="s">
        <v>11</v>
      </c>
      <c r="P30" s="1044"/>
      <c r="Q30" s="1044"/>
      <c r="R30" s="1044"/>
      <c r="S30" s="1044"/>
      <c r="T30" s="1044"/>
      <c r="U30" s="1043" t="s">
        <v>12</v>
      </c>
      <c r="V30" s="1043"/>
      <c r="W30" s="1043"/>
      <c r="X30" s="1043"/>
      <c r="Y30" s="1043"/>
      <c r="Z30" s="1043"/>
      <c r="AA30" s="1044" t="s">
        <v>13</v>
      </c>
      <c r="AB30" s="1044"/>
      <c r="AC30" s="1044"/>
      <c r="AD30" s="1044"/>
      <c r="AE30" s="1044"/>
      <c r="AF30" s="1044"/>
      <c r="AG30" s="1043" t="s">
        <v>14</v>
      </c>
      <c r="AH30" s="1043"/>
      <c r="AI30" s="1043"/>
      <c r="AJ30" s="1043"/>
      <c r="AK30" s="1043"/>
      <c r="AL30" s="1043"/>
      <c r="AM30" s="1044" t="s">
        <v>15</v>
      </c>
      <c r="AN30" s="1044"/>
      <c r="AO30" s="1044"/>
      <c r="AP30" s="1044"/>
      <c r="AQ30" s="1044"/>
      <c r="AR30" s="1044"/>
      <c r="AS30" s="1043" t="s">
        <v>16</v>
      </c>
      <c r="AT30" s="1043"/>
      <c r="AU30" s="1043"/>
      <c r="AV30" s="1043"/>
      <c r="AW30" s="1043"/>
      <c r="AX30" s="1043"/>
      <c r="AY30" s="1044" t="s">
        <v>17</v>
      </c>
      <c r="AZ30" s="1044"/>
      <c r="BA30" s="1044"/>
      <c r="BB30" s="1044"/>
      <c r="BC30" s="1044"/>
      <c r="BD30" s="1044"/>
      <c r="BE30" s="1043" t="s">
        <v>18</v>
      </c>
      <c r="BF30" s="1043"/>
      <c r="BG30" s="1043"/>
      <c r="BH30" s="1043"/>
      <c r="BI30" s="1043"/>
      <c r="BJ30" s="1043"/>
      <c r="BK30" s="1044" t="s">
        <v>19</v>
      </c>
      <c r="BL30" s="1044"/>
      <c r="BM30" s="1044"/>
      <c r="BN30" s="1044"/>
      <c r="BO30" s="1044"/>
      <c r="BP30" s="1044"/>
      <c r="BQ30" s="1043" t="s">
        <v>20</v>
      </c>
      <c r="BR30" s="1043"/>
      <c r="BS30" s="1043"/>
      <c r="BT30" s="1043"/>
      <c r="BU30" s="1043"/>
      <c r="BV30" s="1043"/>
      <c r="BW30" s="1044" t="s">
        <v>21</v>
      </c>
      <c r="BX30" s="1044"/>
      <c r="BY30" s="1044"/>
      <c r="BZ30" s="1044"/>
      <c r="CA30" s="1044"/>
      <c r="CB30" s="1044"/>
      <c r="CC30" s="725"/>
      <c r="CD30" s="725"/>
      <c r="CE30" s="725"/>
      <c r="CF30" s="720"/>
      <c r="CG30" s="720"/>
      <c r="CH30" s="720"/>
      <c r="CI30" s="720"/>
      <c r="CJ30" s="720"/>
      <c r="CK30" s="720"/>
      <c r="CL30" s="720"/>
      <c r="CM30" s="720"/>
      <c r="CN30" s="720"/>
      <c r="CO30" s="720"/>
      <c r="CP30" s="720"/>
      <c r="CQ30" s="720"/>
      <c r="CR30" s="720"/>
      <c r="CS30" s="720"/>
      <c r="CT30" s="720"/>
      <c r="CU30" s="720"/>
      <c r="CV30" s="720"/>
      <c r="CW30" s="720"/>
      <c r="CX30" s="720"/>
      <c r="CY30" s="720"/>
      <c r="CZ30" s="720"/>
      <c r="DA30" s="720"/>
      <c r="DB30" s="720"/>
      <c r="DC30" s="720"/>
      <c r="DD30" s="720"/>
      <c r="DE30" s="720"/>
      <c r="DF30" s="720"/>
      <c r="DG30" s="720"/>
      <c r="DH30" s="720"/>
      <c r="DI30" s="720"/>
      <c r="DJ30" s="720"/>
      <c r="DK30" s="720"/>
      <c r="DL30" s="720"/>
      <c r="DM30" s="720"/>
      <c r="DN30" s="720"/>
      <c r="DO30" s="720"/>
      <c r="DP30" s="720"/>
      <c r="DQ30" s="720"/>
      <c r="DR30" s="720"/>
    </row>
    <row r="31" spans="1:122" s="642" customFormat="1" ht="15.75">
      <c r="A31" s="720"/>
      <c r="B31" s="708" t="str">
        <f t="shared" ref="B31:B46" si="103">H32</f>
        <v>MXRF11</v>
      </c>
      <c r="C31" s="709">
        <f>E31/D31</f>
        <v>9.9399888888888892</v>
      </c>
      <c r="D31" s="807">
        <f>M86</f>
        <v>18</v>
      </c>
      <c r="E31" s="709">
        <f>O86+C55</f>
        <v>178.91980000000001</v>
      </c>
      <c r="F31" s="720"/>
      <c r="G31" s="720"/>
      <c r="H31" s="720"/>
      <c r="I31" s="808" t="s">
        <v>619</v>
      </c>
      <c r="J31" s="808" t="s">
        <v>618</v>
      </c>
      <c r="K31" s="808" t="s">
        <v>273</v>
      </c>
      <c r="L31" s="808" t="s">
        <v>616</v>
      </c>
      <c r="M31" s="808" t="s">
        <v>617</v>
      </c>
      <c r="N31" s="808" t="s">
        <v>274</v>
      </c>
      <c r="O31" s="806" t="s">
        <v>619</v>
      </c>
      <c r="P31" s="806" t="s">
        <v>618</v>
      </c>
      <c r="Q31" s="806" t="s">
        <v>273</v>
      </c>
      <c r="R31" s="806" t="s">
        <v>616</v>
      </c>
      <c r="S31" s="806" t="s">
        <v>617</v>
      </c>
      <c r="T31" s="806" t="s">
        <v>274</v>
      </c>
      <c r="U31" s="808" t="s">
        <v>619</v>
      </c>
      <c r="V31" s="808" t="s">
        <v>618</v>
      </c>
      <c r="W31" s="808" t="s">
        <v>273</v>
      </c>
      <c r="X31" s="808" t="s">
        <v>616</v>
      </c>
      <c r="Y31" s="808" t="s">
        <v>617</v>
      </c>
      <c r="Z31" s="808" t="s">
        <v>274</v>
      </c>
      <c r="AA31" s="806" t="s">
        <v>619</v>
      </c>
      <c r="AB31" s="806" t="s">
        <v>618</v>
      </c>
      <c r="AC31" s="806" t="s">
        <v>273</v>
      </c>
      <c r="AD31" s="806" t="s">
        <v>616</v>
      </c>
      <c r="AE31" s="806" t="s">
        <v>617</v>
      </c>
      <c r="AF31" s="806" t="s">
        <v>274</v>
      </c>
      <c r="AG31" s="808" t="s">
        <v>619</v>
      </c>
      <c r="AH31" s="808" t="s">
        <v>618</v>
      </c>
      <c r="AI31" s="808" t="s">
        <v>273</v>
      </c>
      <c r="AJ31" s="808" t="s">
        <v>616</v>
      </c>
      <c r="AK31" s="808" t="s">
        <v>617</v>
      </c>
      <c r="AL31" s="808" t="s">
        <v>274</v>
      </c>
      <c r="AM31" s="806" t="s">
        <v>619</v>
      </c>
      <c r="AN31" s="806" t="s">
        <v>618</v>
      </c>
      <c r="AO31" s="806" t="s">
        <v>273</v>
      </c>
      <c r="AP31" s="806" t="s">
        <v>616</v>
      </c>
      <c r="AQ31" s="806" t="s">
        <v>617</v>
      </c>
      <c r="AR31" s="806" t="s">
        <v>274</v>
      </c>
      <c r="AS31" s="808" t="s">
        <v>619</v>
      </c>
      <c r="AT31" s="808" t="s">
        <v>618</v>
      </c>
      <c r="AU31" s="808" t="s">
        <v>273</v>
      </c>
      <c r="AV31" s="808" t="s">
        <v>616</v>
      </c>
      <c r="AW31" s="808" t="s">
        <v>617</v>
      </c>
      <c r="AX31" s="808" t="s">
        <v>274</v>
      </c>
      <c r="AY31" s="806" t="s">
        <v>619</v>
      </c>
      <c r="AZ31" s="806" t="s">
        <v>618</v>
      </c>
      <c r="BA31" s="806" t="s">
        <v>273</v>
      </c>
      <c r="BB31" s="806" t="s">
        <v>616</v>
      </c>
      <c r="BC31" s="806" t="s">
        <v>617</v>
      </c>
      <c r="BD31" s="806" t="s">
        <v>274</v>
      </c>
      <c r="BE31" s="808" t="s">
        <v>619</v>
      </c>
      <c r="BF31" s="808" t="s">
        <v>618</v>
      </c>
      <c r="BG31" s="808" t="s">
        <v>273</v>
      </c>
      <c r="BH31" s="808" t="s">
        <v>616</v>
      </c>
      <c r="BI31" s="808" t="s">
        <v>617</v>
      </c>
      <c r="BJ31" s="808" t="s">
        <v>274</v>
      </c>
      <c r="BK31" s="806" t="s">
        <v>619</v>
      </c>
      <c r="BL31" s="806" t="s">
        <v>618</v>
      </c>
      <c r="BM31" s="806" t="s">
        <v>273</v>
      </c>
      <c r="BN31" s="806" t="s">
        <v>616</v>
      </c>
      <c r="BO31" s="806" t="s">
        <v>617</v>
      </c>
      <c r="BP31" s="806" t="s">
        <v>274</v>
      </c>
      <c r="BQ31" s="808" t="s">
        <v>619</v>
      </c>
      <c r="BR31" s="808" t="s">
        <v>618</v>
      </c>
      <c r="BS31" s="808" t="s">
        <v>273</v>
      </c>
      <c r="BT31" s="808" t="s">
        <v>616</v>
      </c>
      <c r="BU31" s="808" t="s">
        <v>617</v>
      </c>
      <c r="BV31" s="808" t="s">
        <v>274</v>
      </c>
      <c r="BW31" s="806" t="s">
        <v>619</v>
      </c>
      <c r="BX31" s="806" t="s">
        <v>618</v>
      </c>
      <c r="BY31" s="806" t="s">
        <v>273</v>
      </c>
      <c r="BZ31" s="806" t="s">
        <v>616</v>
      </c>
      <c r="CA31" s="806" t="s">
        <v>617</v>
      </c>
      <c r="CB31" s="806" t="s">
        <v>274</v>
      </c>
      <c r="CC31" s="725"/>
      <c r="CD31" s="725"/>
      <c r="CE31" s="725"/>
      <c r="CF31" s="720"/>
      <c r="CG31" s="720"/>
      <c r="CH31" s="720"/>
      <c r="CI31" s="720"/>
      <c r="CJ31" s="720"/>
      <c r="CK31" s="720"/>
      <c r="CL31" s="720"/>
      <c r="CM31" s="720"/>
      <c r="CN31" s="720"/>
      <c r="CO31" s="720"/>
      <c r="CP31" s="720"/>
      <c r="CQ31" s="720"/>
      <c r="CR31" s="720"/>
      <c r="CS31" s="720"/>
      <c r="CT31" s="720"/>
      <c r="CU31" s="720"/>
      <c r="CV31" s="720"/>
      <c r="CW31" s="720"/>
      <c r="CX31" s="720"/>
      <c r="CY31" s="720"/>
      <c r="CZ31" s="720"/>
      <c r="DA31" s="720"/>
      <c r="DB31" s="720"/>
      <c r="DC31" s="720"/>
      <c r="DD31" s="720"/>
      <c r="DE31" s="720"/>
      <c r="DF31" s="720"/>
      <c r="DG31" s="720"/>
      <c r="DH31" s="720"/>
      <c r="DI31" s="720"/>
      <c r="DJ31" s="720"/>
      <c r="DK31" s="720"/>
      <c r="DL31" s="720"/>
      <c r="DM31" s="720"/>
      <c r="DN31" s="720"/>
      <c r="DO31" s="720"/>
      <c r="DP31" s="720"/>
      <c r="DQ31" s="720"/>
      <c r="DR31" s="720"/>
    </row>
    <row r="32" spans="1:122" s="642" customFormat="1" ht="15.75">
      <c r="A32" s="720"/>
      <c r="B32" s="708" t="str">
        <f t="shared" si="103"/>
        <v>BIME11</v>
      </c>
      <c r="C32" s="709">
        <f t="shared" ref="C32:C46" si="104">E32/D32</f>
        <v>7.3401785714285719</v>
      </c>
      <c r="D32" s="807">
        <f>R86</f>
        <v>112</v>
      </c>
      <c r="E32" s="710">
        <f>T86+C56</f>
        <v>822.1</v>
      </c>
      <c r="F32" s="767"/>
      <c r="G32" s="767" t="s">
        <v>503</v>
      </c>
      <c r="H32" s="714" t="str">
        <f>H4</f>
        <v>MXRF11</v>
      </c>
      <c r="I32" s="771"/>
      <c r="J32" s="770"/>
      <c r="K32" s="771"/>
      <c r="L32" s="771"/>
      <c r="M32" s="713" t="e">
        <f>L32/K32</f>
        <v>#DIV/0!</v>
      </c>
      <c r="N32" s="779" t="e">
        <f t="shared" ref="N32:N46" si="105">K32/I32</f>
        <v>#DIV/0!</v>
      </c>
      <c r="O32" s="771"/>
      <c r="P32" s="770"/>
      <c r="Q32" s="771"/>
      <c r="R32" s="771"/>
      <c r="S32" s="718" t="e">
        <f>R32/Q32</f>
        <v>#DIV/0!</v>
      </c>
      <c r="T32" s="772" t="e">
        <f t="shared" ref="T32:T46" si="106">Q32/O32</f>
        <v>#DIV/0!</v>
      </c>
      <c r="U32" s="771"/>
      <c r="V32" s="770"/>
      <c r="W32" s="771"/>
      <c r="X32" s="771"/>
      <c r="Y32" s="713" t="e">
        <f>X32/W32</f>
        <v>#DIV/0!</v>
      </c>
      <c r="Z32" s="779" t="e">
        <f t="shared" ref="Z32:Z46" si="107">W32/U32</f>
        <v>#DIV/0!</v>
      </c>
      <c r="AA32" s="771"/>
      <c r="AB32" s="770"/>
      <c r="AC32" s="771"/>
      <c r="AD32" s="771"/>
      <c r="AE32" s="718" t="e">
        <f>AD32/AC32</f>
        <v>#DIV/0!</v>
      </c>
      <c r="AF32" s="772" t="e">
        <f t="shared" ref="AF32:AF46" si="108">AC32/AA32</f>
        <v>#DIV/0!</v>
      </c>
      <c r="AG32" s="771"/>
      <c r="AH32" s="770"/>
      <c r="AI32" s="771"/>
      <c r="AJ32" s="771"/>
      <c r="AK32" s="713" t="e">
        <f>AJ32/AI32</f>
        <v>#DIV/0!</v>
      </c>
      <c r="AL32" s="779" t="e">
        <f t="shared" ref="AL32:AL46" si="109">AI32/AG32</f>
        <v>#DIV/0!</v>
      </c>
      <c r="AM32" s="771"/>
      <c r="AN32" s="770"/>
      <c r="AO32" s="771"/>
      <c r="AP32" s="771"/>
      <c r="AQ32" s="718" t="e">
        <f>AP32/AO32</f>
        <v>#DIV/0!</v>
      </c>
      <c r="AR32" s="772" t="e">
        <f t="shared" ref="AR32:AR46" si="110">AO32/AM32</f>
        <v>#DIV/0!</v>
      </c>
      <c r="AS32" s="771"/>
      <c r="AT32" s="770"/>
      <c r="AU32" s="771"/>
      <c r="AV32" s="771"/>
      <c r="AW32" s="713" t="e">
        <f>AV32/AU32</f>
        <v>#DIV/0!</v>
      </c>
      <c r="AX32" s="779" t="e">
        <f t="shared" ref="AX32:AX46" si="111">AU32/AS32</f>
        <v>#DIV/0!</v>
      </c>
      <c r="AY32" s="771">
        <v>10.1</v>
      </c>
      <c r="AZ32" s="770">
        <v>0.1241</v>
      </c>
      <c r="BA32" s="771">
        <v>10.71</v>
      </c>
      <c r="BB32" s="771">
        <v>0.12</v>
      </c>
      <c r="BC32" s="718">
        <f>BB32/BA32</f>
        <v>1.1204481792717085E-2</v>
      </c>
      <c r="BD32" s="772">
        <f t="shared" ref="BD32:BD46" si="112">BA32/AY32</f>
        <v>1.0603960396039604</v>
      </c>
      <c r="BE32" s="771">
        <v>10</v>
      </c>
      <c r="BF32" s="770">
        <v>0.1221</v>
      </c>
      <c r="BG32" s="771">
        <v>10.97</v>
      </c>
      <c r="BH32" s="771">
        <v>0.11</v>
      </c>
      <c r="BI32" s="713">
        <f t="shared" ref="BI32:BI47" si="113">BH32/BG32</f>
        <v>1.0027347310847767E-2</v>
      </c>
      <c r="BJ32" s="779">
        <f t="shared" ref="BJ32:BJ46" si="114">BG32/BE32</f>
        <v>1.097</v>
      </c>
      <c r="BK32" s="771">
        <v>10</v>
      </c>
      <c r="BL32" s="770">
        <v>0.1201</v>
      </c>
      <c r="BM32" s="771">
        <v>11.08</v>
      </c>
      <c r="BN32" s="771">
        <v>0.11</v>
      </c>
      <c r="BO32" s="718">
        <f t="shared" ref="BO32:BO47" si="115">BN32/BM32</f>
        <v>9.9277978339350186E-3</v>
      </c>
      <c r="BP32" s="772">
        <f t="shared" ref="BP32:BP47" si="116">BM32/BK32</f>
        <v>1.1080000000000001</v>
      </c>
      <c r="BQ32" s="771"/>
      <c r="BR32" s="770"/>
      <c r="BS32" s="771"/>
      <c r="BT32" s="771"/>
      <c r="BU32" s="713" t="e">
        <f t="shared" ref="BU32" si="117">BT32/BS32</f>
        <v>#DIV/0!</v>
      </c>
      <c r="BV32" s="779" t="e">
        <f t="shared" ref="BV32:BV46" si="118">BS32/BQ32</f>
        <v>#DIV/0!</v>
      </c>
      <c r="BW32" s="771"/>
      <c r="BX32" s="770"/>
      <c r="BY32" s="771"/>
      <c r="BZ32" s="771"/>
      <c r="CA32" s="718" t="e">
        <f t="shared" ref="CA32" si="119">BZ32/BY32</f>
        <v>#DIV/0!</v>
      </c>
      <c r="CB32" s="772" t="e">
        <f t="shared" ref="CB32:CB46" si="120">BY32/BW32</f>
        <v>#DIV/0!</v>
      </c>
      <c r="CC32" s="725"/>
      <c r="CD32" s="725"/>
      <c r="CE32" s="725"/>
      <c r="CF32" s="720"/>
      <c r="CG32" s="720"/>
      <c r="CH32" s="720"/>
      <c r="CI32" s="720"/>
      <c r="CJ32" s="720"/>
      <c r="CK32" s="720"/>
      <c r="CL32" s="720"/>
      <c r="CM32" s="720"/>
      <c r="CN32" s="720"/>
      <c r="CO32" s="720"/>
      <c r="CP32" s="720"/>
      <c r="CQ32" s="720"/>
      <c r="CR32" s="720"/>
      <c r="CS32" s="720"/>
      <c r="CT32" s="720"/>
      <c r="CU32" s="720"/>
      <c r="CV32" s="720"/>
      <c r="CW32" s="720"/>
      <c r="CX32" s="720"/>
      <c r="CY32" s="720"/>
      <c r="CZ32" s="720"/>
      <c r="DA32" s="720"/>
      <c r="DB32" s="720"/>
      <c r="DC32" s="720"/>
      <c r="DD32" s="720"/>
      <c r="DE32" s="720"/>
      <c r="DF32" s="720"/>
      <c r="DG32" s="720"/>
      <c r="DH32" s="720"/>
      <c r="DI32" s="720"/>
      <c r="DJ32" s="720"/>
      <c r="DK32" s="720"/>
      <c r="DL32" s="720"/>
      <c r="DM32" s="720"/>
      <c r="DN32" s="720"/>
      <c r="DO32" s="720"/>
      <c r="DP32" s="720"/>
      <c r="DQ32" s="720"/>
      <c r="DR32" s="720"/>
    </row>
    <row r="33" spans="1:122" s="642" customFormat="1" ht="15.75">
      <c r="A33" s="720"/>
      <c r="B33" s="708" t="str">
        <f t="shared" si="103"/>
        <v>TGAR11</v>
      </c>
      <c r="C33" s="709">
        <f t="shared" si="104"/>
        <v>119.23857142857143</v>
      </c>
      <c r="D33" s="807">
        <f>W86</f>
        <v>7</v>
      </c>
      <c r="E33" s="710">
        <f>Y86+C57</f>
        <v>834.67000000000007</v>
      </c>
      <c r="F33" s="720"/>
      <c r="G33" s="767" t="s">
        <v>507</v>
      </c>
      <c r="H33" s="714" t="str">
        <f>H5</f>
        <v>BIME11</v>
      </c>
      <c r="I33" s="771"/>
      <c r="J33" s="770"/>
      <c r="K33" s="771"/>
      <c r="L33" s="771"/>
      <c r="M33" s="713" t="e">
        <f t="shared" ref="M33:M47" si="121">L33/K33</f>
        <v>#DIV/0!</v>
      </c>
      <c r="N33" s="779" t="e">
        <f t="shared" si="105"/>
        <v>#DIV/0!</v>
      </c>
      <c r="O33" s="771"/>
      <c r="P33" s="770"/>
      <c r="Q33" s="771"/>
      <c r="R33" s="771"/>
      <c r="S33" s="718" t="e">
        <f t="shared" ref="S33:S47" si="122">R33/Q33</f>
        <v>#DIV/0!</v>
      </c>
      <c r="T33" s="772" t="e">
        <f t="shared" si="106"/>
        <v>#DIV/0!</v>
      </c>
      <c r="U33" s="771"/>
      <c r="V33" s="770"/>
      <c r="W33" s="771"/>
      <c r="X33" s="771"/>
      <c r="Y33" s="713" t="e">
        <f t="shared" ref="Y33:Y47" si="123">X33/W33</f>
        <v>#DIV/0!</v>
      </c>
      <c r="Z33" s="779" t="e">
        <f t="shared" si="107"/>
        <v>#DIV/0!</v>
      </c>
      <c r="AA33" s="771"/>
      <c r="AB33" s="770"/>
      <c r="AC33" s="771"/>
      <c r="AD33" s="771"/>
      <c r="AE33" s="718" t="e">
        <f t="shared" ref="AE33:AE47" si="124">AD33/AC33</f>
        <v>#DIV/0!</v>
      </c>
      <c r="AF33" s="772" t="e">
        <f t="shared" si="108"/>
        <v>#DIV/0!</v>
      </c>
      <c r="AG33" s="771"/>
      <c r="AH33" s="770"/>
      <c r="AI33" s="771"/>
      <c r="AJ33" s="771"/>
      <c r="AK33" s="713" t="e">
        <f t="shared" ref="AK33:AK47" si="125">AJ33/AI33</f>
        <v>#DIV/0!</v>
      </c>
      <c r="AL33" s="779" t="e">
        <f t="shared" si="109"/>
        <v>#DIV/0!</v>
      </c>
      <c r="AM33" s="771"/>
      <c r="AN33" s="770"/>
      <c r="AO33" s="771"/>
      <c r="AP33" s="771"/>
      <c r="AQ33" s="718" t="e">
        <f t="shared" ref="AQ33:AQ47" si="126">AP33/AO33</f>
        <v>#DIV/0!</v>
      </c>
      <c r="AR33" s="772" t="e">
        <f t="shared" si="110"/>
        <v>#DIV/0!</v>
      </c>
      <c r="AS33" s="771"/>
      <c r="AT33" s="770"/>
      <c r="AU33" s="771"/>
      <c r="AV33" s="771"/>
      <c r="AW33" s="713" t="e">
        <f t="shared" ref="AW33:AW47" si="127">AV33/AU33</f>
        <v>#DIV/0!</v>
      </c>
      <c r="AX33" s="779" t="e">
        <f t="shared" si="111"/>
        <v>#DIV/0!</v>
      </c>
      <c r="AY33" s="771">
        <v>8.83</v>
      </c>
      <c r="AZ33" s="770">
        <v>0.12709999999999999</v>
      </c>
      <c r="BA33" s="771">
        <v>7.88</v>
      </c>
      <c r="BB33" s="771">
        <v>0.08</v>
      </c>
      <c r="BC33" s="718">
        <f t="shared" ref="BC33:BC47" si="128">BB33/BA33</f>
        <v>1.0152284263959392E-2</v>
      </c>
      <c r="BD33" s="772">
        <f t="shared" si="112"/>
        <v>0.89241223103057754</v>
      </c>
      <c r="BE33" s="771">
        <v>8.75</v>
      </c>
      <c r="BF33" s="770">
        <v>0.1237</v>
      </c>
      <c r="BG33" s="771">
        <v>7.57</v>
      </c>
      <c r="BH33" s="771">
        <v>0.08</v>
      </c>
      <c r="BI33" s="713">
        <f t="shared" si="113"/>
        <v>1.0568031704095112E-2</v>
      </c>
      <c r="BJ33" s="779">
        <f t="shared" si="114"/>
        <v>0.86514285714285721</v>
      </c>
      <c r="BK33" s="771"/>
      <c r="BL33" s="770"/>
      <c r="BM33" s="771"/>
      <c r="BN33" s="771"/>
      <c r="BO33" s="718" t="e">
        <f t="shared" si="115"/>
        <v>#DIV/0!</v>
      </c>
      <c r="BP33" s="772" t="e">
        <f t="shared" si="116"/>
        <v>#DIV/0!</v>
      </c>
      <c r="BQ33" s="771"/>
      <c r="BR33" s="770"/>
      <c r="BS33" s="771"/>
      <c r="BT33" s="771"/>
      <c r="BU33" s="713" t="e">
        <f t="shared" ref="BU33:BU47" si="129">BR33/BQ33</f>
        <v>#DIV/0!</v>
      </c>
      <c r="BV33" s="779" t="e">
        <f t="shared" si="118"/>
        <v>#DIV/0!</v>
      </c>
      <c r="BW33" s="771"/>
      <c r="BX33" s="770"/>
      <c r="BY33" s="771"/>
      <c r="BZ33" s="771"/>
      <c r="CA33" s="718" t="e">
        <f t="shared" ref="CA33:CA47" si="130">BX33/BW33</f>
        <v>#DIV/0!</v>
      </c>
      <c r="CB33" s="772" t="e">
        <f t="shared" si="120"/>
        <v>#DIV/0!</v>
      </c>
      <c r="CC33" s="725"/>
      <c r="CD33" s="725"/>
      <c r="CE33" s="725"/>
      <c r="CF33" s="720"/>
      <c r="CG33" s="720"/>
      <c r="CH33" s="720"/>
      <c r="CI33" s="720"/>
      <c r="CJ33" s="720"/>
      <c r="CK33" s="720"/>
      <c r="CL33" s="720"/>
      <c r="CM33" s="720"/>
      <c r="CN33" s="720"/>
      <c r="CO33" s="720"/>
      <c r="CP33" s="720"/>
      <c r="CQ33" s="720"/>
      <c r="CR33" s="720"/>
      <c r="CS33" s="720"/>
      <c r="CT33" s="720"/>
      <c r="CU33" s="720"/>
      <c r="CV33" s="720"/>
      <c r="CW33" s="720"/>
      <c r="CX33" s="720"/>
      <c r="CY33" s="720"/>
      <c r="CZ33" s="720"/>
      <c r="DA33" s="720"/>
      <c r="DB33" s="720"/>
      <c r="DC33" s="720"/>
      <c r="DD33" s="720"/>
      <c r="DE33" s="720"/>
      <c r="DF33" s="720"/>
      <c r="DG33" s="720"/>
      <c r="DH33" s="720"/>
      <c r="DI33" s="720"/>
      <c r="DJ33" s="720"/>
      <c r="DK33" s="720"/>
      <c r="DL33" s="720"/>
      <c r="DM33" s="720"/>
      <c r="DN33" s="720"/>
      <c r="DO33" s="720"/>
      <c r="DP33" s="720"/>
      <c r="DQ33" s="720"/>
      <c r="DR33" s="720"/>
    </row>
    <row r="34" spans="1:122" s="642" customFormat="1" ht="15.75">
      <c r="A34" s="720"/>
      <c r="B34" s="708" t="str">
        <f t="shared" si="103"/>
        <v>OURE11</v>
      </c>
      <c r="C34" s="709">
        <f t="shared" si="104"/>
        <v>83.17</v>
      </c>
      <c r="D34" s="807">
        <f>AB86</f>
        <v>1</v>
      </c>
      <c r="E34" s="710">
        <f>AD86+C58</f>
        <v>83.17</v>
      </c>
      <c r="F34" s="720"/>
      <c r="G34" s="767" t="s">
        <v>509</v>
      </c>
      <c r="H34" s="714" t="str">
        <f>H6</f>
        <v>TGAR11</v>
      </c>
      <c r="I34" s="771"/>
      <c r="J34" s="770"/>
      <c r="K34" s="771"/>
      <c r="L34" s="771"/>
      <c r="M34" s="713" t="e">
        <f t="shared" si="121"/>
        <v>#DIV/0!</v>
      </c>
      <c r="N34" s="779" t="e">
        <f t="shared" si="105"/>
        <v>#DIV/0!</v>
      </c>
      <c r="O34" s="771"/>
      <c r="P34" s="770"/>
      <c r="Q34" s="771"/>
      <c r="R34" s="771"/>
      <c r="S34" s="718" t="e">
        <f t="shared" si="122"/>
        <v>#DIV/0!</v>
      </c>
      <c r="T34" s="772" t="e">
        <f t="shared" si="106"/>
        <v>#DIV/0!</v>
      </c>
      <c r="U34" s="771"/>
      <c r="V34" s="770"/>
      <c r="W34" s="771"/>
      <c r="X34" s="771"/>
      <c r="Y34" s="713" t="e">
        <f t="shared" si="123"/>
        <v>#DIV/0!</v>
      </c>
      <c r="Z34" s="779" t="e">
        <f t="shared" si="107"/>
        <v>#DIV/0!</v>
      </c>
      <c r="AA34" s="771"/>
      <c r="AB34" s="770"/>
      <c r="AC34" s="771"/>
      <c r="AD34" s="771"/>
      <c r="AE34" s="718" t="e">
        <f t="shared" si="124"/>
        <v>#DIV/0!</v>
      </c>
      <c r="AF34" s="772" t="e">
        <f t="shared" si="108"/>
        <v>#DIV/0!</v>
      </c>
      <c r="AG34" s="771"/>
      <c r="AH34" s="770"/>
      <c r="AI34" s="771"/>
      <c r="AJ34" s="771"/>
      <c r="AK34" s="713" t="e">
        <f t="shared" si="125"/>
        <v>#DIV/0!</v>
      </c>
      <c r="AL34" s="779" t="e">
        <f t="shared" si="109"/>
        <v>#DIV/0!</v>
      </c>
      <c r="AM34" s="771"/>
      <c r="AN34" s="770"/>
      <c r="AO34" s="771"/>
      <c r="AP34" s="771"/>
      <c r="AQ34" s="718" t="e">
        <f t="shared" si="126"/>
        <v>#DIV/0!</v>
      </c>
      <c r="AR34" s="772" t="e">
        <f t="shared" si="110"/>
        <v>#DIV/0!</v>
      </c>
      <c r="AS34" s="771"/>
      <c r="AT34" s="770"/>
      <c r="AU34" s="771"/>
      <c r="AV34" s="771"/>
      <c r="AW34" s="713" t="e">
        <f t="shared" si="127"/>
        <v>#DIV/0!</v>
      </c>
      <c r="AX34" s="779" t="e">
        <f t="shared" si="111"/>
        <v>#DIV/0!</v>
      </c>
      <c r="AY34" s="771">
        <v>119.48</v>
      </c>
      <c r="AZ34" s="770">
        <v>0.13969999999999999</v>
      </c>
      <c r="BA34" s="771">
        <v>123</v>
      </c>
      <c r="BB34" s="771">
        <v>1.4</v>
      </c>
      <c r="BC34" s="718">
        <f t="shared" si="128"/>
        <v>1.1382113821138211E-2</v>
      </c>
      <c r="BD34" s="772">
        <f t="shared" si="112"/>
        <v>1.0294609976565114</v>
      </c>
      <c r="BE34" s="771">
        <v>118.03</v>
      </c>
      <c r="BF34" s="770">
        <v>0.13780000000000001</v>
      </c>
      <c r="BG34" s="771">
        <v>122.57</v>
      </c>
      <c r="BH34" s="771">
        <v>1.42</v>
      </c>
      <c r="BI34" s="713">
        <f t="shared" si="113"/>
        <v>1.1585216610916211E-2</v>
      </c>
      <c r="BJ34" s="779">
        <f t="shared" si="114"/>
        <v>1.0384647970854868</v>
      </c>
      <c r="BK34" s="771">
        <v>116.34</v>
      </c>
      <c r="BL34" s="770">
        <v>0.1298</v>
      </c>
      <c r="BM34" s="771">
        <v>127.9</v>
      </c>
      <c r="BN34" s="771">
        <v>1.43</v>
      </c>
      <c r="BO34" s="718">
        <f t="shared" si="115"/>
        <v>1.1180609851446442E-2</v>
      </c>
      <c r="BP34" s="772">
        <f t="shared" si="116"/>
        <v>1.0993639332989513</v>
      </c>
      <c r="BQ34" s="771"/>
      <c r="BR34" s="770"/>
      <c r="BS34" s="771"/>
      <c r="BT34" s="771"/>
      <c r="BU34" s="713" t="e">
        <f t="shared" si="129"/>
        <v>#DIV/0!</v>
      </c>
      <c r="BV34" s="779" t="e">
        <f t="shared" si="118"/>
        <v>#DIV/0!</v>
      </c>
      <c r="BW34" s="771"/>
      <c r="BX34" s="770"/>
      <c r="BY34" s="771"/>
      <c r="BZ34" s="771"/>
      <c r="CA34" s="718" t="e">
        <f t="shared" si="130"/>
        <v>#DIV/0!</v>
      </c>
      <c r="CB34" s="772" t="e">
        <f t="shared" si="120"/>
        <v>#DIV/0!</v>
      </c>
      <c r="CC34" s="725"/>
      <c r="CD34" s="725"/>
      <c r="CE34" s="725"/>
      <c r="CF34" s="720"/>
      <c r="CG34" s="720"/>
      <c r="CH34" s="720"/>
      <c r="CI34" s="720"/>
      <c r="CJ34" s="720"/>
      <c r="CK34" s="720"/>
      <c r="CL34" s="720"/>
      <c r="CM34" s="720"/>
      <c r="CN34" s="720"/>
      <c r="CO34" s="720"/>
      <c r="CP34" s="720"/>
      <c r="CQ34" s="720"/>
      <c r="CR34" s="720"/>
      <c r="CS34" s="720"/>
      <c r="CT34" s="720"/>
      <c r="CU34" s="720"/>
      <c r="CV34" s="720"/>
      <c r="CW34" s="720"/>
      <c r="CX34" s="720"/>
      <c r="CY34" s="720"/>
      <c r="CZ34" s="720"/>
      <c r="DA34" s="720"/>
      <c r="DB34" s="720"/>
      <c r="DC34" s="720"/>
      <c r="DD34" s="720"/>
      <c r="DE34" s="720"/>
      <c r="DF34" s="720"/>
      <c r="DG34" s="720"/>
      <c r="DH34" s="720"/>
      <c r="DI34" s="720"/>
      <c r="DJ34" s="720"/>
      <c r="DK34" s="720"/>
      <c r="DL34" s="720"/>
      <c r="DM34" s="720"/>
      <c r="DN34" s="720"/>
      <c r="DO34" s="720"/>
      <c r="DP34" s="720"/>
      <c r="DQ34" s="720"/>
      <c r="DR34" s="720"/>
    </row>
    <row r="35" spans="1:122" s="642" customFormat="1" ht="15.75">
      <c r="A35" s="720"/>
      <c r="B35" s="708" t="str">
        <f t="shared" si="103"/>
        <v>AIEC11</v>
      </c>
      <c r="C35" s="709">
        <f t="shared" si="104"/>
        <v>62.946666666666673</v>
      </c>
      <c r="D35" s="807">
        <f>AG86</f>
        <v>15</v>
      </c>
      <c r="E35" s="710">
        <f>AI86+C59</f>
        <v>944.2</v>
      </c>
      <c r="F35" s="720"/>
      <c r="G35" s="767" t="s">
        <v>567</v>
      </c>
      <c r="H35" s="714" t="str">
        <f>H7</f>
        <v>OURE11</v>
      </c>
      <c r="I35" s="771"/>
      <c r="J35" s="770"/>
      <c r="K35" s="771"/>
      <c r="L35" s="771"/>
      <c r="M35" s="713" t="e">
        <f t="shared" si="121"/>
        <v>#DIV/0!</v>
      </c>
      <c r="N35" s="779" t="e">
        <f t="shared" si="105"/>
        <v>#DIV/0!</v>
      </c>
      <c r="O35" s="771"/>
      <c r="P35" s="770"/>
      <c r="Q35" s="771"/>
      <c r="R35" s="771"/>
      <c r="S35" s="718" t="e">
        <f t="shared" si="122"/>
        <v>#DIV/0!</v>
      </c>
      <c r="T35" s="772" t="e">
        <f t="shared" si="106"/>
        <v>#DIV/0!</v>
      </c>
      <c r="U35" s="771"/>
      <c r="V35" s="770"/>
      <c r="W35" s="771"/>
      <c r="X35" s="771"/>
      <c r="Y35" s="713" t="e">
        <f t="shared" si="123"/>
        <v>#DIV/0!</v>
      </c>
      <c r="Z35" s="779" t="e">
        <f t="shared" si="107"/>
        <v>#DIV/0!</v>
      </c>
      <c r="AA35" s="771"/>
      <c r="AB35" s="770"/>
      <c r="AC35" s="771"/>
      <c r="AD35" s="771"/>
      <c r="AE35" s="718" t="e">
        <f t="shared" si="124"/>
        <v>#DIV/0!</v>
      </c>
      <c r="AF35" s="772" t="e">
        <f t="shared" si="108"/>
        <v>#DIV/0!</v>
      </c>
      <c r="AG35" s="771"/>
      <c r="AH35" s="770"/>
      <c r="AI35" s="771"/>
      <c r="AJ35" s="771"/>
      <c r="AK35" s="713" t="e">
        <f t="shared" si="125"/>
        <v>#DIV/0!</v>
      </c>
      <c r="AL35" s="779" t="e">
        <f t="shared" si="109"/>
        <v>#DIV/0!</v>
      </c>
      <c r="AM35" s="771"/>
      <c r="AN35" s="770"/>
      <c r="AO35" s="771"/>
      <c r="AP35" s="771"/>
      <c r="AQ35" s="718" t="e">
        <f t="shared" si="126"/>
        <v>#DIV/0!</v>
      </c>
      <c r="AR35" s="772" t="e">
        <f t="shared" si="110"/>
        <v>#DIV/0!</v>
      </c>
      <c r="AS35" s="771"/>
      <c r="AT35" s="770"/>
      <c r="AU35" s="771"/>
      <c r="AV35" s="771"/>
      <c r="AW35" s="713" t="e">
        <f t="shared" si="127"/>
        <v>#DIV/0!</v>
      </c>
      <c r="AX35" s="779" t="e">
        <f t="shared" si="111"/>
        <v>#DIV/0!</v>
      </c>
      <c r="AY35" s="771">
        <v>92.31</v>
      </c>
      <c r="AZ35" s="770">
        <v>0.1472</v>
      </c>
      <c r="BA35" s="771">
        <v>84.66</v>
      </c>
      <c r="BB35" s="771">
        <v>0.8</v>
      </c>
      <c r="BC35" s="718">
        <f t="shared" si="128"/>
        <v>9.4495629577132072E-3</v>
      </c>
      <c r="BD35" s="772">
        <f t="shared" si="112"/>
        <v>0.91712707182320441</v>
      </c>
      <c r="BE35" s="771">
        <v>92.35</v>
      </c>
      <c r="BF35" s="770">
        <v>0.14610000000000001</v>
      </c>
      <c r="BG35" s="771">
        <v>82.16</v>
      </c>
      <c r="BH35" s="771">
        <v>0.8</v>
      </c>
      <c r="BI35" s="713">
        <f t="shared" si="113"/>
        <v>9.7370983446932822E-3</v>
      </c>
      <c r="BJ35" s="779">
        <f t="shared" si="114"/>
        <v>0.88965890633459666</v>
      </c>
      <c r="BK35" s="771"/>
      <c r="BL35" s="770"/>
      <c r="BM35" s="771"/>
      <c r="BN35" s="771"/>
      <c r="BO35" s="718" t="e">
        <f t="shared" si="115"/>
        <v>#DIV/0!</v>
      </c>
      <c r="BP35" s="772" t="e">
        <f t="shared" si="116"/>
        <v>#DIV/0!</v>
      </c>
      <c r="BQ35" s="771"/>
      <c r="BR35" s="770"/>
      <c r="BS35" s="771"/>
      <c r="BT35" s="771"/>
      <c r="BU35" s="713" t="e">
        <f t="shared" si="129"/>
        <v>#DIV/0!</v>
      </c>
      <c r="BV35" s="779" t="e">
        <f t="shared" si="118"/>
        <v>#DIV/0!</v>
      </c>
      <c r="BW35" s="771"/>
      <c r="BX35" s="770"/>
      <c r="BY35" s="771"/>
      <c r="BZ35" s="771"/>
      <c r="CA35" s="718" t="e">
        <f t="shared" si="130"/>
        <v>#DIV/0!</v>
      </c>
      <c r="CB35" s="772" t="e">
        <f t="shared" si="120"/>
        <v>#DIV/0!</v>
      </c>
      <c r="CC35" s="725"/>
      <c r="CD35" s="725"/>
      <c r="CE35" s="725"/>
      <c r="CF35" s="720"/>
      <c r="CG35" s="720"/>
      <c r="CH35" s="720"/>
      <c r="CI35" s="720"/>
      <c r="CJ35" s="720"/>
      <c r="CK35" s="720"/>
      <c r="CL35" s="720"/>
      <c r="CM35" s="720"/>
      <c r="CN35" s="720"/>
      <c r="CO35" s="720"/>
      <c r="CP35" s="720"/>
      <c r="CQ35" s="720"/>
      <c r="CR35" s="720"/>
      <c r="CS35" s="720"/>
      <c r="CT35" s="720"/>
      <c r="CU35" s="720"/>
      <c r="CV35" s="720"/>
      <c r="CW35" s="720"/>
      <c r="CX35" s="720"/>
      <c r="CY35" s="720"/>
      <c r="CZ35" s="720"/>
      <c r="DA35" s="720"/>
      <c r="DB35" s="720"/>
      <c r="DC35" s="720"/>
      <c r="DD35" s="720"/>
      <c r="DE35" s="720"/>
      <c r="DF35" s="720"/>
      <c r="DG35" s="720"/>
      <c r="DH35" s="720"/>
      <c r="DI35" s="720"/>
      <c r="DJ35" s="720"/>
      <c r="DK35" s="720"/>
      <c r="DL35" s="720"/>
      <c r="DM35" s="720"/>
      <c r="DN35" s="720"/>
      <c r="DO35" s="720"/>
      <c r="DP35" s="720"/>
      <c r="DQ35" s="720"/>
      <c r="DR35" s="720"/>
    </row>
    <row r="36" spans="1:122" s="642" customFormat="1" ht="15.75">
      <c r="A36" s="720"/>
      <c r="B36" s="708" t="str">
        <f t="shared" si="103"/>
        <v>RZAK11</v>
      </c>
      <c r="C36" s="709">
        <f t="shared" si="104"/>
        <v>94.008666666666642</v>
      </c>
      <c r="D36" s="807">
        <f>M105</f>
        <v>30</v>
      </c>
      <c r="E36" s="710">
        <f>O105+C60</f>
        <v>2820.2599999999993</v>
      </c>
      <c r="F36" s="720"/>
      <c r="G36" s="767" t="s">
        <v>508</v>
      </c>
      <c r="H36" s="714" t="str">
        <f>H8</f>
        <v>AIEC11</v>
      </c>
      <c r="I36" s="771"/>
      <c r="J36" s="770"/>
      <c r="K36" s="771"/>
      <c r="L36" s="771"/>
      <c r="M36" s="713" t="e">
        <f t="shared" si="121"/>
        <v>#DIV/0!</v>
      </c>
      <c r="N36" s="779" t="e">
        <f t="shared" si="105"/>
        <v>#DIV/0!</v>
      </c>
      <c r="O36" s="771"/>
      <c r="P36" s="770"/>
      <c r="Q36" s="771"/>
      <c r="R36" s="771"/>
      <c r="S36" s="718" t="e">
        <f t="shared" si="122"/>
        <v>#DIV/0!</v>
      </c>
      <c r="T36" s="772" t="e">
        <f t="shared" si="106"/>
        <v>#DIV/0!</v>
      </c>
      <c r="U36" s="771"/>
      <c r="V36" s="770"/>
      <c r="W36" s="771"/>
      <c r="X36" s="771"/>
      <c r="Y36" s="713" t="e">
        <f t="shared" si="123"/>
        <v>#DIV/0!</v>
      </c>
      <c r="Z36" s="779" t="e">
        <f t="shared" si="107"/>
        <v>#DIV/0!</v>
      </c>
      <c r="AA36" s="771"/>
      <c r="AB36" s="770"/>
      <c r="AC36" s="771"/>
      <c r="AD36" s="771"/>
      <c r="AE36" s="718" t="e">
        <f t="shared" si="124"/>
        <v>#DIV/0!</v>
      </c>
      <c r="AF36" s="772" t="e">
        <f t="shared" si="108"/>
        <v>#DIV/0!</v>
      </c>
      <c r="AG36" s="771"/>
      <c r="AH36" s="770"/>
      <c r="AI36" s="771"/>
      <c r="AJ36" s="771"/>
      <c r="AK36" s="713" t="e">
        <f t="shared" si="125"/>
        <v>#DIV/0!</v>
      </c>
      <c r="AL36" s="779" t="e">
        <f t="shared" si="109"/>
        <v>#DIV/0!</v>
      </c>
      <c r="AM36" s="771"/>
      <c r="AN36" s="770"/>
      <c r="AO36" s="771"/>
      <c r="AP36" s="771"/>
      <c r="AQ36" s="718" t="e">
        <f t="shared" si="126"/>
        <v>#DIV/0!</v>
      </c>
      <c r="AR36" s="772" t="e">
        <f t="shared" si="110"/>
        <v>#DIV/0!</v>
      </c>
      <c r="AS36" s="771"/>
      <c r="AT36" s="770"/>
      <c r="AU36" s="771"/>
      <c r="AV36" s="771"/>
      <c r="AW36" s="713" t="e">
        <f t="shared" si="127"/>
        <v>#DIV/0!</v>
      </c>
      <c r="AX36" s="779" t="e">
        <f t="shared" si="111"/>
        <v>#DIV/0!</v>
      </c>
      <c r="AY36" s="771">
        <v>94.61</v>
      </c>
      <c r="AZ36" s="770">
        <v>0.12859999999999999</v>
      </c>
      <c r="BA36" s="771">
        <v>71.569999999999993</v>
      </c>
      <c r="BB36" s="771">
        <v>0.76</v>
      </c>
      <c r="BC36" s="718">
        <f t="shared" si="128"/>
        <v>1.0618974430627358E-2</v>
      </c>
      <c r="BD36" s="772">
        <f t="shared" si="112"/>
        <v>0.75647394567170478</v>
      </c>
      <c r="BE36" s="771">
        <v>94.7</v>
      </c>
      <c r="BF36" s="770">
        <v>0.13750000000000001</v>
      </c>
      <c r="BG36" s="771">
        <v>68.17</v>
      </c>
      <c r="BH36" s="771">
        <v>0.76</v>
      </c>
      <c r="BI36" s="713">
        <f t="shared" si="113"/>
        <v>1.1148599090509021E-2</v>
      </c>
      <c r="BJ36" s="779">
        <f t="shared" si="114"/>
        <v>0.71985216473072866</v>
      </c>
      <c r="BK36" s="771">
        <v>94.79</v>
      </c>
      <c r="BL36" s="770">
        <v>0.13869999999999999</v>
      </c>
      <c r="BM36" s="771">
        <v>65.78</v>
      </c>
      <c r="BN36" s="771">
        <v>0.76</v>
      </c>
      <c r="BO36" s="718">
        <f t="shared" si="115"/>
        <v>1.155366372757677E-2</v>
      </c>
      <c r="BP36" s="772">
        <f t="shared" si="116"/>
        <v>0.69395505855048001</v>
      </c>
      <c r="BQ36" s="771"/>
      <c r="BR36" s="770"/>
      <c r="BS36" s="771"/>
      <c r="BT36" s="771"/>
      <c r="BU36" s="713" t="e">
        <f t="shared" si="129"/>
        <v>#DIV/0!</v>
      </c>
      <c r="BV36" s="779" t="e">
        <f t="shared" si="118"/>
        <v>#DIV/0!</v>
      </c>
      <c r="BW36" s="771"/>
      <c r="BX36" s="770"/>
      <c r="BY36" s="771"/>
      <c r="BZ36" s="771"/>
      <c r="CA36" s="718" t="e">
        <f t="shared" si="130"/>
        <v>#DIV/0!</v>
      </c>
      <c r="CB36" s="772" t="e">
        <f t="shared" si="120"/>
        <v>#DIV/0!</v>
      </c>
      <c r="CC36" s="725"/>
      <c r="CD36" s="725"/>
      <c r="CE36" s="725"/>
      <c r="CF36" s="720"/>
      <c r="CG36" s="720"/>
      <c r="CH36" s="720"/>
      <c r="CI36" s="720"/>
      <c r="CJ36" s="720"/>
      <c r="CK36" s="720"/>
      <c r="CL36" s="720"/>
      <c r="CM36" s="720"/>
      <c r="CN36" s="720"/>
      <c r="CO36" s="720"/>
      <c r="CP36" s="720"/>
      <c r="CQ36" s="720"/>
      <c r="CR36" s="720"/>
      <c r="CS36" s="720"/>
      <c r="CT36" s="720"/>
      <c r="CU36" s="720"/>
      <c r="CV36" s="720"/>
      <c r="CW36" s="720"/>
      <c r="CX36" s="720"/>
      <c r="CY36" s="720"/>
      <c r="CZ36" s="720"/>
      <c r="DA36" s="720"/>
      <c r="DB36" s="720"/>
      <c r="DC36" s="720"/>
      <c r="DD36" s="720"/>
      <c r="DE36" s="720"/>
      <c r="DF36" s="720"/>
      <c r="DG36" s="720"/>
      <c r="DH36" s="720"/>
      <c r="DI36" s="720"/>
      <c r="DJ36" s="720"/>
      <c r="DK36" s="720"/>
      <c r="DL36" s="720"/>
      <c r="DM36" s="720"/>
      <c r="DN36" s="720"/>
      <c r="DO36" s="720"/>
      <c r="DP36" s="720"/>
      <c r="DQ36" s="720"/>
      <c r="DR36" s="720"/>
    </row>
    <row r="37" spans="1:122" s="642" customFormat="1" ht="15.75">
      <c r="A37" s="720"/>
      <c r="B37" s="708" t="str">
        <f t="shared" si="103"/>
        <v>VGHF11</v>
      </c>
      <c r="C37" s="709">
        <f t="shared" si="104"/>
        <v>9.4091666666666658</v>
      </c>
      <c r="D37" s="807">
        <f>R105</f>
        <v>24</v>
      </c>
      <c r="E37" s="710">
        <f>T105+C61</f>
        <v>225.82</v>
      </c>
      <c r="F37" s="720"/>
      <c r="G37" s="767" t="s">
        <v>504</v>
      </c>
      <c r="H37" s="714" t="str">
        <f>H10</f>
        <v>RZAK11</v>
      </c>
      <c r="I37" s="771"/>
      <c r="J37" s="770"/>
      <c r="K37" s="771"/>
      <c r="L37" s="771"/>
      <c r="M37" s="713" t="e">
        <f t="shared" si="121"/>
        <v>#DIV/0!</v>
      </c>
      <c r="N37" s="779" t="e">
        <f t="shared" si="105"/>
        <v>#DIV/0!</v>
      </c>
      <c r="O37" s="771"/>
      <c r="P37" s="770"/>
      <c r="Q37" s="771"/>
      <c r="R37" s="771"/>
      <c r="S37" s="718" t="e">
        <f t="shared" si="122"/>
        <v>#DIV/0!</v>
      </c>
      <c r="T37" s="772" t="e">
        <f t="shared" si="106"/>
        <v>#DIV/0!</v>
      </c>
      <c r="U37" s="771"/>
      <c r="V37" s="770"/>
      <c r="W37" s="771"/>
      <c r="X37" s="771"/>
      <c r="Y37" s="713" t="e">
        <f t="shared" si="123"/>
        <v>#DIV/0!</v>
      </c>
      <c r="Z37" s="779" t="e">
        <f t="shared" si="107"/>
        <v>#DIV/0!</v>
      </c>
      <c r="AA37" s="771"/>
      <c r="AB37" s="770"/>
      <c r="AC37" s="771"/>
      <c r="AD37" s="771"/>
      <c r="AE37" s="718" t="e">
        <f t="shared" si="124"/>
        <v>#DIV/0!</v>
      </c>
      <c r="AF37" s="772" t="e">
        <f t="shared" si="108"/>
        <v>#DIV/0!</v>
      </c>
      <c r="AG37" s="771"/>
      <c r="AH37" s="770"/>
      <c r="AI37" s="771"/>
      <c r="AJ37" s="771"/>
      <c r="AK37" s="713" t="e">
        <f t="shared" si="125"/>
        <v>#DIV/0!</v>
      </c>
      <c r="AL37" s="779" t="e">
        <f t="shared" si="109"/>
        <v>#DIV/0!</v>
      </c>
      <c r="AM37" s="771"/>
      <c r="AN37" s="770"/>
      <c r="AO37" s="771"/>
      <c r="AP37" s="771"/>
      <c r="AQ37" s="718" t="e">
        <f t="shared" si="126"/>
        <v>#DIV/0!</v>
      </c>
      <c r="AR37" s="772" t="e">
        <f t="shared" si="110"/>
        <v>#DIV/0!</v>
      </c>
      <c r="AS37" s="771"/>
      <c r="AT37" s="770"/>
      <c r="AU37" s="771"/>
      <c r="AV37" s="771"/>
      <c r="AW37" s="713" t="e">
        <f t="shared" si="127"/>
        <v>#DIV/0!</v>
      </c>
      <c r="AX37" s="779" t="e">
        <f t="shared" si="111"/>
        <v>#DIV/0!</v>
      </c>
      <c r="AY37" s="771">
        <v>93.26</v>
      </c>
      <c r="AZ37" s="770">
        <v>0.17199999999999999</v>
      </c>
      <c r="BA37" s="771">
        <v>93.38</v>
      </c>
      <c r="BB37" s="771">
        <v>1.1599999999999999</v>
      </c>
      <c r="BC37" s="718">
        <f t="shared" si="128"/>
        <v>1.2422360248447204E-2</v>
      </c>
      <c r="BD37" s="772">
        <f t="shared" si="112"/>
        <v>1.0012867252841517</v>
      </c>
      <c r="BE37" s="771">
        <v>93.05</v>
      </c>
      <c r="BF37" s="770">
        <v>0.16569999999999999</v>
      </c>
      <c r="BG37" s="771">
        <v>95</v>
      </c>
      <c r="BH37" s="771">
        <v>1.1599999999999999</v>
      </c>
      <c r="BI37" s="713">
        <f t="shared" si="113"/>
        <v>1.2210526315789472E-2</v>
      </c>
      <c r="BJ37" s="779">
        <f t="shared" si="114"/>
        <v>1.0209564750134337</v>
      </c>
      <c r="BK37" s="771"/>
      <c r="BL37" s="770"/>
      <c r="BM37" s="771"/>
      <c r="BN37" s="771"/>
      <c r="BO37" s="718" t="e">
        <f t="shared" si="115"/>
        <v>#DIV/0!</v>
      </c>
      <c r="BP37" s="772" t="e">
        <f t="shared" si="116"/>
        <v>#DIV/0!</v>
      </c>
      <c r="BQ37" s="771"/>
      <c r="BR37" s="770"/>
      <c r="BS37" s="771"/>
      <c r="BT37" s="771"/>
      <c r="BU37" s="713" t="e">
        <f t="shared" si="129"/>
        <v>#DIV/0!</v>
      </c>
      <c r="BV37" s="779" t="e">
        <f t="shared" si="118"/>
        <v>#DIV/0!</v>
      </c>
      <c r="BW37" s="771"/>
      <c r="BX37" s="770"/>
      <c r="BY37" s="771"/>
      <c r="BZ37" s="771"/>
      <c r="CA37" s="718" t="e">
        <f t="shared" si="130"/>
        <v>#DIV/0!</v>
      </c>
      <c r="CB37" s="772" t="e">
        <f t="shared" si="120"/>
        <v>#DIV/0!</v>
      </c>
      <c r="CC37" s="725"/>
      <c r="CD37" s="725"/>
      <c r="CE37" s="725"/>
      <c r="CF37" s="720"/>
      <c r="CG37" s="720"/>
      <c r="CH37" s="720"/>
      <c r="CI37" s="720"/>
      <c r="CJ37" s="720"/>
      <c r="CK37" s="720"/>
      <c r="CL37" s="720"/>
      <c r="CM37" s="720"/>
      <c r="CN37" s="720"/>
      <c r="CO37" s="720"/>
      <c r="CP37" s="720"/>
      <c r="CQ37" s="720"/>
      <c r="CR37" s="720"/>
      <c r="CS37" s="720"/>
      <c r="CT37" s="720"/>
      <c r="CU37" s="720"/>
      <c r="CV37" s="720"/>
      <c r="CW37" s="720"/>
      <c r="CX37" s="720"/>
      <c r="CY37" s="720"/>
      <c r="CZ37" s="720"/>
      <c r="DA37" s="720"/>
      <c r="DB37" s="720"/>
      <c r="DC37" s="720"/>
      <c r="DD37" s="720"/>
      <c r="DE37" s="720"/>
      <c r="DF37" s="720"/>
      <c r="DG37" s="720"/>
      <c r="DH37" s="720"/>
      <c r="DI37" s="720"/>
      <c r="DJ37" s="720"/>
      <c r="DK37" s="720"/>
      <c r="DL37" s="720"/>
      <c r="DM37" s="720"/>
      <c r="DN37" s="720"/>
      <c r="DO37" s="720"/>
      <c r="DP37" s="720"/>
      <c r="DQ37" s="720"/>
      <c r="DR37" s="720"/>
    </row>
    <row r="38" spans="1:122" s="642" customFormat="1" ht="15.75">
      <c r="A38" s="720"/>
      <c r="B38" s="708" t="str">
        <f t="shared" si="103"/>
        <v>URPR11</v>
      </c>
      <c r="C38" s="709">
        <f t="shared" si="104"/>
        <v>94.837000000000003</v>
      </c>
      <c r="D38" s="807">
        <f>W105</f>
        <v>20</v>
      </c>
      <c r="E38" s="710">
        <f>Y105+C62</f>
        <v>1896.74</v>
      </c>
      <c r="F38" s="720"/>
      <c r="G38" s="767" t="s">
        <v>505</v>
      </c>
      <c r="H38" s="714" t="str">
        <f>H11</f>
        <v>VGHF11</v>
      </c>
      <c r="I38" s="771"/>
      <c r="J38" s="770"/>
      <c r="K38" s="771"/>
      <c r="L38" s="771"/>
      <c r="M38" s="713" t="e">
        <f t="shared" si="121"/>
        <v>#DIV/0!</v>
      </c>
      <c r="N38" s="779" t="e">
        <f t="shared" si="105"/>
        <v>#DIV/0!</v>
      </c>
      <c r="O38" s="771"/>
      <c r="P38" s="770"/>
      <c r="Q38" s="771"/>
      <c r="R38" s="771"/>
      <c r="S38" s="718" t="e">
        <f t="shared" si="122"/>
        <v>#DIV/0!</v>
      </c>
      <c r="T38" s="772" t="e">
        <f t="shared" si="106"/>
        <v>#DIV/0!</v>
      </c>
      <c r="U38" s="771"/>
      <c r="V38" s="770"/>
      <c r="W38" s="771"/>
      <c r="X38" s="771"/>
      <c r="Y38" s="713" t="e">
        <f t="shared" si="123"/>
        <v>#DIV/0!</v>
      </c>
      <c r="Z38" s="779" t="e">
        <f t="shared" si="107"/>
        <v>#DIV/0!</v>
      </c>
      <c r="AA38" s="771"/>
      <c r="AB38" s="770"/>
      <c r="AC38" s="771"/>
      <c r="AD38" s="771"/>
      <c r="AE38" s="718" t="e">
        <f t="shared" si="124"/>
        <v>#DIV/0!</v>
      </c>
      <c r="AF38" s="772" t="e">
        <f t="shared" si="108"/>
        <v>#DIV/0!</v>
      </c>
      <c r="AG38" s="771"/>
      <c r="AH38" s="770"/>
      <c r="AI38" s="771"/>
      <c r="AJ38" s="771"/>
      <c r="AK38" s="713" t="e">
        <f t="shared" si="125"/>
        <v>#DIV/0!</v>
      </c>
      <c r="AL38" s="779" t="e">
        <f t="shared" si="109"/>
        <v>#DIV/0!</v>
      </c>
      <c r="AM38" s="771"/>
      <c r="AN38" s="770"/>
      <c r="AO38" s="771"/>
      <c r="AP38" s="771"/>
      <c r="AQ38" s="718" t="e">
        <f t="shared" si="126"/>
        <v>#DIV/0!</v>
      </c>
      <c r="AR38" s="772" t="e">
        <f t="shared" si="110"/>
        <v>#DIV/0!</v>
      </c>
      <c r="AS38" s="771"/>
      <c r="AT38" s="770"/>
      <c r="AU38" s="771"/>
      <c r="AV38" s="771"/>
      <c r="AW38" s="713" t="e">
        <f t="shared" si="127"/>
        <v>#DIV/0!</v>
      </c>
      <c r="AX38" s="779" t="e">
        <f t="shared" si="111"/>
        <v>#DIV/0!</v>
      </c>
      <c r="AY38" s="771">
        <v>9.43</v>
      </c>
      <c r="AZ38" s="770">
        <v>0.13320000000000001</v>
      </c>
      <c r="BA38" s="771">
        <v>9.68</v>
      </c>
      <c r="BB38" s="771">
        <v>0.12</v>
      </c>
      <c r="BC38" s="718">
        <f t="shared" si="128"/>
        <v>1.2396694214876033E-2</v>
      </c>
      <c r="BD38" s="772">
        <f t="shared" si="112"/>
        <v>1.0265111346765641</v>
      </c>
      <c r="BE38" s="771">
        <v>9.42</v>
      </c>
      <c r="BF38" s="770">
        <v>0.13220000000000001</v>
      </c>
      <c r="BG38" s="771">
        <v>9.6300000000000008</v>
      </c>
      <c r="BH38" s="771">
        <v>0.12</v>
      </c>
      <c r="BI38" s="713">
        <f t="shared" si="113"/>
        <v>1.2461059190031151E-2</v>
      </c>
      <c r="BJ38" s="779">
        <f t="shared" si="114"/>
        <v>1.0222929936305734</v>
      </c>
      <c r="BK38" s="771">
        <v>9.36</v>
      </c>
      <c r="BL38" s="770">
        <v>0.1305</v>
      </c>
      <c r="BM38" s="771">
        <v>9.74</v>
      </c>
      <c r="BN38" s="771">
        <v>0.1</v>
      </c>
      <c r="BO38" s="718">
        <f t="shared" si="115"/>
        <v>1.0266940451745379E-2</v>
      </c>
      <c r="BP38" s="772">
        <f t="shared" si="116"/>
        <v>1.0405982905982907</v>
      </c>
      <c r="BQ38" s="771"/>
      <c r="BR38" s="770"/>
      <c r="BS38" s="771"/>
      <c r="BT38" s="771"/>
      <c r="BU38" s="713" t="e">
        <f t="shared" si="129"/>
        <v>#DIV/0!</v>
      </c>
      <c r="BV38" s="779" t="e">
        <f t="shared" si="118"/>
        <v>#DIV/0!</v>
      </c>
      <c r="BW38" s="771"/>
      <c r="BX38" s="770"/>
      <c r="BY38" s="771"/>
      <c r="BZ38" s="771"/>
      <c r="CA38" s="718" t="e">
        <f t="shared" si="130"/>
        <v>#DIV/0!</v>
      </c>
      <c r="CB38" s="772" t="e">
        <f t="shared" si="120"/>
        <v>#DIV/0!</v>
      </c>
      <c r="CC38" s="725"/>
      <c r="CD38" s="725"/>
      <c r="CE38" s="725"/>
      <c r="CF38" s="720"/>
      <c r="CG38" s="720"/>
      <c r="CH38" s="720"/>
      <c r="CI38" s="720"/>
      <c r="CJ38" s="720"/>
      <c r="CK38" s="720"/>
      <c r="CL38" s="720"/>
      <c r="CM38" s="720"/>
      <c r="CN38" s="720"/>
      <c r="CO38" s="720"/>
      <c r="CP38" s="720"/>
      <c r="CQ38" s="720"/>
      <c r="CR38" s="720"/>
      <c r="CS38" s="720"/>
      <c r="CT38" s="720"/>
      <c r="CU38" s="720"/>
      <c r="CV38" s="720"/>
      <c r="CW38" s="720"/>
      <c r="CX38" s="720"/>
      <c r="CY38" s="720"/>
      <c r="CZ38" s="720"/>
      <c r="DA38" s="720"/>
      <c r="DB38" s="720"/>
      <c r="DC38" s="720"/>
      <c r="DD38" s="720"/>
      <c r="DE38" s="720"/>
      <c r="DF38" s="720"/>
      <c r="DG38" s="720"/>
      <c r="DH38" s="720"/>
      <c r="DI38" s="720"/>
      <c r="DJ38" s="720"/>
      <c r="DK38" s="720"/>
      <c r="DL38" s="720"/>
      <c r="DM38" s="720"/>
      <c r="DN38" s="720"/>
      <c r="DO38" s="720"/>
      <c r="DP38" s="720"/>
      <c r="DQ38" s="720"/>
      <c r="DR38" s="720"/>
    </row>
    <row r="39" spans="1:122" s="642" customFormat="1" ht="15.75">
      <c r="A39" s="720"/>
      <c r="B39" s="708" t="str">
        <f t="shared" si="103"/>
        <v>XPCA11</v>
      </c>
      <c r="C39" s="709">
        <f t="shared" si="104"/>
        <v>9.7152666666666683</v>
      </c>
      <c r="D39" s="807">
        <f>AB105</f>
        <v>150</v>
      </c>
      <c r="E39" s="710">
        <f>AD105+C63</f>
        <v>1457.2900000000002</v>
      </c>
      <c r="F39" s="720"/>
      <c r="G39" s="767" t="s">
        <v>512</v>
      </c>
      <c r="H39" s="714" t="str">
        <f>H12</f>
        <v>URPR11</v>
      </c>
      <c r="I39" s="771"/>
      <c r="J39" s="770"/>
      <c r="K39" s="771"/>
      <c r="L39" s="771"/>
      <c r="M39" s="713" t="e">
        <f t="shared" si="121"/>
        <v>#DIV/0!</v>
      </c>
      <c r="N39" s="779" t="e">
        <f t="shared" si="105"/>
        <v>#DIV/0!</v>
      </c>
      <c r="O39" s="771"/>
      <c r="P39" s="770"/>
      <c r="Q39" s="771"/>
      <c r="R39" s="771"/>
      <c r="S39" s="718" t="e">
        <f t="shared" si="122"/>
        <v>#DIV/0!</v>
      </c>
      <c r="T39" s="772" t="e">
        <f t="shared" si="106"/>
        <v>#DIV/0!</v>
      </c>
      <c r="U39" s="771"/>
      <c r="V39" s="770"/>
      <c r="W39" s="771"/>
      <c r="X39" s="771"/>
      <c r="Y39" s="713" t="e">
        <f t="shared" si="123"/>
        <v>#DIV/0!</v>
      </c>
      <c r="Z39" s="779" t="e">
        <f t="shared" si="107"/>
        <v>#DIV/0!</v>
      </c>
      <c r="AA39" s="771"/>
      <c r="AB39" s="770"/>
      <c r="AC39" s="771"/>
      <c r="AD39" s="771"/>
      <c r="AE39" s="718" t="e">
        <f t="shared" si="124"/>
        <v>#DIV/0!</v>
      </c>
      <c r="AF39" s="772" t="e">
        <f t="shared" si="108"/>
        <v>#DIV/0!</v>
      </c>
      <c r="AG39" s="771"/>
      <c r="AH39" s="770"/>
      <c r="AI39" s="771"/>
      <c r="AJ39" s="771"/>
      <c r="AK39" s="713" t="e">
        <f t="shared" si="125"/>
        <v>#DIV/0!</v>
      </c>
      <c r="AL39" s="779" t="e">
        <f t="shared" si="109"/>
        <v>#DIV/0!</v>
      </c>
      <c r="AM39" s="771"/>
      <c r="AN39" s="770"/>
      <c r="AO39" s="771"/>
      <c r="AP39" s="771"/>
      <c r="AQ39" s="718" t="e">
        <f t="shared" si="126"/>
        <v>#DIV/0!</v>
      </c>
      <c r="AR39" s="772" t="e">
        <f t="shared" si="110"/>
        <v>#DIV/0!</v>
      </c>
      <c r="AS39" s="771"/>
      <c r="AT39" s="770"/>
      <c r="AU39" s="771"/>
      <c r="AV39" s="771"/>
      <c r="AW39" s="713" t="e">
        <f t="shared" si="127"/>
        <v>#DIV/0!</v>
      </c>
      <c r="AX39" s="779" t="e">
        <f t="shared" si="111"/>
        <v>#DIV/0!</v>
      </c>
      <c r="AY39" s="771">
        <v>100.15</v>
      </c>
      <c r="AZ39" s="770">
        <v>0.1575</v>
      </c>
      <c r="BA39" s="771">
        <v>100.73</v>
      </c>
      <c r="BB39" s="771">
        <v>1.1299999999999999</v>
      </c>
      <c r="BC39" s="718">
        <f t="shared" si="128"/>
        <v>1.1218107812965351E-2</v>
      </c>
      <c r="BD39" s="772">
        <f t="shared" si="112"/>
        <v>1.0057913130304543</v>
      </c>
      <c r="BE39" s="771">
        <v>100.03</v>
      </c>
      <c r="BF39" s="770">
        <v>0.15509999999999999</v>
      </c>
      <c r="BG39" s="771">
        <v>97.65</v>
      </c>
      <c r="BH39" s="771">
        <v>1.1599999999999999</v>
      </c>
      <c r="BI39" s="713">
        <f t="shared" si="113"/>
        <v>1.1879160266257039E-2</v>
      </c>
      <c r="BJ39" s="779">
        <f t="shared" si="114"/>
        <v>0.97620713785864244</v>
      </c>
      <c r="BK39" s="771">
        <v>101.98</v>
      </c>
      <c r="BL39" s="770">
        <v>0.15770000000000001</v>
      </c>
      <c r="BM39" s="771">
        <v>93.5</v>
      </c>
      <c r="BN39" s="771">
        <v>1.17</v>
      </c>
      <c r="BO39" s="718">
        <f t="shared" si="115"/>
        <v>1.2513368983957218E-2</v>
      </c>
      <c r="BP39" s="772">
        <f t="shared" si="116"/>
        <v>0.91684644047852515</v>
      </c>
      <c r="BQ39" s="771"/>
      <c r="BR39" s="770"/>
      <c r="BS39" s="771"/>
      <c r="BT39" s="771"/>
      <c r="BU39" s="713" t="e">
        <f t="shared" si="129"/>
        <v>#DIV/0!</v>
      </c>
      <c r="BV39" s="779" t="e">
        <f t="shared" si="118"/>
        <v>#DIV/0!</v>
      </c>
      <c r="BW39" s="771"/>
      <c r="BX39" s="770"/>
      <c r="BY39" s="771"/>
      <c r="BZ39" s="771"/>
      <c r="CA39" s="718" t="e">
        <f t="shared" si="130"/>
        <v>#DIV/0!</v>
      </c>
      <c r="CB39" s="772" t="e">
        <f t="shared" si="120"/>
        <v>#DIV/0!</v>
      </c>
      <c r="CC39" s="725"/>
      <c r="CD39" s="725"/>
      <c r="CE39" s="725"/>
      <c r="CF39" s="720"/>
      <c r="CG39" s="720"/>
      <c r="CH39" s="720"/>
      <c r="CI39" s="720"/>
      <c r="CJ39" s="720"/>
      <c r="CK39" s="720"/>
      <c r="CL39" s="720"/>
      <c r="CM39" s="720"/>
      <c r="CN39" s="720"/>
      <c r="CO39" s="720"/>
      <c r="CP39" s="720"/>
      <c r="CQ39" s="720"/>
      <c r="CR39" s="720"/>
      <c r="CS39" s="720"/>
      <c r="CT39" s="720"/>
      <c r="CU39" s="720"/>
      <c r="CV39" s="720"/>
      <c r="CW39" s="720"/>
      <c r="CX39" s="720"/>
      <c r="CY39" s="720"/>
      <c r="CZ39" s="720"/>
      <c r="DA39" s="720"/>
      <c r="DB39" s="720"/>
      <c r="DC39" s="720"/>
      <c r="DD39" s="720"/>
      <c r="DE39" s="720"/>
      <c r="DF39" s="720"/>
      <c r="DG39" s="720"/>
      <c r="DH39" s="720"/>
      <c r="DI39" s="720"/>
      <c r="DJ39" s="720"/>
      <c r="DK39" s="720"/>
      <c r="DL39" s="720"/>
      <c r="DM39" s="720"/>
      <c r="DN39" s="720"/>
      <c r="DO39" s="720"/>
      <c r="DP39" s="720"/>
      <c r="DQ39" s="720"/>
      <c r="DR39" s="720"/>
    </row>
    <row r="40" spans="1:122" s="642" customFormat="1" ht="15.75">
      <c r="A40" s="720"/>
      <c r="B40" s="708" t="str">
        <f t="shared" si="103"/>
        <v>VGIA11</v>
      </c>
      <c r="C40" s="709">
        <f>E40/D40</f>
        <v>9.4082165605095529</v>
      </c>
      <c r="D40" s="807">
        <f>AG105</f>
        <v>157</v>
      </c>
      <c r="E40" s="710">
        <f>AI105+C64</f>
        <v>1477.09</v>
      </c>
      <c r="F40" s="720"/>
      <c r="G40" s="767" t="s">
        <v>510</v>
      </c>
      <c r="H40" s="714" t="str">
        <f>H13</f>
        <v>XPCA11</v>
      </c>
      <c r="I40" s="771"/>
      <c r="J40" s="770"/>
      <c r="K40" s="771"/>
      <c r="L40" s="771"/>
      <c r="M40" s="713" t="e">
        <f t="shared" si="121"/>
        <v>#DIV/0!</v>
      </c>
      <c r="N40" s="779" t="e">
        <f t="shared" si="105"/>
        <v>#DIV/0!</v>
      </c>
      <c r="O40" s="771"/>
      <c r="P40" s="770"/>
      <c r="Q40" s="771"/>
      <c r="R40" s="771"/>
      <c r="S40" s="718" t="e">
        <f t="shared" si="122"/>
        <v>#DIV/0!</v>
      </c>
      <c r="T40" s="772" t="e">
        <f t="shared" si="106"/>
        <v>#DIV/0!</v>
      </c>
      <c r="U40" s="771"/>
      <c r="V40" s="770"/>
      <c r="W40" s="771"/>
      <c r="X40" s="771"/>
      <c r="Y40" s="713" t="e">
        <f t="shared" si="123"/>
        <v>#DIV/0!</v>
      </c>
      <c r="Z40" s="779" t="e">
        <f t="shared" si="107"/>
        <v>#DIV/0!</v>
      </c>
      <c r="AA40" s="771"/>
      <c r="AB40" s="770"/>
      <c r="AC40" s="771"/>
      <c r="AD40" s="771"/>
      <c r="AE40" s="718" t="e">
        <f t="shared" si="124"/>
        <v>#DIV/0!</v>
      </c>
      <c r="AF40" s="772" t="e">
        <f t="shared" si="108"/>
        <v>#DIV/0!</v>
      </c>
      <c r="AG40" s="771"/>
      <c r="AH40" s="770"/>
      <c r="AI40" s="771"/>
      <c r="AJ40" s="771"/>
      <c r="AK40" s="713" t="e">
        <f t="shared" si="125"/>
        <v>#DIV/0!</v>
      </c>
      <c r="AL40" s="779" t="e">
        <f t="shared" si="109"/>
        <v>#DIV/0!</v>
      </c>
      <c r="AM40" s="771"/>
      <c r="AN40" s="770"/>
      <c r="AO40" s="771"/>
      <c r="AP40" s="771"/>
      <c r="AQ40" s="718" t="e">
        <f t="shared" si="126"/>
        <v>#DIV/0!</v>
      </c>
      <c r="AR40" s="772" t="e">
        <f t="shared" si="110"/>
        <v>#DIV/0!</v>
      </c>
      <c r="AS40" s="771"/>
      <c r="AT40" s="770"/>
      <c r="AU40" s="771"/>
      <c r="AV40" s="771"/>
      <c r="AW40" s="713" t="e">
        <f t="shared" si="127"/>
        <v>#DIV/0!</v>
      </c>
      <c r="AX40" s="779" t="e">
        <f t="shared" si="111"/>
        <v>#DIV/0!</v>
      </c>
      <c r="AY40" s="771">
        <v>9.49</v>
      </c>
      <c r="AZ40" s="770">
        <v>0.16550000000000001</v>
      </c>
      <c r="BA40" s="771">
        <v>9.5299999999999994</v>
      </c>
      <c r="BB40" s="771">
        <v>0.11</v>
      </c>
      <c r="BC40" s="718">
        <f t="shared" si="128"/>
        <v>1.1542497376705143E-2</v>
      </c>
      <c r="BD40" s="772">
        <f t="shared" si="112"/>
        <v>1.0042149631190727</v>
      </c>
      <c r="BE40" s="771">
        <v>9.49</v>
      </c>
      <c r="BF40" s="770">
        <v>0.16550000000000001</v>
      </c>
      <c r="BG40" s="771">
        <v>9.64</v>
      </c>
      <c r="BH40" s="771">
        <v>0.14000000000000001</v>
      </c>
      <c r="BI40" s="713">
        <f t="shared" si="113"/>
        <v>1.4522821576763486E-2</v>
      </c>
      <c r="BJ40" s="779">
        <f t="shared" si="114"/>
        <v>1.0158061116965227</v>
      </c>
      <c r="BK40" s="771">
        <v>9.49</v>
      </c>
      <c r="BL40" s="770">
        <v>0.16830000000000001</v>
      </c>
      <c r="BM40" s="771">
        <v>9.86</v>
      </c>
      <c r="BN40" s="771">
        <v>0.11</v>
      </c>
      <c r="BO40" s="718">
        <f t="shared" si="115"/>
        <v>1.1156186612576065E-2</v>
      </c>
      <c r="BP40" s="772">
        <f t="shared" si="116"/>
        <v>1.0389884088514225</v>
      </c>
      <c r="BQ40" s="771"/>
      <c r="BR40" s="770"/>
      <c r="BS40" s="771"/>
      <c r="BT40" s="771"/>
      <c r="BU40" s="713" t="e">
        <f t="shared" si="129"/>
        <v>#DIV/0!</v>
      </c>
      <c r="BV40" s="779" t="e">
        <f t="shared" si="118"/>
        <v>#DIV/0!</v>
      </c>
      <c r="BW40" s="771"/>
      <c r="BX40" s="770"/>
      <c r="BY40" s="771"/>
      <c r="BZ40" s="771"/>
      <c r="CA40" s="718" t="e">
        <f t="shared" si="130"/>
        <v>#DIV/0!</v>
      </c>
      <c r="CB40" s="772" t="e">
        <f t="shared" si="120"/>
        <v>#DIV/0!</v>
      </c>
      <c r="CC40" s="725"/>
      <c r="CD40" s="725"/>
      <c r="CE40" s="725"/>
      <c r="CF40" s="720"/>
      <c r="CG40" s="720"/>
      <c r="CH40" s="720"/>
      <c r="CI40" s="720"/>
      <c r="CJ40" s="720"/>
      <c r="CK40" s="720"/>
      <c r="CL40" s="720"/>
      <c r="CM40" s="720"/>
      <c r="CN40" s="720"/>
      <c r="CO40" s="720"/>
      <c r="CP40" s="720"/>
      <c r="CQ40" s="720"/>
      <c r="CR40" s="720"/>
      <c r="CS40" s="720"/>
      <c r="CT40" s="720"/>
      <c r="CU40" s="720"/>
      <c r="CV40" s="720"/>
      <c r="CW40" s="720"/>
      <c r="CX40" s="720"/>
      <c r="CY40" s="720"/>
      <c r="CZ40" s="720"/>
      <c r="DA40" s="720"/>
      <c r="DB40" s="720"/>
      <c r="DC40" s="720"/>
      <c r="DD40" s="720"/>
      <c r="DE40" s="720"/>
      <c r="DF40" s="720"/>
      <c r="DG40" s="720"/>
      <c r="DH40" s="720"/>
      <c r="DI40" s="720"/>
      <c r="DJ40" s="720"/>
      <c r="DK40" s="720"/>
      <c r="DL40" s="720"/>
      <c r="DM40" s="720"/>
      <c r="DN40" s="720"/>
      <c r="DO40" s="720"/>
      <c r="DP40" s="720"/>
      <c r="DQ40" s="720"/>
      <c r="DR40" s="720"/>
    </row>
    <row r="41" spans="1:122" s="642" customFormat="1" ht="15.75" customHeight="1">
      <c r="A41" s="720"/>
      <c r="B41" s="708" t="str">
        <f t="shared" si="103"/>
        <v>CPTR11</v>
      </c>
      <c r="C41" s="709">
        <f>E41/D41</f>
        <v>0</v>
      </c>
      <c r="D41" s="807">
        <f>M67</f>
        <v>1</v>
      </c>
      <c r="E41" s="710">
        <f>O67+C65</f>
        <v>0</v>
      </c>
      <c r="F41" s="720"/>
      <c r="G41" s="767" t="s">
        <v>566</v>
      </c>
      <c r="H41" s="714" t="str">
        <f>H14</f>
        <v>VGIA11</v>
      </c>
      <c r="I41" s="771"/>
      <c r="J41" s="770"/>
      <c r="K41" s="771"/>
      <c r="L41" s="771"/>
      <c r="M41" s="713" t="e">
        <f t="shared" si="121"/>
        <v>#DIV/0!</v>
      </c>
      <c r="N41" s="779" t="e">
        <f t="shared" si="105"/>
        <v>#DIV/0!</v>
      </c>
      <c r="O41" s="771"/>
      <c r="P41" s="770"/>
      <c r="Q41" s="771"/>
      <c r="R41" s="771"/>
      <c r="S41" s="718" t="e">
        <f t="shared" si="122"/>
        <v>#DIV/0!</v>
      </c>
      <c r="T41" s="772" t="e">
        <f t="shared" si="106"/>
        <v>#DIV/0!</v>
      </c>
      <c r="U41" s="771"/>
      <c r="V41" s="770"/>
      <c r="W41" s="771"/>
      <c r="X41" s="771"/>
      <c r="Y41" s="713" t="e">
        <f t="shared" si="123"/>
        <v>#DIV/0!</v>
      </c>
      <c r="Z41" s="779" t="e">
        <f t="shared" si="107"/>
        <v>#DIV/0!</v>
      </c>
      <c r="AA41" s="771"/>
      <c r="AB41" s="770"/>
      <c r="AC41" s="771"/>
      <c r="AD41" s="771"/>
      <c r="AE41" s="718" t="e">
        <f t="shared" si="124"/>
        <v>#DIV/0!</v>
      </c>
      <c r="AF41" s="772" t="e">
        <f t="shared" si="108"/>
        <v>#DIV/0!</v>
      </c>
      <c r="AG41" s="771"/>
      <c r="AH41" s="770"/>
      <c r="AI41" s="771"/>
      <c r="AJ41" s="771"/>
      <c r="AK41" s="713" t="e">
        <f t="shared" si="125"/>
        <v>#DIV/0!</v>
      </c>
      <c r="AL41" s="779" t="e">
        <f t="shared" si="109"/>
        <v>#DIV/0!</v>
      </c>
      <c r="AM41" s="771"/>
      <c r="AN41" s="770"/>
      <c r="AO41" s="771"/>
      <c r="AP41" s="771"/>
      <c r="AQ41" s="718" t="e">
        <f t="shared" si="126"/>
        <v>#DIV/0!</v>
      </c>
      <c r="AR41" s="772" t="e">
        <f t="shared" si="110"/>
        <v>#DIV/0!</v>
      </c>
      <c r="AS41" s="771"/>
      <c r="AT41" s="770"/>
      <c r="AU41" s="771"/>
      <c r="AV41" s="771"/>
      <c r="AW41" s="713" t="e">
        <f t="shared" si="127"/>
        <v>#DIV/0!</v>
      </c>
      <c r="AX41" s="779" t="e">
        <f t="shared" si="111"/>
        <v>#DIV/0!</v>
      </c>
      <c r="AY41" s="771">
        <v>9.5</v>
      </c>
      <c r="AZ41" s="770">
        <v>0.19020000000000001</v>
      </c>
      <c r="BA41" s="771">
        <v>9.68</v>
      </c>
      <c r="BB41" s="771">
        <v>0.13</v>
      </c>
      <c r="BC41" s="718">
        <f t="shared" si="128"/>
        <v>1.3429752066115703E-2</v>
      </c>
      <c r="BD41" s="772">
        <f t="shared" si="112"/>
        <v>1.0189473684210526</v>
      </c>
      <c r="BE41" s="771">
        <v>9.5</v>
      </c>
      <c r="BF41" s="770">
        <v>0.19020000000000001</v>
      </c>
      <c r="BG41" s="771">
        <v>9.5500000000000007</v>
      </c>
      <c r="BH41" s="771">
        <v>0.13</v>
      </c>
      <c r="BI41" s="713">
        <f t="shared" si="113"/>
        <v>1.3612565445026177E-2</v>
      </c>
      <c r="BJ41" s="779">
        <f t="shared" si="114"/>
        <v>1.0052631578947369</v>
      </c>
      <c r="BK41" s="771"/>
      <c r="BL41" s="770"/>
      <c r="BM41" s="771"/>
      <c r="BN41" s="771"/>
      <c r="BO41" s="718" t="e">
        <f t="shared" si="115"/>
        <v>#DIV/0!</v>
      </c>
      <c r="BP41" s="772" t="e">
        <f t="shared" si="116"/>
        <v>#DIV/0!</v>
      </c>
      <c r="BQ41" s="771"/>
      <c r="BR41" s="770"/>
      <c r="BS41" s="771"/>
      <c r="BT41" s="771"/>
      <c r="BU41" s="713" t="e">
        <f t="shared" si="129"/>
        <v>#DIV/0!</v>
      </c>
      <c r="BV41" s="779" t="e">
        <f t="shared" si="118"/>
        <v>#DIV/0!</v>
      </c>
      <c r="BW41" s="771"/>
      <c r="BX41" s="770"/>
      <c r="BY41" s="771"/>
      <c r="BZ41" s="771"/>
      <c r="CA41" s="718" t="e">
        <f t="shared" si="130"/>
        <v>#DIV/0!</v>
      </c>
      <c r="CB41" s="772" t="e">
        <f t="shared" si="120"/>
        <v>#DIV/0!</v>
      </c>
      <c r="CC41" s="725"/>
      <c r="CD41" s="725"/>
      <c r="CE41" s="725"/>
      <c r="CF41" s="720"/>
      <c r="CG41" s="720"/>
      <c r="CH41" s="720"/>
      <c r="CI41" s="720"/>
      <c r="CJ41" s="720"/>
      <c r="CK41" s="720"/>
      <c r="CL41" s="720"/>
      <c r="CM41" s="720"/>
      <c r="CN41" s="720"/>
      <c r="CO41" s="720"/>
      <c r="CP41" s="720"/>
      <c r="CQ41" s="720"/>
      <c r="CR41" s="720"/>
      <c r="CS41" s="720"/>
      <c r="CT41" s="720"/>
      <c r="CU41" s="720"/>
      <c r="CV41" s="720"/>
      <c r="CW41" s="720"/>
      <c r="CX41" s="720"/>
      <c r="CY41" s="720"/>
      <c r="CZ41" s="720"/>
      <c r="DA41" s="720"/>
      <c r="DB41" s="720"/>
      <c r="DC41" s="720"/>
      <c r="DD41" s="720"/>
      <c r="DE41" s="720"/>
      <c r="DF41" s="720"/>
      <c r="DG41" s="720"/>
      <c r="DH41" s="720"/>
      <c r="DI41" s="720"/>
      <c r="DJ41" s="720"/>
      <c r="DK41" s="720"/>
      <c r="DL41" s="720"/>
      <c r="DM41" s="720"/>
      <c r="DN41" s="720"/>
      <c r="DO41" s="720"/>
      <c r="DP41" s="720"/>
      <c r="DQ41" s="720"/>
      <c r="DR41" s="720"/>
    </row>
    <row r="42" spans="1:122" s="642" customFormat="1" ht="15.75">
      <c r="A42" s="720"/>
      <c r="B42" s="708" t="str">
        <f t="shared" si="103"/>
        <v>JPPA11</v>
      </c>
      <c r="C42" s="709">
        <f t="shared" si="104"/>
        <v>0</v>
      </c>
      <c r="D42" s="807">
        <f>R67</f>
        <v>1</v>
      </c>
      <c r="E42" s="710">
        <f>T67+C66</f>
        <v>0</v>
      </c>
      <c r="F42" s="720"/>
      <c r="G42" s="767" t="s">
        <v>638</v>
      </c>
      <c r="H42" s="715" t="str">
        <f>L53</f>
        <v>CPTR11</v>
      </c>
      <c r="I42" s="771"/>
      <c r="J42" s="770"/>
      <c r="K42" s="771"/>
      <c r="L42" s="771"/>
      <c r="M42" s="713" t="e">
        <f t="shared" si="121"/>
        <v>#DIV/0!</v>
      </c>
      <c r="N42" s="779" t="e">
        <f t="shared" si="105"/>
        <v>#DIV/0!</v>
      </c>
      <c r="O42" s="771"/>
      <c r="P42" s="770"/>
      <c r="Q42" s="771"/>
      <c r="R42" s="771"/>
      <c r="S42" s="718" t="e">
        <f t="shared" si="122"/>
        <v>#DIV/0!</v>
      </c>
      <c r="T42" s="772" t="e">
        <f t="shared" si="106"/>
        <v>#DIV/0!</v>
      </c>
      <c r="U42" s="771"/>
      <c r="V42" s="770"/>
      <c r="W42" s="771"/>
      <c r="X42" s="771"/>
      <c r="Y42" s="713" t="e">
        <f t="shared" si="123"/>
        <v>#DIV/0!</v>
      </c>
      <c r="Z42" s="779" t="e">
        <f t="shared" si="107"/>
        <v>#DIV/0!</v>
      </c>
      <c r="AA42" s="771"/>
      <c r="AB42" s="770"/>
      <c r="AC42" s="771"/>
      <c r="AD42" s="771"/>
      <c r="AE42" s="718" t="e">
        <f t="shared" si="124"/>
        <v>#DIV/0!</v>
      </c>
      <c r="AF42" s="772" t="e">
        <f t="shared" si="108"/>
        <v>#DIV/0!</v>
      </c>
      <c r="AG42" s="771"/>
      <c r="AH42" s="770"/>
      <c r="AI42" s="771"/>
      <c r="AJ42" s="771"/>
      <c r="AK42" s="713" t="e">
        <f t="shared" si="125"/>
        <v>#DIV/0!</v>
      </c>
      <c r="AL42" s="779" t="e">
        <f t="shared" si="109"/>
        <v>#DIV/0!</v>
      </c>
      <c r="AM42" s="771"/>
      <c r="AN42" s="770"/>
      <c r="AO42" s="771"/>
      <c r="AP42" s="771"/>
      <c r="AQ42" s="718" t="e">
        <f t="shared" si="126"/>
        <v>#DIV/0!</v>
      </c>
      <c r="AR42" s="772" t="e">
        <f t="shared" si="110"/>
        <v>#DIV/0!</v>
      </c>
      <c r="AS42" s="771"/>
      <c r="AT42" s="770"/>
      <c r="AU42" s="771"/>
      <c r="AV42" s="771"/>
      <c r="AW42" s="713" t="e">
        <f t="shared" si="127"/>
        <v>#DIV/0!</v>
      </c>
      <c r="AX42" s="779" t="e">
        <f t="shared" si="111"/>
        <v>#DIV/0!</v>
      </c>
      <c r="AY42" s="771">
        <v>98.38</v>
      </c>
      <c r="AZ42" s="770">
        <v>0.17199999999999999</v>
      </c>
      <c r="BA42" s="771">
        <v>97.99</v>
      </c>
      <c r="BB42" s="771">
        <v>1.2</v>
      </c>
      <c r="BC42" s="718">
        <f t="shared" si="128"/>
        <v>1.2246147566078171E-2</v>
      </c>
      <c r="BD42" s="772">
        <f t="shared" si="112"/>
        <v>0.99603577963000611</v>
      </c>
      <c r="BE42" s="771">
        <v>98.38</v>
      </c>
      <c r="BF42" s="770">
        <v>0.17199999999999999</v>
      </c>
      <c r="BG42" s="771">
        <v>97.4</v>
      </c>
      <c r="BH42" s="771">
        <v>1.35</v>
      </c>
      <c r="BI42" s="713">
        <f t="shared" si="113"/>
        <v>1.3860369609856264E-2</v>
      </c>
      <c r="BJ42" s="779">
        <f t="shared" si="114"/>
        <v>0.99003862573693846</v>
      </c>
      <c r="BK42" s="771"/>
      <c r="BL42" s="770"/>
      <c r="BM42" s="771"/>
      <c r="BN42" s="771"/>
      <c r="BO42" s="718" t="e">
        <f t="shared" si="115"/>
        <v>#DIV/0!</v>
      </c>
      <c r="BP42" s="772" t="e">
        <f t="shared" si="116"/>
        <v>#DIV/0!</v>
      </c>
      <c r="BQ42" s="771"/>
      <c r="BR42" s="770"/>
      <c r="BS42" s="771"/>
      <c r="BT42" s="771"/>
      <c r="BU42" s="713" t="e">
        <f t="shared" si="129"/>
        <v>#DIV/0!</v>
      </c>
      <c r="BV42" s="779" t="e">
        <f t="shared" si="118"/>
        <v>#DIV/0!</v>
      </c>
      <c r="BW42" s="771"/>
      <c r="BX42" s="770"/>
      <c r="BY42" s="771"/>
      <c r="BZ42" s="771"/>
      <c r="CA42" s="718" t="e">
        <f t="shared" si="130"/>
        <v>#DIV/0!</v>
      </c>
      <c r="CB42" s="772" t="e">
        <f t="shared" si="120"/>
        <v>#DIV/0!</v>
      </c>
      <c r="CC42" s="725"/>
      <c r="CD42" s="725"/>
      <c r="CE42" s="725"/>
      <c r="CF42" s="720"/>
      <c r="CG42" s="720"/>
      <c r="CH42" s="720"/>
      <c r="CI42" s="720"/>
      <c r="CJ42" s="720"/>
      <c r="CK42" s="720"/>
      <c r="CL42" s="720"/>
      <c r="CM42" s="720"/>
      <c r="CN42" s="720"/>
      <c r="CO42" s="720"/>
      <c r="CP42" s="720"/>
      <c r="CQ42" s="720"/>
      <c r="CR42" s="720"/>
      <c r="CS42" s="720"/>
      <c r="CT42" s="720"/>
      <c r="CU42" s="720"/>
      <c r="CV42" s="720"/>
      <c r="CW42" s="720"/>
      <c r="CX42" s="720"/>
      <c r="CY42" s="720"/>
      <c r="CZ42" s="720"/>
      <c r="DA42" s="720"/>
      <c r="DB42" s="720"/>
      <c r="DC42" s="720"/>
      <c r="DD42" s="720"/>
      <c r="DE42" s="720"/>
      <c r="DF42" s="720"/>
      <c r="DG42" s="720"/>
      <c r="DH42" s="720"/>
      <c r="DI42" s="720"/>
      <c r="DJ42" s="720"/>
      <c r="DK42" s="720"/>
      <c r="DL42" s="720"/>
      <c r="DM42" s="720"/>
      <c r="DN42" s="720"/>
      <c r="DO42" s="720"/>
      <c r="DP42" s="720"/>
      <c r="DQ42" s="720"/>
      <c r="DR42" s="720"/>
    </row>
    <row r="43" spans="1:122" s="642" customFormat="1" ht="15.75">
      <c r="A43" s="720"/>
      <c r="B43" s="708" t="str">
        <f t="shared" si="103"/>
        <v>FGAA11</v>
      </c>
      <c r="C43" s="709">
        <f t="shared" si="104"/>
        <v>9.99</v>
      </c>
      <c r="D43" s="807">
        <f>W67</f>
        <v>20</v>
      </c>
      <c r="E43" s="710">
        <f>Y67+C67</f>
        <v>199.8</v>
      </c>
      <c r="F43" s="720"/>
      <c r="G43" s="767" t="s">
        <v>639</v>
      </c>
      <c r="H43" s="716" t="str">
        <f>Q53</f>
        <v>JPPA11</v>
      </c>
      <c r="I43" s="771"/>
      <c r="J43" s="770"/>
      <c r="K43" s="771"/>
      <c r="L43" s="771"/>
      <c r="M43" s="713" t="e">
        <f t="shared" si="121"/>
        <v>#DIV/0!</v>
      </c>
      <c r="N43" s="779" t="e">
        <f t="shared" si="105"/>
        <v>#DIV/0!</v>
      </c>
      <c r="O43" s="771"/>
      <c r="P43" s="770"/>
      <c r="Q43" s="771"/>
      <c r="R43" s="771"/>
      <c r="S43" s="718" t="e">
        <f t="shared" si="122"/>
        <v>#DIV/0!</v>
      </c>
      <c r="T43" s="772" t="e">
        <f t="shared" si="106"/>
        <v>#DIV/0!</v>
      </c>
      <c r="U43" s="771"/>
      <c r="V43" s="770"/>
      <c r="W43" s="771"/>
      <c r="X43" s="771"/>
      <c r="Y43" s="713" t="e">
        <f t="shared" si="123"/>
        <v>#DIV/0!</v>
      </c>
      <c r="Z43" s="779" t="e">
        <f t="shared" si="107"/>
        <v>#DIV/0!</v>
      </c>
      <c r="AA43" s="771"/>
      <c r="AB43" s="770"/>
      <c r="AC43" s="771"/>
      <c r="AD43" s="771"/>
      <c r="AE43" s="718" t="e">
        <f t="shared" si="124"/>
        <v>#DIV/0!</v>
      </c>
      <c r="AF43" s="772" t="e">
        <f t="shared" si="108"/>
        <v>#DIV/0!</v>
      </c>
      <c r="AG43" s="771"/>
      <c r="AH43" s="770"/>
      <c r="AI43" s="771"/>
      <c r="AJ43" s="771"/>
      <c r="AK43" s="713" t="e">
        <f t="shared" si="125"/>
        <v>#DIV/0!</v>
      </c>
      <c r="AL43" s="779" t="e">
        <f t="shared" si="109"/>
        <v>#DIV/0!</v>
      </c>
      <c r="AM43" s="771"/>
      <c r="AN43" s="770"/>
      <c r="AO43" s="771"/>
      <c r="AP43" s="771"/>
      <c r="AQ43" s="718" t="e">
        <f t="shared" si="126"/>
        <v>#DIV/0!</v>
      </c>
      <c r="AR43" s="772" t="e">
        <f t="shared" si="110"/>
        <v>#DIV/0!</v>
      </c>
      <c r="AS43" s="771"/>
      <c r="AT43" s="770"/>
      <c r="AU43" s="771"/>
      <c r="AV43" s="771"/>
      <c r="AW43" s="713" t="e">
        <f t="shared" si="127"/>
        <v>#DIV/0!</v>
      </c>
      <c r="AX43" s="779" t="e">
        <f t="shared" si="111"/>
        <v>#DIV/0!</v>
      </c>
      <c r="AY43" s="771">
        <v>99.25</v>
      </c>
      <c r="AZ43" s="770">
        <v>0.1719</v>
      </c>
      <c r="BA43" s="771">
        <v>100.38</v>
      </c>
      <c r="BB43" s="771">
        <v>1.25</v>
      </c>
      <c r="BC43" s="718">
        <f t="shared" si="128"/>
        <v>1.2452679816696554E-2</v>
      </c>
      <c r="BD43" s="772">
        <f t="shared" si="112"/>
        <v>1.0113853904282115</v>
      </c>
      <c r="BE43" s="771">
        <v>98.68</v>
      </c>
      <c r="BF43" s="770">
        <v>0.16619999999999999</v>
      </c>
      <c r="BG43" s="771">
        <v>103.95</v>
      </c>
      <c r="BH43" s="771">
        <v>1.1499999999999999</v>
      </c>
      <c r="BI43" s="713">
        <f t="shared" si="113"/>
        <v>1.1063011063011063E-2</v>
      </c>
      <c r="BJ43" s="779">
        <f t="shared" si="114"/>
        <v>1.053404945277665</v>
      </c>
      <c r="BK43" s="771">
        <v>98.68</v>
      </c>
      <c r="BL43" s="770">
        <v>0.16189999999999999</v>
      </c>
      <c r="BM43" s="771">
        <v>99</v>
      </c>
      <c r="BN43" s="771">
        <v>1.1000000000000001</v>
      </c>
      <c r="BO43" s="718">
        <f t="shared" si="115"/>
        <v>1.1111111111111112E-2</v>
      </c>
      <c r="BP43" s="772">
        <f t="shared" si="116"/>
        <v>1.0032428050263478</v>
      </c>
      <c r="BQ43" s="771"/>
      <c r="BR43" s="770"/>
      <c r="BS43" s="771"/>
      <c r="BT43" s="771"/>
      <c r="BU43" s="713" t="e">
        <f t="shared" si="129"/>
        <v>#DIV/0!</v>
      </c>
      <c r="BV43" s="779" t="e">
        <f t="shared" si="118"/>
        <v>#DIV/0!</v>
      </c>
      <c r="BW43" s="771"/>
      <c r="BX43" s="770"/>
      <c r="BY43" s="771"/>
      <c r="BZ43" s="771"/>
      <c r="CA43" s="718" t="e">
        <f t="shared" si="130"/>
        <v>#DIV/0!</v>
      </c>
      <c r="CB43" s="772" t="e">
        <f t="shared" si="120"/>
        <v>#DIV/0!</v>
      </c>
      <c r="CC43" s="725"/>
      <c r="CD43" s="725"/>
      <c r="CE43" s="725"/>
      <c r="CF43" s="720"/>
      <c r="CG43" s="720"/>
      <c r="CH43" s="720"/>
      <c r="CI43" s="720"/>
      <c r="CJ43" s="720"/>
      <c r="CK43" s="720"/>
      <c r="CL43" s="720"/>
      <c r="CM43" s="720"/>
      <c r="CN43" s="720"/>
      <c r="CO43" s="720"/>
      <c r="CP43" s="720"/>
      <c r="CQ43" s="720"/>
      <c r="CR43" s="720"/>
      <c r="CS43" s="720"/>
      <c r="CT43" s="720"/>
      <c r="CU43" s="720"/>
      <c r="CV43" s="720"/>
      <c r="CW43" s="720"/>
      <c r="CX43" s="720"/>
      <c r="CY43" s="720"/>
      <c r="CZ43" s="720"/>
      <c r="DA43" s="720"/>
      <c r="DB43" s="720"/>
      <c r="DC43" s="720"/>
      <c r="DD43" s="720"/>
      <c r="DE43" s="720"/>
      <c r="DF43" s="720"/>
      <c r="DG43" s="720"/>
      <c r="DH43" s="720"/>
      <c r="DI43" s="720"/>
      <c r="DJ43" s="720"/>
      <c r="DK43" s="720"/>
      <c r="DL43" s="720"/>
      <c r="DM43" s="720"/>
      <c r="DN43" s="720"/>
      <c r="DO43" s="720"/>
      <c r="DP43" s="720"/>
      <c r="DQ43" s="720"/>
      <c r="DR43" s="720"/>
    </row>
    <row r="44" spans="1:122" s="642" customFormat="1" ht="15.75">
      <c r="A44" s="720"/>
      <c r="B44" s="708" t="str">
        <f t="shared" si="103"/>
        <v>VCRI11</v>
      </c>
      <c r="C44" s="709">
        <f t="shared" si="104"/>
        <v>0</v>
      </c>
      <c r="D44" s="807">
        <f>AB67</f>
        <v>1</v>
      </c>
      <c r="E44" s="710">
        <f>AD67+C68</f>
        <v>0</v>
      </c>
      <c r="F44" s="720"/>
      <c r="G44" s="767" t="s">
        <v>640</v>
      </c>
      <c r="H44" s="716" t="str">
        <f>V53</f>
        <v>FGAA11</v>
      </c>
      <c r="I44" s="771"/>
      <c r="J44" s="770"/>
      <c r="K44" s="771"/>
      <c r="L44" s="771"/>
      <c r="M44" s="713" t="e">
        <f t="shared" si="121"/>
        <v>#DIV/0!</v>
      </c>
      <c r="N44" s="779" t="e">
        <f t="shared" si="105"/>
        <v>#DIV/0!</v>
      </c>
      <c r="O44" s="771"/>
      <c r="P44" s="770"/>
      <c r="Q44" s="771"/>
      <c r="R44" s="771"/>
      <c r="S44" s="718" t="e">
        <f t="shared" si="122"/>
        <v>#DIV/0!</v>
      </c>
      <c r="T44" s="772" t="e">
        <f t="shared" si="106"/>
        <v>#DIV/0!</v>
      </c>
      <c r="U44" s="771"/>
      <c r="V44" s="770"/>
      <c r="W44" s="771"/>
      <c r="X44" s="771"/>
      <c r="Y44" s="713" t="e">
        <f t="shared" si="123"/>
        <v>#DIV/0!</v>
      </c>
      <c r="Z44" s="779" t="e">
        <f t="shared" si="107"/>
        <v>#DIV/0!</v>
      </c>
      <c r="AA44" s="771"/>
      <c r="AB44" s="770"/>
      <c r="AC44" s="771"/>
      <c r="AD44" s="771"/>
      <c r="AE44" s="718" t="e">
        <f t="shared" si="124"/>
        <v>#DIV/0!</v>
      </c>
      <c r="AF44" s="772" t="e">
        <f t="shared" si="108"/>
        <v>#DIV/0!</v>
      </c>
      <c r="AG44" s="771"/>
      <c r="AH44" s="770"/>
      <c r="AI44" s="771"/>
      <c r="AJ44" s="771"/>
      <c r="AK44" s="713" t="e">
        <f t="shared" si="125"/>
        <v>#DIV/0!</v>
      </c>
      <c r="AL44" s="779" t="e">
        <f t="shared" si="109"/>
        <v>#DIV/0!</v>
      </c>
      <c r="AM44" s="771"/>
      <c r="AN44" s="770"/>
      <c r="AO44" s="771"/>
      <c r="AP44" s="771"/>
      <c r="AQ44" s="718" t="e">
        <f t="shared" si="126"/>
        <v>#DIV/0!</v>
      </c>
      <c r="AR44" s="772" t="e">
        <f t="shared" si="110"/>
        <v>#DIV/0!</v>
      </c>
      <c r="AS44" s="771"/>
      <c r="AT44" s="770"/>
      <c r="AU44" s="771"/>
      <c r="AV44" s="771"/>
      <c r="AW44" s="713" t="e">
        <f t="shared" si="127"/>
        <v>#DIV/0!</v>
      </c>
      <c r="AX44" s="779" t="e">
        <f t="shared" si="111"/>
        <v>#DIV/0!</v>
      </c>
      <c r="AY44" s="771">
        <v>9.59</v>
      </c>
      <c r="AZ44" s="770">
        <v>0.17899999999999999</v>
      </c>
      <c r="BA44" s="771">
        <v>10.01</v>
      </c>
      <c r="BB44" s="771">
        <v>0.13</v>
      </c>
      <c r="BC44" s="718">
        <f t="shared" si="128"/>
        <v>1.2987012987012988E-2</v>
      </c>
      <c r="BD44" s="772">
        <f t="shared" si="112"/>
        <v>1.0437956204379562</v>
      </c>
      <c r="BE44" s="771">
        <v>9.59</v>
      </c>
      <c r="BF44" s="770">
        <v>0.17899999999999999</v>
      </c>
      <c r="BG44" s="771">
        <v>10.14</v>
      </c>
      <c r="BH44" s="771">
        <v>0.13</v>
      </c>
      <c r="BI44" s="713">
        <f t="shared" si="113"/>
        <v>1.282051282051282E-2</v>
      </c>
      <c r="BJ44" s="779">
        <f t="shared" si="114"/>
        <v>1.0573514077163713</v>
      </c>
      <c r="BK44" s="771"/>
      <c r="BL44" s="770"/>
      <c r="BM44" s="771"/>
      <c r="BN44" s="771"/>
      <c r="BO44" s="718" t="e">
        <f t="shared" si="115"/>
        <v>#DIV/0!</v>
      </c>
      <c r="BP44" s="772" t="e">
        <f t="shared" si="116"/>
        <v>#DIV/0!</v>
      </c>
      <c r="BQ44" s="771"/>
      <c r="BR44" s="770"/>
      <c r="BS44" s="771"/>
      <c r="BT44" s="771"/>
      <c r="BU44" s="713" t="e">
        <f t="shared" si="129"/>
        <v>#DIV/0!</v>
      </c>
      <c r="BV44" s="779" t="e">
        <f t="shared" si="118"/>
        <v>#DIV/0!</v>
      </c>
      <c r="BW44" s="771"/>
      <c r="BX44" s="770"/>
      <c r="BY44" s="771"/>
      <c r="BZ44" s="771"/>
      <c r="CA44" s="718" t="e">
        <f t="shared" si="130"/>
        <v>#DIV/0!</v>
      </c>
      <c r="CB44" s="772" t="e">
        <f t="shared" si="120"/>
        <v>#DIV/0!</v>
      </c>
      <c r="CC44" s="725"/>
      <c r="CD44" s="725"/>
      <c r="CE44" s="725"/>
      <c r="CF44" s="720"/>
      <c r="CG44" s="720"/>
      <c r="CH44" s="720"/>
      <c r="CI44" s="720"/>
      <c r="CJ44" s="720"/>
      <c r="CK44" s="720"/>
      <c r="CL44" s="720"/>
      <c r="CM44" s="720"/>
      <c r="CN44" s="720"/>
      <c r="CO44" s="720"/>
      <c r="CP44" s="720"/>
      <c r="CQ44" s="720"/>
      <c r="CR44" s="720"/>
      <c r="CS44" s="720"/>
      <c r="CT44" s="720"/>
      <c r="CU44" s="720"/>
      <c r="CV44" s="720"/>
      <c r="CW44" s="720"/>
      <c r="CX44" s="720"/>
      <c r="CY44" s="720"/>
      <c r="CZ44" s="720"/>
      <c r="DA44" s="720"/>
      <c r="DB44" s="720"/>
      <c r="DC44" s="720"/>
      <c r="DD44" s="720"/>
      <c r="DE44" s="720"/>
      <c r="DF44" s="720"/>
      <c r="DG44" s="720"/>
      <c r="DH44" s="720"/>
      <c r="DI44" s="720"/>
      <c r="DJ44" s="720"/>
      <c r="DK44" s="720"/>
      <c r="DL44" s="720"/>
      <c r="DM44" s="720"/>
      <c r="DN44" s="720"/>
      <c r="DO44" s="720"/>
      <c r="DP44" s="720"/>
      <c r="DQ44" s="720"/>
      <c r="DR44" s="720"/>
    </row>
    <row r="45" spans="1:122" s="642" customFormat="1" ht="15.75">
      <c r="A45" s="720"/>
      <c r="B45" s="708" t="str">
        <f t="shared" si="103"/>
        <v>BBFI11</v>
      </c>
      <c r="C45" s="709">
        <f t="shared" si="104"/>
        <v>0</v>
      </c>
      <c r="D45" s="807">
        <f>AG67</f>
        <v>1</v>
      </c>
      <c r="E45" s="710">
        <f>AI67+C69</f>
        <v>0</v>
      </c>
      <c r="F45" s="720"/>
      <c r="G45" s="767" t="s">
        <v>641</v>
      </c>
      <c r="H45" s="716" t="str">
        <f>AA53</f>
        <v>VCRI11</v>
      </c>
      <c r="I45" s="771"/>
      <c r="J45" s="770"/>
      <c r="K45" s="771"/>
      <c r="L45" s="771"/>
      <c r="M45" s="713" t="e">
        <f t="shared" si="121"/>
        <v>#DIV/0!</v>
      </c>
      <c r="N45" s="779" t="e">
        <f t="shared" si="105"/>
        <v>#DIV/0!</v>
      </c>
      <c r="O45" s="771"/>
      <c r="P45" s="770"/>
      <c r="Q45" s="771"/>
      <c r="R45" s="771"/>
      <c r="S45" s="718" t="e">
        <f t="shared" si="122"/>
        <v>#DIV/0!</v>
      </c>
      <c r="T45" s="772" t="e">
        <f t="shared" si="106"/>
        <v>#DIV/0!</v>
      </c>
      <c r="U45" s="771"/>
      <c r="V45" s="770"/>
      <c r="W45" s="771"/>
      <c r="X45" s="771"/>
      <c r="Y45" s="713" t="e">
        <f t="shared" si="123"/>
        <v>#DIV/0!</v>
      </c>
      <c r="Z45" s="779" t="e">
        <f t="shared" si="107"/>
        <v>#DIV/0!</v>
      </c>
      <c r="AA45" s="771"/>
      <c r="AB45" s="770"/>
      <c r="AC45" s="771"/>
      <c r="AD45" s="771"/>
      <c r="AE45" s="718" t="e">
        <f t="shared" si="124"/>
        <v>#DIV/0!</v>
      </c>
      <c r="AF45" s="772" t="e">
        <f t="shared" si="108"/>
        <v>#DIV/0!</v>
      </c>
      <c r="AG45" s="771"/>
      <c r="AH45" s="770"/>
      <c r="AI45" s="771"/>
      <c r="AJ45" s="771"/>
      <c r="AK45" s="713" t="e">
        <f t="shared" si="125"/>
        <v>#DIV/0!</v>
      </c>
      <c r="AL45" s="779" t="e">
        <f t="shared" si="109"/>
        <v>#DIV/0!</v>
      </c>
      <c r="AM45" s="771"/>
      <c r="AN45" s="770"/>
      <c r="AO45" s="771"/>
      <c r="AP45" s="771"/>
      <c r="AQ45" s="718" t="e">
        <f t="shared" si="126"/>
        <v>#DIV/0!</v>
      </c>
      <c r="AR45" s="772" t="e">
        <f t="shared" si="110"/>
        <v>#DIV/0!</v>
      </c>
      <c r="AS45" s="771"/>
      <c r="AT45" s="770"/>
      <c r="AU45" s="771"/>
      <c r="AV45" s="771"/>
      <c r="AW45" s="713" t="e">
        <f t="shared" si="127"/>
        <v>#DIV/0!</v>
      </c>
      <c r="AX45" s="779" t="e">
        <f t="shared" si="111"/>
        <v>#DIV/0!</v>
      </c>
      <c r="AY45" s="771">
        <v>9.64</v>
      </c>
      <c r="AZ45" s="770">
        <v>0.15859999999999999</v>
      </c>
      <c r="BA45" s="771">
        <v>8.77</v>
      </c>
      <c r="BB45" s="771">
        <v>0.1</v>
      </c>
      <c r="BC45" s="718">
        <f t="shared" si="128"/>
        <v>1.1402508551881414E-2</v>
      </c>
      <c r="BD45" s="772">
        <f t="shared" si="112"/>
        <v>0.90975103734439822</v>
      </c>
      <c r="BE45" s="771">
        <v>9.6199999999999992</v>
      </c>
      <c r="BF45" s="770">
        <v>0.15759999999999999</v>
      </c>
      <c r="BG45" s="771">
        <v>8.64</v>
      </c>
      <c r="BH45" s="771">
        <v>0.09</v>
      </c>
      <c r="BI45" s="713">
        <f t="shared" si="113"/>
        <v>1.0416666666666666E-2</v>
      </c>
      <c r="BJ45" s="779">
        <f t="shared" si="114"/>
        <v>0.89812889812889829</v>
      </c>
      <c r="BK45" s="771">
        <v>9.6199999999999992</v>
      </c>
      <c r="BL45" s="770">
        <v>0.1547</v>
      </c>
      <c r="BM45" s="771">
        <v>8.31</v>
      </c>
      <c r="BN45" s="771">
        <v>7.4999999999999997E-2</v>
      </c>
      <c r="BO45" s="718">
        <f t="shared" si="115"/>
        <v>9.0252707581227436E-3</v>
      </c>
      <c r="BP45" s="772">
        <f t="shared" si="116"/>
        <v>0.8638253638253639</v>
      </c>
      <c r="BQ45" s="771"/>
      <c r="BR45" s="770"/>
      <c r="BS45" s="771"/>
      <c r="BT45" s="771"/>
      <c r="BU45" s="713" t="e">
        <f t="shared" si="129"/>
        <v>#DIV/0!</v>
      </c>
      <c r="BV45" s="779" t="e">
        <f t="shared" si="118"/>
        <v>#DIV/0!</v>
      </c>
      <c r="BW45" s="771"/>
      <c r="BX45" s="770"/>
      <c r="BY45" s="771"/>
      <c r="BZ45" s="771"/>
      <c r="CA45" s="718" t="e">
        <f t="shared" si="130"/>
        <v>#DIV/0!</v>
      </c>
      <c r="CB45" s="772" t="e">
        <f t="shared" si="120"/>
        <v>#DIV/0!</v>
      </c>
      <c r="CC45" s="725"/>
      <c r="CD45" s="725"/>
      <c r="CE45" s="725"/>
      <c r="CF45" s="720"/>
      <c r="CG45" s="720"/>
      <c r="CH45" s="720"/>
      <c r="CI45" s="720"/>
      <c r="CJ45" s="720"/>
      <c r="CK45" s="720"/>
      <c r="CL45" s="720"/>
      <c r="CM45" s="720"/>
      <c r="CN45" s="720"/>
      <c r="CO45" s="720"/>
      <c r="CP45" s="720"/>
      <c r="CQ45" s="720"/>
      <c r="CR45" s="720"/>
      <c r="CS45" s="720"/>
      <c r="CT45" s="720"/>
      <c r="CU45" s="720"/>
      <c r="CV45" s="720"/>
      <c r="CW45" s="720"/>
      <c r="CX45" s="720"/>
      <c r="CY45" s="720"/>
      <c r="CZ45" s="720"/>
      <c r="DA45" s="720"/>
      <c r="DB45" s="720"/>
      <c r="DC45" s="720"/>
      <c r="DD45" s="720"/>
      <c r="DE45" s="720"/>
      <c r="DF45" s="720"/>
      <c r="DG45" s="720"/>
      <c r="DH45" s="720"/>
      <c r="DI45" s="720"/>
      <c r="DJ45" s="720"/>
      <c r="DK45" s="720"/>
      <c r="DL45" s="720"/>
      <c r="DM45" s="720"/>
      <c r="DN45" s="720"/>
      <c r="DO45" s="720"/>
      <c r="DP45" s="720"/>
      <c r="DQ45" s="720"/>
      <c r="DR45" s="720"/>
    </row>
    <row r="46" spans="1:122" s="642" customFormat="1" ht="15.75">
      <c r="A46" s="720"/>
      <c r="B46" s="708" t="str">
        <f t="shared" si="103"/>
        <v>RBOP11</v>
      </c>
      <c r="C46" s="709">
        <f t="shared" si="104"/>
        <v>0</v>
      </c>
      <c r="D46" s="807">
        <f>AL67</f>
        <v>1</v>
      </c>
      <c r="E46" s="710">
        <f>AN67+C70</f>
        <v>0</v>
      </c>
      <c r="F46" s="720"/>
      <c r="G46" s="767" t="s">
        <v>642</v>
      </c>
      <c r="H46" s="716" t="str">
        <f>AF53</f>
        <v>BBFI11</v>
      </c>
      <c r="I46" s="771"/>
      <c r="J46" s="770"/>
      <c r="K46" s="771"/>
      <c r="L46" s="771"/>
      <c r="M46" s="713" t="e">
        <f t="shared" si="121"/>
        <v>#DIV/0!</v>
      </c>
      <c r="N46" s="779" t="e">
        <f t="shared" si="105"/>
        <v>#DIV/0!</v>
      </c>
      <c r="O46" s="771"/>
      <c r="P46" s="770"/>
      <c r="Q46" s="771"/>
      <c r="R46" s="771"/>
      <c r="S46" s="718" t="e">
        <f t="shared" si="122"/>
        <v>#DIV/0!</v>
      </c>
      <c r="T46" s="772" t="e">
        <f t="shared" si="106"/>
        <v>#DIV/0!</v>
      </c>
      <c r="U46" s="771"/>
      <c r="V46" s="770"/>
      <c r="W46" s="771"/>
      <c r="X46" s="771"/>
      <c r="Y46" s="713" t="e">
        <f t="shared" si="123"/>
        <v>#DIV/0!</v>
      </c>
      <c r="Z46" s="779" t="e">
        <f t="shared" si="107"/>
        <v>#DIV/0!</v>
      </c>
      <c r="AA46" s="771"/>
      <c r="AB46" s="770"/>
      <c r="AC46" s="771"/>
      <c r="AD46" s="771"/>
      <c r="AE46" s="718" t="e">
        <f t="shared" si="124"/>
        <v>#DIV/0!</v>
      </c>
      <c r="AF46" s="772" t="e">
        <f t="shared" si="108"/>
        <v>#DIV/0!</v>
      </c>
      <c r="AG46" s="771"/>
      <c r="AH46" s="770"/>
      <c r="AI46" s="771"/>
      <c r="AJ46" s="771"/>
      <c r="AK46" s="713" t="e">
        <f t="shared" si="125"/>
        <v>#DIV/0!</v>
      </c>
      <c r="AL46" s="779" t="e">
        <f t="shared" si="109"/>
        <v>#DIV/0!</v>
      </c>
      <c r="AM46" s="771"/>
      <c r="AN46" s="770"/>
      <c r="AO46" s="771"/>
      <c r="AP46" s="771"/>
      <c r="AQ46" s="718" t="e">
        <f t="shared" si="126"/>
        <v>#DIV/0!</v>
      </c>
      <c r="AR46" s="772" t="e">
        <f t="shared" si="110"/>
        <v>#DIV/0!</v>
      </c>
      <c r="AS46" s="771"/>
      <c r="AT46" s="770"/>
      <c r="AU46" s="771"/>
      <c r="AV46" s="771"/>
      <c r="AW46" s="713" t="e">
        <f t="shared" si="127"/>
        <v>#DIV/0!</v>
      </c>
      <c r="AX46" s="779" t="e">
        <f t="shared" si="111"/>
        <v>#DIV/0!</v>
      </c>
      <c r="AY46" s="771">
        <v>2147</v>
      </c>
      <c r="AZ46" s="770">
        <v>0.24329999999999999</v>
      </c>
      <c r="BA46" s="771">
        <v>1120.5</v>
      </c>
      <c r="BB46" s="771">
        <v>6.21</v>
      </c>
      <c r="BC46" s="718">
        <f t="shared" si="128"/>
        <v>5.5421686746987952E-3</v>
      </c>
      <c r="BD46" s="772">
        <f t="shared" si="112"/>
        <v>0.52189101071262223</v>
      </c>
      <c r="BE46" s="771">
        <v>2147.7199999999998</v>
      </c>
      <c r="BF46" s="770">
        <v>0.24360000000000001</v>
      </c>
      <c r="BG46" s="771">
        <v>998</v>
      </c>
      <c r="BH46" s="771">
        <v>7.73</v>
      </c>
      <c r="BI46" s="713">
        <f t="shared" si="113"/>
        <v>7.7454909819639284E-3</v>
      </c>
      <c r="BJ46" s="779">
        <f t="shared" si="114"/>
        <v>0.46467882219283707</v>
      </c>
      <c r="BK46" s="771">
        <v>2147.7199999999998</v>
      </c>
      <c r="BL46" s="770">
        <v>0.22589999999999999</v>
      </c>
      <c r="BM46" s="771">
        <v>969</v>
      </c>
      <c r="BN46" s="771">
        <v>7.59</v>
      </c>
      <c r="BO46" s="718">
        <f t="shared" si="115"/>
        <v>7.8328173374613008E-3</v>
      </c>
      <c r="BP46" s="772">
        <f t="shared" si="116"/>
        <v>0.45117613096679271</v>
      </c>
      <c r="BQ46" s="771"/>
      <c r="BR46" s="770"/>
      <c r="BS46" s="771"/>
      <c r="BT46" s="771"/>
      <c r="BU46" s="713" t="e">
        <f t="shared" si="129"/>
        <v>#DIV/0!</v>
      </c>
      <c r="BV46" s="779" t="e">
        <f t="shared" si="118"/>
        <v>#DIV/0!</v>
      </c>
      <c r="BW46" s="771"/>
      <c r="BX46" s="770"/>
      <c r="BY46" s="771"/>
      <c r="BZ46" s="771"/>
      <c r="CA46" s="718" t="e">
        <f t="shared" si="130"/>
        <v>#DIV/0!</v>
      </c>
      <c r="CB46" s="772" t="e">
        <f t="shared" si="120"/>
        <v>#DIV/0!</v>
      </c>
      <c r="CC46" s="725"/>
      <c r="CD46" s="725"/>
      <c r="CE46" s="725"/>
      <c r="CF46" s="720"/>
      <c r="CG46" s="720"/>
      <c r="CH46" s="720"/>
      <c r="CI46" s="720"/>
      <c r="CJ46" s="720"/>
      <c r="CK46" s="720"/>
      <c r="CL46" s="720"/>
      <c r="CM46" s="720"/>
      <c r="CN46" s="720"/>
      <c r="CO46" s="720"/>
      <c r="CP46" s="720"/>
      <c r="CQ46" s="720"/>
      <c r="CR46" s="720"/>
      <c r="CS46" s="720"/>
      <c r="CT46" s="720"/>
      <c r="CU46" s="720"/>
      <c r="CV46" s="720"/>
      <c r="CW46" s="720"/>
      <c r="CX46" s="720"/>
      <c r="CY46" s="720"/>
      <c r="CZ46" s="720"/>
      <c r="DA46" s="720"/>
      <c r="DB46" s="720"/>
      <c r="DC46" s="720"/>
      <c r="DD46" s="720"/>
      <c r="DE46" s="720"/>
      <c r="DF46" s="720"/>
      <c r="DG46" s="720"/>
      <c r="DH46" s="720"/>
      <c r="DI46" s="720"/>
      <c r="DJ46" s="720"/>
      <c r="DK46" s="720"/>
      <c r="DL46" s="720"/>
      <c r="DM46" s="720"/>
      <c r="DN46" s="720"/>
      <c r="DO46" s="720"/>
      <c r="DP46" s="720"/>
      <c r="DQ46" s="720"/>
      <c r="DR46" s="720"/>
    </row>
    <row r="47" spans="1:122" s="642" customFormat="1" ht="15.75">
      <c r="A47" s="720"/>
      <c r="B47" s="720"/>
      <c r="C47" s="1010" t="s">
        <v>45</v>
      </c>
      <c r="D47" s="1010"/>
      <c r="E47" s="711">
        <f>SUM(E31:E46)+E50+E49+E51</f>
        <v>11043.389799999999</v>
      </c>
      <c r="F47" s="720"/>
      <c r="G47" s="767" t="s">
        <v>643</v>
      </c>
      <c r="H47" s="716" t="str">
        <f>AK53</f>
        <v>RBOP11</v>
      </c>
      <c r="I47" s="771"/>
      <c r="J47" s="770"/>
      <c r="K47" s="771"/>
      <c r="L47" s="771"/>
      <c r="M47" s="713" t="e">
        <f t="shared" si="121"/>
        <v>#DIV/0!</v>
      </c>
      <c r="N47" s="779" t="e">
        <f>K47/I47</f>
        <v>#DIV/0!</v>
      </c>
      <c r="O47" s="771"/>
      <c r="P47" s="770"/>
      <c r="Q47" s="771"/>
      <c r="R47" s="771"/>
      <c r="S47" s="718" t="e">
        <f t="shared" si="122"/>
        <v>#DIV/0!</v>
      </c>
      <c r="T47" s="772" t="e">
        <f>Q47/O47</f>
        <v>#DIV/0!</v>
      </c>
      <c r="U47" s="771"/>
      <c r="V47" s="770"/>
      <c r="W47" s="771"/>
      <c r="X47" s="771"/>
      <c r="Y47" s="713" t="e">
        <f t="shared" si="123"/>
        <v>#DIV/0!</v>
      </c>
      <c r="Z47" s="779" t="e">
        <f>W47/U47</f>
        <v>#DIV/0!</v>
      </c>
      <c r="AA47" s="771"/>
      <c r="AB47" s="770"/>
      <c r="AC47" s="771"/>
      <c r="AD47" s="771"/>
      <c r="AE47" s="718" t="e">
        <f t="shared" si="124"/>
        <v>#DIV/0!</v>
      </c>
      <c r="AF47" s="772" t="e">
        <f>AC47/AA47</f>
        <v>#DIV/0!</v>
      </c>
      <c r="AG47" s="771"/>
      <c r="AH47" s="770"/>
      <c r="AI47" s="771"/>
      <c r="AJ47" s="771"/>
      <c r="AK47" s="713" t="e">
        <f t="shared" si="125"/>
        <v>#DIV/0!</v>
      </c>
      <c r="AL47" s="779" t="e">
        <f>AI47/AG47</f>
        <v>#DIV/0!</v>
      </c>
      <c r="AM47" s="771"/>
      <c r="AN47" s="770"/>
      <c r="AO47" s="771"/>
      <c r="AP47" s="771"/>
      <c r="AQ47" s="718" t="e">
        <f t="shared" si="126"/>
        <v>#DIV/0!</v>
      </c>
      <c r="AR47" s="772" t="e">
        <f>AO47/AM47</f>
        <v>#DIV/0!</v>
      </c>
      <c r="AS47" s="771"/>
      <c r="AT47" s="770"/>
      <c r="AU47" s="771"/>
      <c r="AV47" s="771"/>
      <c r="AW47" s="713" t="e">
        <f t="shared" si="127"/>
        <v>#DIV/0!</v>
      </c>
      <c r="AX47" s="779" t="e">
        <f>AU47/AS47</f>
        <v>#DIV/0!</v>
      </c>
      <c r="AY47" s="771">
        <v>770.86</v>
      </c>
      <c r="AZ47" s="770">
        <v>0.3397</v>
      </c>
      <c r="BA47" s="771">
        <v>340</v>
      </c>
      <c r="BB47" s="771">
        <v>2.4</v>
      </c>
      <c r="BC47" s="718">
        <f t="shared" si="128"/>
        <v>7.0588235294117641E-3</v>
      </c>
      <c r="BD47" s="772">
        <f>BA47/AY47</f>
        <v>0.44106582258775912</v>
      </c>
      <c r="BE47" s="771">
        <v>844.81</v>
      </c>
      <c r="BF47" s="770">
        <v>0.32900000000000001</v>
      </c>
      <c r="BG47" s="771">
        <v>312.01</v>
      </c>
      <c r="BH47" s="771">
        <v>2.4</v>
      </c>
      <c r="BI47" s="713">
        <f t="shared" si="113"/>
        <v>7.6920611518861573E-3</v>
      </c>
      <c r="BJ47" s="779">
        <f>BG47/BE47</f>
        <v>0.36932564718694144</v>
      </c>
      <c r="BK47" s="771"/>
      <c r="BL47" s="770"/>
      <c r="BM47" s="771"/>
      <c r="BN47" s="771"/>
      <c r="BO47" s="718" t="e">
        <f t="shared" si="115"/>
        <v>#DIV/0!</v>
      </c>
      <c r="BP47" s="772" t="e">
        <f t="shared" si="116"/>
        <v>#DIV/0!</v>
      </c>
      <c r="BQ47" s="771"/>
      <c r="BR47" s="770"/>
      <c r="BS47" s="771"/>
      <c r="BT47" s="771"/>
      <c r="BU47" s="713" t="e">
        <f t="shared" si="129"/>
        <v>#DIV/0!</v>
      </c>
      <c r="BV47" s="779" t="e">
        <f>BS47/BQ47</f>
        <v>#DIV/0!</v>
      </c>
      <c r="BW47" s="771"/>
      <c r="BX47" s="770"/>
      <c r="BY47" s="771"/>
      <c r="BZ47" s="771"/>
      <c r="CA47" s="718" t="e">
        <f t="shared" si="130"/>
        <v>#DIV/0!</v>
      </c>
      <c r="CB47" s="772" t="e">
        <f>BY47/BW47</f>
        <v>#DIV/0!</v>
      </c>
      <c r="CC47" s="725"/>
      <c r="CD47" s="725"/>
      <c r="CE47" s="725"/>
      <c r="CF47" s="720"/>
      <c r="CG47" s="720"/>
      <c r="CH47" s="720"/>
      <c r="CI47" s="720"/>
      <c r="CJ47" s="720"/>
      <c r="CK47" s="720"/>
      <c r="CL47" s="720"/>
      <c r="CM47" s="720"/>
      <c r="CN47" s="720"/>
      <c r="CO47" s="720"/>
      <c r="CP47" s="720"/>
      <c r="CQ47" s="720"/>
      <c r="CR47" s="720"/>
      <c r="CS47" s="720"/>
      <c r="CT47" s="720"/>
      <c r="CU47" s="720"/>
      <c r="CV47" s="720"/>
      <c r="CW47" s="720"/>
      <c r="CX47" s="720"/>
      <c r="CY47" s="720"/>
      <c r="CZ47" s="720"/>
      <c r="DA47" s="720"/>
      <c r="DB47" s="720"/>
      <c r="DC47" s="720"/>
      <c r="DD47" s="720"/>
      <c r="DE47" s="720"/>
      <c r="DF47" s="720"/>
      <c r="DG47" s="720"/>
      <c r="DH47" s="720"/>
      <c r="DI47" s="720"/>
      <c r="DJ47" s="720"/>
      <c r="DK47" s="720"/>
      <c r="DL47" s="720"/>
      <c r="DM47" s="720"/>
      <c r="DN47" s="720"/>
      <c r="DO47" s="720"/>
      <c r="DP47" s="720"/>
      <c r="DQ47" s="720"/>
      <c r="DR47" s="720"/>
    </row>
    <row r="48" spans="1:122" s="720" customFormat="1" ht="15.75">
      <c r="CC48" s="725"/>
      <c r="CD48" s="725"/>
      <c r="CE48" s="725"/>
    </row>
    <row r="49" spans="1:146" s="642" customFormat="1" ht="15.75">
      <c r="A49" s="720"/>
      <c r="B49" s="731" t="s">
        <v>623</v>
      </c>
      <c r="C49" s="732">
        <f>E49/D49</f>
        <v>103.33</v>
      </c>
      <c r="D49" s="731">
        <v>1</v>
      </c>
      <c r="E49" s="732">
        <v>103.33</v>
      </c>
      <c r="F49" s="720"/>
      <c r="G49" s="720"/>
      <c r="H49" s="720"/>
      <c r="I49" s="720"/>
      <c r="J49" s="720"/>
      <c r="K49" s="720"/>
      <c r="L49" s="720"/>
      <c r="M49" s="720"/>
      <c r="N49" s="720"/>
      <c r="O49" s="720"/>
      <c r="P49" s="720"/>
      <c r="Q49" s="720"/>
      <c r="R49" s="720"/>
      <c r="S49" s="720"/>
      <c r="T49" s="720"/>
      <c r="U49" s="720"/>
      <c r="V49" s="720"/>
      <c r="W49" s="720"/>
      <c r="X49" s="720"/>
      <c r="Y49" s="720"/>
      <c r="Z49" s="720"/>
      <c r="AA49" s="720"/>
      <c r="AB49" s="720"/>
      <c r="AC49" s="720"/>
      <c r="AD49" s="720"/>
      <c r="AE49" s="720"/>
      <c r="AF49" s="720"/>
      <c r="AG49" s="720"/>
      <c r="AH49" s="720"/>
      <c r="AI49" s="720"/>
      <c r="AJ49" s="720"/>
      <c r="AK49" s="720"/>
      <c r="AL49" s="720"/>
      <c r="AM49" s="720"/>
      <c r="AN49" s="720"/>
      <c r="AO49" s="720"/>
      <c r="AP49" s="720"/>
      <c r="AQ49" s="720"/>
      <c r="AR49" s="720"/>
      <c r="AS49" s="720"/>
      <c r="AT49" s="720"/>
      <c r="AU49" s="720"/>
      <c r="AV49" s="720"/>
      <c r="AW49" s="720"/>
      <c r="AX49" s="720"/>
      <c r="AY49" s="720"/>
      <c r="AZ49" s="720"/>
      <c r="BA49" s="720"/>
      <c r="BB49" s="720"/>
      <c r="BC49" s="720"/>
      <c r="BD49" s="720"/>
      <c r="BE49" s="720"/>
      <c r="BF49" s="720"/>
      <c r="BG49" s="720"/>
      <c r="BH49" s="720"/>
      <c r="BI49" s="720"/>
      <c r="BJ49" s="720"/>
      <c r="BK49" s="720"/>
      <c r="BL49" s="720"/>
      <c r="BM49" s="720"/>
      <c r="BN49" s="720"/>
      <c r="BO49" s="720"/>
      <c r="BP49" s="720"/>
      <c r="BQ49" s="720"/>
      <c r="BR49" s="720"/>
      <c r="BS49" s="720"/>
      <c r="BT49" s="720"/>
      <c r="BU49" s="720"/>
      <c r="BV49" s="720"/>
      <c r="BW49" s="720"/>
      <c r="BX49" s="720"/>
      <c r="BY49" s="720"/>
      <c r="BZ49" s="720"/>
      <c r="CA49" s="720"/>
      <c r="CB49" s="720"/>
      <c r="CC49" s="725"/>
      <c r="CD49" s="725"/>
      <c r="CE49" s="725"/>
      <c r="CF49" s="720"/>
      <c r="CG49" s="720"/>
      <c r="CH49" s="720"/>
      <c r="CI49" s="720"/>
      <c r="CJ49" s="720"/>
      <c r="CK49" s="720"/>
      <c r="CL49" s="720"/>
      <c r="CM49" s="720"/>
      <c r="CN49" s="720"/>
      <c r="CO49" s="720"/>
      <c r="CP49" s="720"/>
      <c r="CQ49" s="720"/>
      <c r="CR49" s="720"/>
      <c r="CS49" s="720"/>
      <c r="CT49" s="720"/>
      <c r="CU49" s="720"/>
      <c r="CV49" s="720"/>
      <c r="CW49" s="720"/>
      <c r="CX49" s="720"/>
      <c r="CY49" s="720"/>
      <c r="CZ49" s="720"/>
      <c r="DA49" s="720"/>
      <c r="DB49" s="720"/>
      <c r="DC49" s="720"/>
      <c r="DD49" s="720"/>
      <c r="DE49" s="720"/>
      <c r="DF49" s="720"/>
      <c r="DG49" s="720"/>
      <c r="DH49" s="720"/>
      <c r="DI49" s="720"/>
      <c r="DJ49" s="720"/>
      <c r="DK49" s="720"/>
      <c r="DL49" s="720"/>
      <c r="DM49" s="720"/>
      <c r="DN49" s="720"/>
      <c r="DO49" s="720"/>
      <c r="DP49" s="720"/>
      <c r="DQ49" s="720"/>
      <c r="DR49" s="720"/>
      <c r="DS49" s="720"/>
      <c r="DT49" s="720"/>
      <c r="DU49" s="720"/>
      <c r="DV49" s="720"/>
      <c r="DW49" s="720"/>
      <c r="DX49" s="720"/>
      <c r="DY49" s="720"/>
      <c r="DZ49" s="720"/>
      <c r="EA49" s="720"/>
      <c r="EB49" s="720"/>
      <c r="EC49" s="720"/>
      <c r="ED49" s="720"/>
      <c r="EE49" s="720"/>
      <c r="EF49" s="720"/>
      <c r="EG49" s="720"/>
      <c r="EH49" s="720"/>
      <c r="EI49" s="720"/>
      <c r="EJ49" s="720"/>
      <c r="EK49" s="720"/>
      <c r="EL49" s="720"/>
      <c r="EM49" s="720"/>
      <c r="EN49" s="720"/>
      <c r="EO49" s="720"/>
      <c r="EP49" s="720"/>
    </row>
    <row r="50" spans="1:146" s="642" customFormat="1" ht="15.75">
      <c r="A50" s="720"/>
      <c r="B50" s="731"/>
      <c r="C50" s="732"/>
      <c r="D50" s="731"/>
      <c r="E50" s="732"/>
      <c r="F50" s="720"/>
      <c r="G50" s="720"/>
      <c r="H50" s="720"/>
      <c r="I50" s="720"/>
      <c r="J50" s="720"/>
      <c r="K50" s="720"/>
      <c r="L50" s="720"/>
      <c r="M50" s="720"/>
      <c r="N50" s="720"/>
      <c r="O50" s="720"/>
      <c r="P50" s="720"/>
      <c r="Q50" s="720"/>
      <c r="R50" s="720"/>
      <c r="S50" s="720"/>
      <c r="T50" s="720"/>
      <c r="U50" s="720"/>
      <c r="V50" s="720"/>
      <c r="W50" s="720"/>
      <c r="X50" s="720"/>
      <c r="Y50" s="720"/>
      <c r="Z50" s="720"/>
      <c r="AA50" s="720"/>
      <c r="AB50" s="720"/>
      <c r="AC50" s="720"/>
      <c r="AD50" s="720"/>
      <c r="AE50" s="720"/>
      <c r="AF50" s="720"/>
      <c r="AG50" s="720"/>
      <c r="AH50" s="720"/>
      <c r="AI50" s="720"/>
      <c r="AJ50" s="720"/>
      <c r="AK50" s="720"/>
      <c r="AL50" s="720"/>
      <c r="AM50" s="720"/>
      <c r="AN50" s="720"/>
      <c r="AO50" s="720"/>
      <c r="AP50" s="720"/>
      <c r="AQ50" s="720"/>
      <c r="AR50" s="720"/>
      <c r="AS50" s="720"/>
      <c r="AT50" s="720"/>
      <c r="AU50" s="720"/>
      <c r="AV50" s="720"/>
      <c r="AW50" s="720"/>
      <c r="AX50" s="720"/>
      <c r="AY50" s="720"/>
      <c r="AZ50" s="720"/>
      <c r="BA50" s="720"/>
      <c r="BB50" s="720"/>
      <c r="BC50" s="720"/>
      <c r="BD50" s="720"/>
      <c r="BE50" s="720"/>
      <c r="BF50" s="725"/>
      <c r="BG50" s="1127"/>
      <c r="BH50" s="1127"/>
      <c r="BI50" s="725"/>
      <c r="BJ50" s="725"/>
      <c r="BK50" s="725"/>
      <c r="BL50" s="725"/>
      <c r="BM50" s="725"/>
      <c r="BN50" s="725"/>
      <c r="BO50" s="725"/>
      <c r="BP50" s="725"/>
      <c r="BQ50" s="725"/>
      <c r="BR50" s="725"/>
      <c r="BS50" s="725"/>
      <c r="BT50" s="725"/>
      <c r="BU50" s="725"/>
      <c r="BV50" s="725"/>
      <c r="BW50" s="725"/>
      <c r="BX50" s="725"/>
      <c r="BY50" s="725"/>
      <c r="BZ50" s="725"/>
      <c r="CA50" s="725"/>
      <c r="CB50" s="725"/>
      <c r="CC50" s="725"/>
      <c r="CD50" s="725"/>
      <c r="CE50" s="725"/>
      <c r="CF50" s="720"/>
      <c r="CG50" s="720"/>
      <c r="CH50" s="720"/>
      <c r="CI50" s="720"/>
      <c r="CJ50" s="720"/>
      <c r="CK50" s="720"/>
      <c r="CL50" s="720"/>
      <c r="CM50" s="720"/>
      <c r="CN50" s="720"/>
      <c r="CO50" s="720"/>
      <c r="CP50" s="720"/>
      <c r="CQ50" s="720"/>
      <c r="CR50" s="720"/>
      <c r="CS50" s="720"/>
      <c r="CT50" s="720"/>
      <c r="CU50" s="720"/>
      <c r="CV50" s="720"/>
      <c r="CW50" s="720"/>
      <c r="CX50" s="720"/>
      <c r="CY50" s="720"/>
      <c r="CZ50" s="720"/>
      <c r="DA50" s="720"/>
      <c r="DB50" s="720"/>
      <c r="DC50" s="720"/>
      <c r="DD50" s="720"/>
      <c r="DE50" s="720"/>
      <c r="DF50" s="720"/>
      <c r="DG50" s="720"/>
      <c r="DH50" s="720"/>
      <c r="DI50" s="720"/>
      <c r="DJ50" s="720"/>
      <c r="DK50" s="720"/>
      <c r="DL50" s="720"/>
      <c r="DM50" s="720"/>
      <c r="DN50" s="720"/>
      <c r="DO50" s="720"/>
      <c r="DP50" s="720"/>
      <c r="DQ50" s="720"/>
      <c r="DR50" s="720"/>
      <c r="DS50" s="720"/>
      <c r="DT50" s="720"/>
      <c r="DU50" s="720"/>
      <c r="DV50" s="720"/>
      <c r="DW50" s="720"/>
      <c r="DX50" s="720"/>
      <c r="DY50" s="720"/>
      <c r="DZ50" s="720"/>
      <c r="EA50" s="720"/>
      <c r="EB50" s="720"/>
      <c r="EC50" s="720"/>
      <c r="ED50" s="720"/>
      <c r="EE50" s="720"/>
      <c r="EF50" s="720"/>
      <c r="EG50" s="720"/>
      <c r="EH50" s="720"/>
      <c r="EI50" s="720"/>
      <c r="EJ50" s="720"/>
      <c r="EK50" s="720"/>
      <c r="EL50" s="720"/>
      <c r="EM50" s="720"/>
      <c r="EN50" s="720"/>
      <c r="EO50" s="720"/>
      <c r="EP50" s="720"/>
    </row>
    <row r="51" spans="1:146" s="642" customFormat="1" ht="16.5" thickBot="1">
      <c r="A51" s="720"/>
      <c r="B51" s="731"/>
      <c r="C51" s="732"/>
      <c r="D51" s="731"/>
      <c r="E51" s="732"/>
      <c r="F51" s="720"/>
      <c r="G51" s="720"/>
      <c r="H51" s="720"/>
      <c r="I51" s="720"/>
      <c r="J51" s="720"/>
      <c r="K51" s="720"/>
      <c r="L51" s="720"/>
      <c r="M51" s="720"/>
      <c r="N51" s="720"/>
      <c r="O51" s="720"/>
      <c r="P51" s="720"/>
      <c r="Q51" s="720"/>
      <c r="R51" s="720"/>
      <c r="S51" s="720"/>
      <c r="T51" s="720"/>
      <c r="U51" s="720"/>
      <c r="V51" s="720"/>
      <c r="W51" s="720"/>
      <c r="X51" s="720"/>
      <c r="Y51" s="720"/>
      <c r="Z51" s="720"/>
      <c r="AA51" s="720"/>
      <c r="AB51" s="720"/>
      <c r="AC51" s="720"/>
      <c r="AD51" s="720"/>
      <c r="AE51" s="720"/>
      <c r="AF51" s="720"/>
      <c r="AG51" s="720"/>
      <c r="AH51" s="720"/>
      <c r="AI51" s="720"/>
      <c r="AJ51" s="720"/>
      <c r="AK51" s="720"/>
      <c r="AL51" s="720"/>
      <c r="AM51" s="720"/>
      <c r="AN51" s="720"/>
      <c r="AO51" s="720"/>
      <c r="AP51" s="720"/>
      <c r="AQ51" s="720"/>
      <c r="AR51" s="720"/>
      <c r="AS51" s="720"/>
      <c r="AT51" s="720"/>
      <c r="AU51" s="720"/>
      <c r="AV51" s="720"/>
      <c r="AW51" s="720"/>
      <c r="AX51" s="720"/>
      <c r="AY51" s="720"/>
      <c r="AZ51" s="720"/>
      <c r="BA51" s="720"/>
      <c r="BB51" s="720"/>
      <c r="BC51" s="720"/>
      <c r="BD51" s="720"/>
      <c r="BE51" s="720"/>
      <c r="BF51" s="725"/>
      <c r="BG51" s="725"/>
      <c r="BH51" s="725"/>
      <c r="BI51" s="725"/>
      <c r="BJ51" s="725"/>
      <c r="BK51" s="725"/>
      <c r="BL51" s="725"/>
      <c r="BM51" s="725"/>
      <c r="BN51" s="725"/>
      <c r="BO51" s="725"/>
      <c r="BP51" s="725"/>
      <c r="BQ51" s="725"/>
      <c r="BR51" s="725"/>
      <c r="BS51" s="725"/>
      <c r="BT51" s="725"/>
      <c r="BU51" s="725"/>
      <c r="BV51" s="725"/>
      <c r="BW51" s="725"/>
      <c r="BX51" s="725"/>
      <c r="BY51" s="725"/>
      <c r="BZ51" s="725"/>
      <c r="CA51" s="725"/>
      <c r="CB51" s="725"/>
      <c r="CC51" s="725"/>
      <c r="CD51" s="725"/>
      <c r="CE51" s="725"/>
      <c r="CF51" s="720"/>
      <c r="CG51" s="720"/>
      <c r="CH51" s="720"/>
      <c r="CI51" s="720"/>
      <c r="CJ51" s="720"/>
      <c r="CK51" s="720"/>
      <c r="CL51" s="720"/>
      <c r="CM51" s="720"/>
      <c r="CN51" s="720"/>
      <c r="CO51" s="720"/>
      <c r="CP51" s="720"/>
      <c r="CQ51" s="720"/>
      <c r="CR51" s="720"/>
      <c r="CS51" s="720"/>
      <c r="CT51" s="720"/>
      <c r="CU51" s="720"/>
      <c r="CV51" s="720"/>
      <c r="CW51" s="720"/>
      <c r="CX51" s="720"/>
      <c r="CY51" s="720"/>
      <c r="CZ51" s="720"/>
      <c r="DA51" s="720"/>
      <c r="DB51" s="720"/>
      <c r="DC51" s="720"/>
      <c r="DD51" s="720"/>
      <c r="DE51" s="720"/>
      <c r="DF51" s="720"/>
      <c r="DG51" s="720"/>
      <c r="DH51" s="720"/>
      <c r="DI51" s="720"/>
      <c r="DJ51" s="720"/>
      <c r="DK51" s="720"/>
      <c r="DL51" s="720"/>
      <c r="DM51" s="720"/>
      <c r="DN51" s="720"/>
      <c r="DO51" s="720"/>
      <c r="DP51" s="720"/>
      <c r="DQ51" s="720"/>
      <c r="DR51" s="720"/>
      <c r="DS51" s="720"/>
      <c r="DT51" s="720"/>
      <c r="DU51" s="720"/>
      <c r="DV51" s="720"/>
      <c r="DW51" s="720"/>
      <c r="DX51" s="720"/>
      <c r="DY51" s="720"/>
      <c r="DZ51" s="720"/>
      <c r="EA51" s="720"/>
      <c r="EB51" s="720"/>
      <c r="EC51" s="720"/>
      <c r="ED51" s="720"/>
      <c r="EE51" s="720"/>
      <c r="EF51" s="720"/>
      <c r="EG51" s="720"/>
      <c r="EH51" s="720"/>
      <c r="EI51" s="720"/>
      <c r="EJ51" s="720"/>
      <c r="EK51" s="720"/>
      <c r="EL51" s="720"/>
      <c r="EM51" s="720"/>
      <c r="EN51" s="720"/>
      <c r="EO51" s="720"/>
      <c r="EP51" s="720"/>
    </row>
    <row r="52" spans="1:146" s="642" customFormat="1" ht="15.75">
      <c r="A52" s="719"/>
      <c r="B52" s="731" t="s">
        <v>248</v>
      </c>
      <c r="C52" s="732">
        <f>E52/D52</f>
        <v>5.7422222222222219</v>
      </c>
      <c r="D52" s="731">
        <v>9</v>
      </c>
      <c r="E52" s="732">
        <v>51.68</v>
      </c>
      <c r="F52" s="720"/>
      <c r="G52" s="720"/>
      <c r="H52" s="720"/>
      <c r="I52" s="720"/>
      <c r="J52" s="720"/>
      <c r="K52" s="651"/>
      <c r="L52" s="1125" t="s">
        <v>621</v>
      </c>
      <c r="M52" s="1125"/>
      <c r="N52" s="1125"/>
      <c r="O52" s="1125"/>
      <c r="P52" s="1125"/>
      <c r="Q52" s="1125"/>
      <c r="R52" s="1125"/>
      <c r="S52" s="1125"/>
      <c r="T52" s="1125"/>
      <c r="U52" s="1125"/>
      <c r="V52" s="1125"/>
      <c r="W52" s="1125"/>
      <c r="X52" s="1125"/>
      <c r="Y52" s="1125"/>
      <c r="Z52" s="1125"/>
      <c r="AA52" s="1125"/>
      <c r="AB52" s="1125"/>
      <c r="AC52" s="1125"/>
      <c r="AD52" s="1125"/>
      <c r="AE52" s="1125"/>
      <c r="AF52" s="1125"/>
      <c r="AG52" s="1125"/>
      <c r="AH52" s="1125"/>
      <c r="AI52" s="1125"/>
      <c r="AJ52" s="1125"/>
      <c r="AK52" s="1125"/>
      <c r="AL52" s="1125"/>
      <c r="AM52" s="1125"/>
      <c r="AN52" s="1125"/>
      <c r="AO52" s="1126"/>
      <c r="BF52" s="643"/>
      <c r="BG52" s="643"/>
      <c r="BH52" s="643"/>
      <c r="BI52" s="643"/>
      <c r="BJ52" s="643"/>
      <c r="BK52" s="643"/>
      <c r="BL52" s="643"/>
      <c r="BM52" s="643"/>
      <c r="BN52" s="643"/>
      <c r="BO52" s="643"/>
      <c r="BP52" s="643"/>
      <c r="BQ52" s="643"/>
      <c r="BR52" s="643"/>
      <c r="BS52" s="643"/>
      <c r="BT52" s="643"/>
      <c r="BU52" s="643"/>
      <c r="BV52" s="643"/>
      <c r="BW52" s="643"/>
      <c r="BX52" s="643"/>
      <c r="BY52" s="643"/>
      <c r="BZ52" s="643"/>
      <c r="CA52" s="643"/>
      <c r="CB52" s="643"/>
      <c r="CC52" s="724"/>
      <c r="CD52" s="724"/>
      <c r="CE52" s="724"/>
      <c r="CF52" s="720"/>
      <c r="CG52" s="720"/>
      <c r="CH52" s="720"/>
      <c r="CI52" s="720"/>
      <c r="CJ52" s="720"/>
      <c r="CK52" s="720"/>
      <c r="CL52" s="720"/>
      <c r="CM52" s="720"/>
      <c r="CN52" s="720"/>
      <c r="CO52" s="720"/>
      <c r="CP52" s="720"/>
      <c r="CQ52" s="720"/>
      <c r="CR52" s="720"/>
      <c r="CS52" s="720"/>
      <c r="CT52" s="720"/>
      <c r="CU52" s="720"/>
      <c r="CV52" s="720"/>
      <c r="CW52" s="720"/>
      <c r="CX52" s="720"/>
      <c r="CY52" s="720"/>
      <c r="CZ52" s="720"/>
      <c r="DA52" s="720"/>
      <c r="DB52" s="720"/>
      <c r="DC52" s="720"/>
      <c r="DD52" s="720"/>
      <c r="DE52" s="720"/>
      <c r="DF52" s="720"/>
      <c r="DG52" s="720"/>
      <c r="DH52" s="720"/>
      <c r="DI52" s="720"/>
      <c r="DJ52" s="720"/>
      <c r="DK52" s="720"/>
      <c r="DL52" s="720"/>
      <c r="DM52" s="720"/>
      <c r="DN52" s="720"/>
      <c r="DO52" s="720"/>
      <c r="DP52" s="720"/>
      <c r="DQ52" s="720"/>
      <c r="DR52" s="720"/>
    </row>
    <row r="53" spans="1:146" s="642" customFormat="1" ht="15.75">
      <c r="A53" s="719"/>
      <c r="B53" s="1011">
        <v>2022</v>
      </c>
      <c r="C53" s="1012"/>
      <c r="D53" s="719"/>
      <c r="E53" s="720"/>
      <c r="F53" s="720"/>
      <c r="G53" s="720"/>
      <c r="H53" s="720"/>
      <c r="I53" s="720"/>
      <c r="J53" s="720"/>
      <c r="K53" s="652"/>
      <c r="L53" s="912" t="s">
        <v>611</v>
      </c>
      <c r="M53" s="912"/>
      <c r="N53" s="912"/>
      <c r="O53" s="912"/>
      <c r="P53" s="328"/>
      <c r="Q53" s="912" t="s">
        <v>612</v>
      </c>
      <c r="R53" s="912"/>
      <c r="S53" s="912"/>
      <c r="T53" s="912"/>
      <c r="U53" s="328"/>
      <c r="V53" s="912" t="s">
        <v>613</v>
      </c>
      <c r="W53" s="912"/>
      <c r="X53" s="912"/>
      <c r="Y53" s="912"/>
      <c r="Z53" s="328"/>
      <c r="AA53" s="912" t="s">
        <v>574</v>
      </c>
      <c r="AB53" s="912"/>
      <c r="AC53" s="912"/>
      <c r="AD53" s="912"/>
      <c r="AE53" s="322"/>
      <c r="AF53" s="912" t="s">
        <v>614</v>
      </c>
      <c r="AG53" s="912"/>
      <c r="AH53" s="912"/>
      <c r="AI53" s="912"/>
      <c r="AJ53" s="650"/>
      <c r="AK53" s="912" t="s">
        <v>615</v>
      </c>
      <c r="AL53" s="912"/>
      <c r="AM53" s="912"/>
      <c r="AN53" s="912"/>
      <c r="AO53" s="653"/>
      <c r="BF53" s="643"/>
      <c r="BG53" s="643"/>
      <c r="BH53" s="643"/>
      <c r="BI53" s="643"/>
      <c r="BJ53" s="643"/>
      <c r="BK53" s="643"/>
      <c r="BL53" s="643"/>
      <c r="BM53" s="643"/>
      <c r="BN53" s="643"/>
      <c r="BO53" s="643"/>
      <c r="BP53" s="643"/>
      <c r="BQ53" s="643"/>
      <c r="BR53" s="643"/>
      <c r="BS53" s="643"/>
      <c r="BT53" s="643"/>
      <c r="BU53" s="643"/>
      <c r="BV53" s="643"/>
      <c r="BW53" s="643"/>
      <c r="BX53" s="643"/>
      <c r="BY53" s="643"/>
      <c r="BZ53" s="643"/>
      <c r="CA53" s="643"/>
      <c r="CB53" s="643"/>
      <c r="CC53" s="724"/>
      <c r="CD53" s="724"/>
      <c r="CE53" s="724"/>
      <c r="CF53" s="720"/>
      <c r="CG53" s="720"/>
      <c r="CH53" s="720"/>
      <c r="CI53" s="720"/>
      <c r="CJ53" s="720"/>
      <c r="CK53" s="720"/>
      <c r="CL53" s="720"/>
      <c r="CM53" s="720"/>
      <c r="CN53" s="720"/>
      <c r="CO53" s="720"/>
      <c r="CP53" s="720"/>
      <c r="CQ53" s="720"/>
      <c r="CR53" s="720"/>
      <c r="CS53" s="720"/>
      <c r="CT53" s="720"/>
      <c r="CU53" s="720"/>
      <c r="CV53" s="720"/>
      <c r="CW53" s="720"/>
      <c r="CX53" s="720"/>
      <c r="CY53" s="720"/>
      <c r="CZ53" s="720"/>
      <c r="DA53" s="720"/>
      <c r="DB53" s="720"/>
      <c r="DC53" s="720"/>
      <c r="DD53" s="720"/>
      <c r="DE53" s="720"/>
      <c r="DF53" s="720"/>
      <c r="DG53" s="720"/>
      <c r="DH53" s="720"/>
      <c r="DI53" s="720"/>
      <c r="DJ53" s="720"/>
      <c r="DK53" s="720"/>
      <c r="DL53" s="720"/>
      <c r="DM53" s="720"/>
      <c r="DN53" s="720"/>
      <c r="DO53" s="720"/>
      <c r="DP53" s="720"/>
      <c r="DQ53" s="720"/>
      <c r="DR53" s="720"/>
    </row>
    <row r="54" spans="1:146" s="275" customFormat="1">
      <c r="A54" s="719"/>
      <c r="B54" s="737" t="s">
        <v>209</v>
      </c>
      <c r="C54" s="738" t="s">
        <v>2</v>
      </c>
      <c r="D54" s="719"/>
      <c r="E54" s="719"/>
      <c r="F54" s="719"/>
      <c r="G54" s="719"/>
      <c r="H54" s="719"/>
      <c r="I54" s="719"/>
      <c r="J54" s="719"/>
      <c r="K54" s="652"/>
      <c r="L54" s="186" t="s">
        <v>1</v>
      </c>
      <c r="M54" s="186" t="s">
        <v>232</v>
      </c>
      <c r="N54" s="294" t="s">
        <v>231</v>
      </c>
      <c r="O54" s="294" t="s">
        <v>230</v>
      </c>
      <c r="P54" s="328"/>
      <c r="Q54" s="186" t="s">
        <v>1</v>
      </c>
      <c r="R54" s="186" t="s">
        <v>232</v>
      </c>
      <c r="S54" s="294" t="s">
        <v>231</v>
      </c>
      <c r="T54" s="294" t="s">
        <v>230</v>
      </c>
      <c r="U54" s="328"/>
      <c r="V54" s="186" t="s">
        <v>1</v>
      </c>
      <c r="W54" s="186" t="s">
        <v>232</v>
      </c>
      <c r="X54" s="294" t="s">
        <v>231</v>
      </c>
      <c r="Y54" s="294" t="s">
        <v>230</v>
      </c>
      <c r="Z54" s="328"/>
      <c r="AA54" s="186" t="s">
        <v>1</v>
      </c>
      <c r="AB54" s="186" t="s">
        <v>232</v>
      </c>
      <c r="AC54" s="294" t="s">
        <v>231</v>
      </c>
      <c r="AD54" s="294" t="s">
        <v>230</v>
      </c>
      <c r="AE54" s="322"/>
      <c r="AF54" s="186" t="s">
        <v>1</v>
      </c>
      <c r="AG54" s="186" t="s">
        <v>232</v>
      </c>
      <c r="AH54" s="294" t="s">
        <v>231</v>
      </c>
      <c r="AI54" s="294" t="s">
        <v>230</v>
      </c>
      <c r="AJ54" s="322"/>
      <c r="AK54" s="186" t="s">
        <v>1</v>
      </c>
      <c r="AL54" s="186" t="s">
        <v>232</v>
      </c>
      <c r="AM54" s="294" t="s">
        <v>231</v>
      </c>
      <c r="AN54" s="294" t="s">
        <v>230</v>
      </c>
      <c r="AO54" s="654"/>
      <c r="CC54" s="719"/>
      <c r="CD54" s="719"/>
      <c r="CE54" s="719"/>
      <c r="CF54" s="719"/>
      <c r="CG54" s="719"/>
      <c r="CH54" s="719"/>
      <c r="CI54" s="719"/>
      <c r="CJ54" s="719"/>
      <c r="CK54" s="719"/>
      <c r="CL54" s="719"/>
      <c r="CM54" s="719"/>
      <c r="CN54" s="719"/>
      <c r="CO54" s="719"/>
      <c r="CP54" s="719"/>
      <c r="CQ54" s="719"/>
      <c r="CR54" s="719"/>
      <c r="CS54" s="719"/>
      <c r="CT54" s="719"/>
      <c r="CU54" s="719"/>
      <c r="CV54" s="719"/>
      <c r="CW54" s="719"/>
      <c r="CX54" s="719"/>
      <c r="CY54" s="719"/>
      <c r="CZ54" s="719"/>
      <c r="DA54" s="719"/>
      <c r="DB54" s="719"/>
      <c r="DC54" s="719"/>
      <c r="DD54" s="719"/>
      <c r="DE54" s="719"/>
      <c r="DF54" s="719"/>
      <c r="DG54" s="719"/>
      <c r="DH54" s="719"/>
      <c r="DI54" s="719"/>
      <c r="DJ54" s="719"/>
      <c r="DK54" s="719"/>
      <c r="DL54" s="719"/>
      <c r="DM54" s="719"/>
      <c r="DN54" s="719"/>
      <c r="DO54" s="719"/>
      <c r="DP54" s="719"/>
      <c r="DQ54" s="719"/>
      <c r="DR54" s="719"/>
    </row>
    <row r="55" spans="1:146" s="275" customFormat="1">
      <c r="A55" s="719"/>
      <c r="B55" s="739" t="str">
        <f t="shared" ref="B55:B70" si="131">H32</f>
        <v>MXRF11</v>
      </c>
      <c r="C55" s="740">
        <v>147.82</v>
      </c>
      <c r="D55" s="719"/>
      <c r="E55" s="719"/>
      <c r="F55" s="719"/>
      <c r="G55" s="719"/>
      <c r="H55" s="719"/>
      <c r="I55" s="719"/>
      <c r="J55" s="719"/>
      <c r="K55" s="652"/>
      <c r="L55" s="299"/>
      <c r="M55" s="812">
        <v>1</v>
      </c>
      <c r="N55" s="298"/>
      <c r="O55" s="294">
        <f t="shared" ref="O55:O66" si="132">N55*M55</f>
        <v>0</v>
      </c>
      <c r="P55" s="328"/>
      <c r="Q55" s="299"/>
      <c r="R55" s="812">
        <v>1</v>
      </c>
      <c r="S55" s="298"/>
      <c r="T55" s="294">
        <f t="shared" ref="T55:T66" si="133">S55*R55</f>
        <v>0</v>
      </c>
      <c r="U55" s="328"/>
      <c r="V55" s="299">
        <v>45159</v>
      </c>
      <c r="W55" s="812">
        <v>20</v>
      </c>
      <c r="X55" s="298">
        <v>9.99</v>
      </c>
      <c r="Y55" s="294">
        <f t="shared" ref="Y55:Y66" si="134">X55*W55</f>
        <v>199.8</v>
      </c>
      <c r="Z55" s="328"/>
      <c r="AA55" s="633"/>
      <c r="AB55" s="427">
        <v>1</v>
      </c>
      <c r="AC55" s="804"/>
      <c r="AD55" s="294">
        <f t="shared" ref="AD55:AD66" si="135">AC55*AB55</f>
        <v>0</v>
      </c>
      <c r="AE55" s="322"/>
      <c r="AF55" s="299"/>
      <c r="AG55" s="812">
        <v>1</v>
      </c>
      <c r="AH55" s="298"/>
      <c r="AI55" s="294">
        <f t="shared" ref="AI55:AI66" si="136">AH55*AG55</f>
        <v>0</v>
      </c>
      <c r="AJ55" s="322"/>
      <c r="AK55" s="299"/>
      <c r="AL55" s="812">
        <v>1</v>
      </c>
      <c r="AM55" s="298"/>
      <c r="AN55" s="294">
        <f t="shared" ref="AN55:AN66" si="137">AM55*AL55</f>
        <v>0</v>
      </c>
      <c r="AO55" s="654"/>
      <c r="CC55" s="719"/>
      <c r="CD55" s="719"/>
      <c r="CE55" s="719"/>
      <c r="CF55" s="719"/>
      <c r="CG55" s="719"/>
      <c r="CH55" s="719"/>
      <c r="CI55" s="719"/>
      <c r="CJ55" s="719"/>
      <c r="CK55" s="719"/>
      <c r="CL55" s="719"/>
      <c r="CM55" s="719"/>
      <c r="CN55" s="719"/>
      <c r="CO55" s="719"/>
      <c r="CP55" s="719"/>
      <c r="CQ55" s="719"/>
      <c r="CR55" s="719"/>
      <c r="CS55" s="719"/>
      <c r="CT55" s="719"/>
      <c r="CU55" s="719"/>
      <c r="CV55" s="719"/>
      <c r="CW55" s="719"/>
      <c r="CX55" s="719"/>
      <c r="CY55" s="719"/>
      <c r="CZ55" s="719"/>
      <c r="DA55" s="719"/>
      <c r="DB55" s="719"/>
      <c r="DC55" s="719"/>
      <c r="DD55" s="719"/>
      <c r="DE55" s="719"/>
      <c r="DF55" s="719"/>
      <c r="DG55" s="719"/>
      <c r="DH55" s="719"/>
      <c r="DI55" s="719"/>
      <c r="DJ55" s="719"/>
      <c r="DK55" s="719"/>
      <c r="DL55" s="719"/>
      <c r="DM55" s="719"/>
      <c r="DN55" s="719"/>
      <c r="DO55" s="719"/>
      <c r="DP55" s="719"/>
      <c r="DQ55" s="719"/>
      <c r="DR55" s="719"/>
    </row>
    <row r="56" spans="1:146" s="275" customFormat="1">
      <c r="A56" s="719"/>
      <c r="B56" s="739" t="str">
        <f t="shared" si="131"/>
        <v>BIME11</v>
      </c>
      <c r="C56" s="740">
        <v>34.58</v>
      </c>
      <c r="D56" s="719"/>
      <c r="E56" s="719"/>
      <c r="F56" s="719"/>
      <c r="G56" s="719"/>
      <c r="H56" s="719"/>
      <c r="I56" s="719"/>
      <c r="J56" s="719"/>
      <c r="K56" s="652"/>
      <c r="L56" s="299"/>
      <c r="M56" s="812"/>
      <c r="N56" s="298"/>
      <c r="O56" s="294">
        <f t="shared" si="132"/>
        <v>0</v>
      </c>
      <c r="P56" s="328"/>
      <c r="Q56" s="299"/>
      <c r="R56" s="812"/>
      <c r="S56" s="298"/>
      <c r="T56" s="294">
        <f t="shared" si="133"/>
        <v>0</v>
      </c>
      <c r="U56" s="328"/>
      <c r="V56" s="299"/>
      <c r="W56" s="812"/>
      <c r="X56" s="298"/>
      <c r="Y56" s="294">
        <f t="shared" si="134"/>
        <v>0</v>
      </c>
      <c r="Z56" s="328"/>
      <c r="AA56" s="299"/>
      <c r="AB56" s="812"/>
      <c r="AC56" s="298"/>
      <c r="AD56" s="294">
        <f t="shared" si="135"/>
        <v>0</v>
      </c>
      <c r="AE56" s="322"/>
      <c r="AF56" s="299"/>
      <c r="AG56" s="812"/>
      <c r="AH56" s="298"/>
      <c r="AI56" s="294">
        <f t="shared" si="136"/>
        <v>0</v>
      </c>
      <c r="AJ56" s="322"/>
      <c r="AK56" s="299"/>
      <c r="AL56" s="812"/>
      <c r="AM56" s="298"/>
      <c r="AN56" s="294">
        <f t="shared" si="137"/>
        <v>0</v>
      </c>
      <c r="AO56" s="654"/>
      <c r="CC56" s="719"/>
      <c r="CD56" s="719"/>
      <c r="CE56" s="719"/>
      <c r="CF56" s="719"/>
      <c r="CG56" s="719"/>
      <c r="CH56" s="719"/>
      <c r="CI56" s="719"/>
      <c r="CJ56" s="719"/>
      <c r="CK56" s="719"/>
      <c r="CL56" s="719"/>
      <c r="CM56" s="719"/>
      <c r="CN56" s="719"/>
      <c r="CO56" s="719"/>
      <c r="CP56" s="719"/>
      <c r="CQ56" s="719"/>
      <c r="CR56" s="719"/>
      <c r="CS56" s="719"/>
      <c r="CT56" s="719"/>
      <c r="CU56" s="719"/>
      <c r="CV56" s="719"/>
      <c r="CW56" s="719"/>
      <c r="CX56" s="719"/>
      <c r="CY56" s="719"/>
      <c r="CZ56" s="719"/>
      <c r="DA56" s="719"/>
      <c r="DB56" s="719"/>
      <c r="DC56" s="719"/>
      <c r="DD56" s="719"/>
      <c r="DE56" s="719"/>
      <c r="DF56" s="719"/>
      <c r="DG56" s="719"/>
      <c r="DH56" s="719"/>
      <c r="DI56" s="719"/>
      <c r="DJ56" s="719"/>
      <c r="DK56" s="719"/>
      <c r="DL56" s="719"/>
      <c r="DM56" s="719"/>
      <c r="DN56" s="719"/>
      <c r="DO56" s="719"/>
      <c r="DP56" s="719"/>
      <c r="DQ56" s="719"/>
      <c r="DR56" s="719"/>
    </row>
    <row r="57" spans="1:146" s="275" customFormat="1">
      <c r="A57" s="719"/>
      <c r="B57" s="739" t="str">
        <f t="shared" si="131"/>
        <v>TGAR11</v>
      </c>
      <c r="C57" s="740">
        <v>0.2</v>
      </c>
      <c r="D57" s="719"/>
      <c r="E57" s="719"/>
      <c r="F57" s="719"/>
      <c r="G57" s="719"/>
      <c r="H57" s="719"/>
      <c r="I57" s="719"/>
      <c r="J57" s="719"/>
      <c r="K57" s="652"/>
      <c r="L57" s="299"/>
      <c r="M57" s="812"/>
      <c r="N57" s="298"/>
      <c r="O57" s="294">
        <f t="shared" si="132"/>
        <v>0</v>
      </c>
      <c r="P57" s="328"/>
      <c r="Q57" s="299"/>
      <c r="R57" s="812"/>
      <c r="S57" s="298"/>
      <c r="T57" s="294">
        <f t="shared" si="133"/>
        <v>0</v>
      </c>
      <c r="U57" s="328"/>
      <c r="V57" s="299"/>
      <c r="W57" s="812"/>
      <c r="X57" s="298"/>
      <c r="Y57" s="294">
        <f t="shared" si="134"/>
        <v>0</v>
      </c>
      <c r="Z57" s="328"/>
      <c r="AA57" s="299"/>
      <c r="AB57" s="812"/>
      <c r="AC57" s="298"/>
      <c r="AD57" s="294">
        <f t="shared" si="135"/>
        <v>0</v>
      </c>
      <c r="AE57" s="322"/>
      <c r="AF57" s="299"/>
      <c r="AG57" s="812"/>
      <c r="AH57" s="298"/>
      <c r="AI57" s="294">
        <f t="shared" si="136"/>
        <v>0</v>
      </c>
      <c r="AJ57" s="322"/>
      <c r="AK57" s="299"/>
      <c r="AL57" s="812"/>
      <c r="AM57" s="298"/>
      <c r="AN57" s="294">
        <f t="shared" si="137"/>
        <v>0</v>
      </c>
      <c r="AO57" s="654"/>
      <c r="CC57" s="719"/>
      <c r="CD57" s="719"/>
      <c r="CE57" s="719"/>
      <c r="CF57" s="719"/>
      <c r="CG57" s="719"/>
      <c r="CH57" s="719"/>
      <c r="CI57" s="719"/>
      <c r="CJ57" s="719"/>
      <c r="CK57" s="719"/>
      <c r="CL57" s="719"/>
      <c r="CM57" s="719"/>
      <c r="CN57" s="719"/>
      <c r="CO57" s="719"/>
      <c r="CP57" s="719"/>
      <c r="CQ57" s="719"/>
      <c r="CR57" s="719"/>
      <c r="CS57" s="719"/>
      <c r="CT57" s="719"/>
      <c r="CU57" s="719"/>
      <c r="CV57" s="719"/>
      <c r="CW57" s="719"/>
      <c r="CX57" s="719"/>
      <c r="CY57" s="719"/>
      <c r="CZ57" s="719"/>
      <c r="DA57" s="719"/>
      <c r="DB57" s="719"/>
      <c r="DC57" s="719"/>
      <c r="DD57" s="719"/>
      <c r="DE57" s="719"/>
      <c r="DF57" s="719"/>
      <c r="DG57" s="719"/>
      <c r="DH57" s="719"/>
      <c r="DI57" s="719"/>
      <c r="DJ57" s="719"/>
      <c r="DK57" s="719"/>
      <c r="DL57" s="719"/>
      <c r="DM57" s="719"/>
      <c r="DN57" s="719"/>
      <c r="DO57" s="719"/>
      <c r="DP57" s="719"/>
      <c r="DQ57" s="719"/>
      <c r="DR57" s="719"/>
    </row>
    <row r="58" spans="1:146" s="275" customFormat="1">
      <c r="A58" s="719"/>
      <c r="B58" s="739" t="str">
        <f t="shared" si="131"/>
        <v>OURE11</v>
      </c>
      <c r="C58" s="740">
        <v>0.02</v>
      </c>
      <c r="D58" s="719"/>
      <c r="E58" s="719"/>
      <c r="F58" s="719"/>
      <c r="G58" s="719"/>
      <c r="H58" s="719"/>
      <c r="I58" s="719"/>
      <c r="J58" s="719"/>
      <c r="K58" s="652"/>
      <c r="L58" s="299"/>
      <c r="M58" s="812"/>
      <c r="N58" s="298"/>
      <c r="O58" s="294">
        <f t="shared" si="132"/>
        <v>0</v>
      </c>
      <c r="P58" s="328"/>
      <c r="Q58" s="299"/>
      <c r="R58" s="812"/>
      <c r="S58" s="298"/>
      <c r="T58" s="294">
        <f t="shared" si="133"/>
        <v>0</v>
      </c>
      <c r="U58" s="328"/>
      <c r="V58" s="299"/>
      <c r="W58" s="812"/>
      <c r="X58" s="298"/>
      <c r="Y58" s="294">
        <f t="shared" si="134"/>
        <v>0</v>
      </c>
      <c r="Z58" s="328"/>
      <c r="AA58" s="299"/>
      <c r="AB58" s="812"/>
      <c r="AC58" s="298"/>
      <c r="AD58" s="294">
        <f t="shared" si="135"/>
        <v>0</v>
      </c>
      <c r="AE58" s="322"/>
      <c r="AF58" s="299"/>
      <c r="AG58" s="812"/>
      <c r="AH58" s="298"/>
      <c r="AI58" s="294">
        <f t="shared" si="136"/>
        <v>0</v>
      </c>
      <c r="AJ58" s="322"/>
      <c r="AK58" s="299"/>
      <c r="AL58" s="812"/>
      <c r="AM58" s="298"/>
      <c r="AN58" s="294">
        <f t="shared" si="137"/>
        <v>0</v>
      </c>
      <c r="AO58" s="654"/>
      <c r="CC58" s="719"/>
      <c r="CD58" s="719"/>
      <c r="CE58" s="719"/>
      <c r="CF58" s="719"/>
      <c r="CG58" s="719"/>
      <c r="CH58" s="719"/>
      <c r="CI58" s="719"/>
      <c r="CJ58" s="719"/>
      <c r="CK58" s="719"/>
      <c r="CL58" s="719"/>
      <c r="CM58" s="719"/>
      <c r="CN58" s="719"/>
      <c r="CO58" s="719"/>
      <c r="CP58" s="719"/>
      <c r="CQ58" s="719"/>
      <c r="CR58" s="719"/>
      <c r="CS58" s="719"/>
      <c r="CT58" s="719"/>
      <c r="CU58" s="719"/>
      <c r="CV58" s="719"/>
      <c r="CW58" s="719"/>
      <c r="CX58" s="719"/>
      <c r="CY58" s="719"/>
      <c r="CZ58" s="719"/>
      <c r="DA58" s="719"/>
      <c r="DB58" s="719"/>
      <c r="DC58" s="719"/>
      <c r="DD58" s="719"/>
      <c r="DE58" s="719"/>
      <c r="DF58" s="719"/>
      <c r="DG58" s="719"/>
      <c r="DH58" s="719"/>
      <c r="DI58" s="719"/>
      <c r="DJ58" s="719"/>
      <c r="DK58" s="719"/>
      <c r="DL58" s="719"/>
      <c r="DM58" s="719"/>
      <c r="DN58" s="719"/>
      <c r="DO58" s="719"/>
      <c r="DP58" s="719"/>
      <c r="DQ58" s="719"/>
      <c r="DR58" s="719"/>
    </row>
    <row r="59" spans="1:146" s="275" customFormat="1">
      <c r="A59" s="719"/>
      <c r="B59" s="739" t="str">
        <f t="shared" si="131"/>
        <v>AIEC11</v>
      </c>
      <c r="C59" s="740">
        <v>0.26</v>
      </c>
      <c r="D59" s="719"/>
      <c r="E59" s="719"/>
      <c r="F59" s="719"/>
      <c r="G59" s="719"/>
      <c r="H59" s="719"/>
      <c r="I59" s="719"/>
      <c r="J59" s="719"/>
      <c r="K59" s="652"/>
      <c r="L59" s="299"/>
      <c r="M59" s="812"/>
      <c r="N59" s="298"/>
      <c r="O59" s="294">
        <f t="shared" si="132"/>
        <v>0</v>
      </c>
      <c r="P59" s="328"/>
      <c r="Q59" s="299"/>
      <c r="R59" s="812"/>
      <c r="S59" s="298"/>
      <c r="T59" s="294">
        <f t="shared" si="133"/>
        <v>0</v>
      </c>
      <c r="U59" s="328"/>
      <c r="V59" s="299"/>
      <c r="W59" s="812"/>
      <c r="X59" s="298"/>
      <c r="Y59" s="294">
        <f t="shared" si="134"/>
        <v>0</v>
      </c>
      <c r="Z59" s="328"/>
      <c r="AA59" s="299"/>
      <c r="AB59" s="812"/>
      <c r="AC59" s="298"/>
      <c r="AD59" s="294">
        <f t="shared" si="135"/>
        <v>0</v>
      </c>
      <c r="AE59" s="322"/>
      <c r="AF59" s="299"/>
      <c r="AG59" s="812"/>
      <c r="AH59" s="298"/>
      <c r="AI59" s="294">
        <f t="shared" si="136"/>
        <v>0</v>
      </c>
      <c r="AJ59" s="322"/>
      <c r="AK59" s="299"/>
      <c r="AL59" s="812"/>
      <c r="AM59" s="298"/>
      <c r="AN59" s="294">
        <f t="shared" si="137"/>
        <v>0</v>
      </c>
      <c r="AO59" s="654"/>
      <c r="CC59" s="719"/>
      <c r="CD59" s="719"/>
      <c r="CE59" s="719"/>
      <c r="CF59" s="719"/>
      <c r="CG59" s="719"/>
      <c r="CH59" s="719"/>
      <c r="CI59" s="719"/>
      <c r="CJ59" s="719"/>
      <c r="CK59" s="719"/>
      <c r="CL59" s="719"/>
      <c r="CM59" s="719"/>
      <c r="CN59" s="719"/>
      <c r="CO59" s="719"/>
      <c r="CP59" s="719"/>
      <c r="CQ59" s="719"/>
      <c r="CR59" s="719"/>
      <c r="CS59" s="719"/>
      <c r="CT59" s="719"/>
      <c r="CU59" s="719"/>
      <c r="CV59" s="719"/>
      <c r="CW59" s="719"/>
      <c r="CX59" s="719"/>
      <c r="CY59" s="719"/>
      <c r="CZ59" s="719"/>
      <c r="DA59" s="719"/>
      <c r="DB59" s="719"/>
      <c r="DC59" s="719"/>
      <c r="DD59" s="719"/>
      <c r="DE59" s="719"/>
      <c r="DF59" s="719"/>
      <c r="DG59" s="719"/>
      <c r="DH59" s="719"/>
      <c r="DI59" s="719"/>
      <c r="DJ59" s="719"/>
      <c r="DK59" s="719"/>
      <c r="DL59" s="719"/>
      <c r="DM59" s="719"/>
      <c r="DN59" s="719"/>
      <c r="DO59" s="719"/>
      <c r="DP59" s="719"/>
      <c r="DQ59" s="719"/>
      <c r="DR59" s="719"/>
    </row>
    <row r="60" spans="1:146" s="275" customFormat="1">
      <c r="A60" s="719"/>
      <c r="B60" s="739" t="str">
        <f t="shared" si="131"/>
        <v>RZAK11</v>
      </c>
      <c r="C60" s="740">
        <v>97.52</v>
      </c>
      <c r="D60" s="719"/>
      <c r="E60" s="719"/>
      <c r="F60" s="719"/>
      <c r="G60" s="719"/>
      <c r="H60" s="719"/>
      <c r="I60" s="719"/>
      <c r="J60" s="719"/>
      <c r="K60" s="652"/>
      <c r="L60" s="299"/>
      <c r="M60" s="812"/>
      <c r="N60" s="298"/>
      <c r="O60" s="294">
        <f t="shared" si="132"/>
        <v>0</v>
      </c>
      <c r="P60" s="328"/>
      <c r="Q60" s="299"/>
      <c r="R60" s="812"/>
      <c r="S60" s="298"/>
      <c r="T60" s="294">
        <f t="shared" si="133"/>
        <v>0</v>
      </c>
      <c r="U60" s="328"/>
      <c r="V60" s="299"/>
      <c r="W60" s="812"/>
      <c r="X60" s="298"/>
      <c r="Y60" s="294">
        <f t="shared" si="134"/>
        <v>0</v>
      </c>
      <c r="Z60" s="328"/>
      <c r="AA60" s="299"/>
      <c r="AB60" s="812"/>
      <c r="AC60" s="298"/>
      <c r="AD60" s="294">
        <f t="shared" si="135"/>
        <v>0</v>
      </c>
      <c r="AE60" s="322"/>
      <c r="AF60" s="299"/>
      <c r="AG60" s="812"/>
      <c r="AH60" s="298"/>
      <c r="AI60" s="294">
        <f t="shared" si="136"/>
        <v>0</v>
      </c>
      <c r="AJ60" s="322"/>
      <c r="AK60" s="299"/>
      <c r="AL60" s="812"/>
      <c r="AM60" s="298"/>
      <c r="AN60" s="294">
        <f t="shared" si="137"/>
        <v>0</v>
      </c>
      <c r="AO60" s="654"/>
      <c r="CC60" s="719"/>
      <c r="CD60" s="719"/>
      <c r="CE60" s="719"/>
      <c r="CF60" s="719"/>
      <c r="CG60" s="719"/>
      <c r="CH60" s="719"/>
      <c r="CI60" s="719"/>
      <c r="CJ60" s="719"/>
      <c r="CK60" s="719"/>
      <c r="CL60" s="719"/>
      <c r="CM60" s="719"/>
      <c r="CN60" s="719"/>
      <c r="CO60" s="719"/>
      <c r="CP60" s="719"/>
      <c r="CQ60" s="719"/>
      <c r="CR60" s="719"/>
      <c r="CS60" s="719"/>
      <c r="CT60" s="719"/>
      <c r="CU60" s="719"/>
      <c r="CV60" s="719"/>
      <c r="CW60" s="719"/>
      <c r="CX60" s="719"/>
      <c r="CY60" s="719"/>
      <c r="CZ60" s="719"/>
      <c r="DA60" s="719"/>
      <c r="DB60" s="719"/>
      <c r="DC60" s="719"/>
      <c r="DD60" s="719"/>
      <c r="DE60" s="719"/>
      <c r="DF60" s="719"/>
      <c r="DG60" s="719"/>
      <c r="DH60" s="719"/>
      <c r="DI60" s="719"/>
      <c r="DJ60" s="719"/>
      <c r="DK60" s="719"/>
      <c r="DL60" s="719"/>
      <c r="DM60" s="719"/>
      <c r="DN60" s="719"/>
      <c r="DO60" s="719"/>
      <c r="DP60" s="719"/>
      <c r="DQ60" s="719"/>
      <c r="DR60" s="719"/>
    </row>
    <row r="61" spans="1:146" s="275" customFormat="1">
      <c r="A61" s="719"/>
      <c r="B61" s="739" t="str">
        <f t="shared" si="131"/>
        <v>VGHF11</v>
      </c>
      <c r="C61" s="740">
        <v>114.75</v>
      </c>
      <c r="D61" s="719"/>
      <c r="E61" s="719"/>
      <c r="F61" s="719"/>
      <c r="G61" s="719"/>
      <c r="H61" s="719"/>
      <c r="I61" s="719"/>
      <c r="J61" s="719"/>
      <c r="K61" s="652"/>
      <c r="L61" s="299"/>
      <c r="M61" s="812"/>
      <c r="N61" s="298"/>
      <c r="O61" s="294">
        <f t="shared" si="132"/>
        <v>0</v>
      </c>
      <c r="P61" s="328"/>
      <c r="Q61" s="299"/>
      <c r="R61" s="812"/>
      <c r="S61" s="298"/>
      <c r="T61" s="294">
        <f t="shared" si="133"/>
        <v>0</v>
      </c>
      <c r="U61" s="328"/>
      <c r="V61" s="299"/>
      <c r="W61" s="812"/>
      <c r="X61" s="298"/>
      <c r="Y61" s="294">
        <f t="shared" si="134"/>
        <v>0</v>
      </c>
      <c r="Z61" s="328"/>
      <c r="AA61" s="299"/>
      <c r="AB61" s="812"/>
      <c r="AC61" s="298"/>
      <c r="AD61" s="294">
        <f t="shared" si="135"/>
        <v>0</v>
      </c>
      <c r="AE61" s="322"/>
      <c r="AF61" s="299"/>
      <c r="AG61" s="812"/>
      <c r="AH61" s="298"/>
      <c r="AI61" s="294">
        <f t="shared" si="136"/>
        <v>0</v>
      </c>
      <c r="AJ61" s="322"/>
      <c r="AK61" s="299"/>
      <c r="AL61" s="812"/>
      <c r="AM61" s="298"/>
      <c r="AN61" s="294">
        <f t="shared" si="137"/>
        <v>0</v>
      </c>
      <c r="AO61" s="654"/>
      <c r="CC61" s="719"/>
      <c r="CD61" s="719"/>
      <c r="CE61" s="719"/>
      <c r="CF61" s="719"/>
      <c r="CG61" s="719"/>
      <c r="CH61" s="719"/>
      <c r="CI61" s="719"/>
      <c r="CJ61" s="719"/>
      <c r="CK61" s="719"/>
      <c r="CL61" s="719"/>
      <c r="CM61" s="719"/>
      <c r="CN61" s="719"/>
      <c r="CO61" s="719"/>
      <c r="CP61" s="719"/>
      <c r="CQ61" s="719"/>
      <c r="CR61" s="719"/>
      <c r="CS61" s="719"/>
      <c r="CT61" s="719"/>
      <c r="CU61" s="719"/>
      <c r="CV61" s="719"/>
      <c r="CW61" s="719"/>
      <c r="CX61" s="719"/>
      <c r="CY61" s="719"/>
      <c r="CZ61" s="719"/>
      <c r="DA61" s="719"/>
      <c r="DB61" s="719"/>
      <c r="DC61" s="719"/>
      <c r="DD61" s="719"/>
      <c r="DE61" s="719"/>
      <c r="DF61" s="719"/>
      <c r="DG61" s="719"/>
      <c r="DH61" s="719"/>
      <c r="DI61" s="719"/>
      <c r="DJ61" s="719"/>
      <c r="DK61" s="719"/>
      <c r="DL61" s="719"/>
      <c r="DM61" s="719"/>
      <c r="DN61" s="719"/>
      <c r="DO61" s="719"/>
      <c r="DP61" s="719"/>
      <c r="DQ61" s="719"/>
      <c r="DR61" s="719"/>
    </row>
    <row r="62" spans="1:146" s="275" customFormat="1">
      <c r="A62" s="719"/>
      <c r="B62" s="739" t="str">
        <f t="shared" si="131"/>
        <v>URPR11</v>
      </c>
      <c r="C62" s="740">
        <v>102.69</v>
      </c>
      <c r="D62" s="719"/>
      <c r="E62" s="719"/>
      <c r="F62" s="719"/>
      <c r="G62" s="719"/>
      <c r="H62" s="719"/>
      <c r="I62" s="719"/>
      <c r="J62" s="719"/>
      <c r="K62" s="652"/>
      <c r="L62" s="299"/>
      <c r="M62" s="812"/>
      <c r="N62" s="298"/>
      <c r="O62" s="294">
        <f t="shared" si="132"/>
        <v>0</v>
      </c>
      <c r="P62" s="328"/>
      <c r="Q62" s="299"/>
      <c r="R62" s="812"/>
      <c r="S62" s="298"/>
      <c r="T62" s="294">
        <f t="shared" si="133"/>
        <v>0</v>
      </c>
      <c r="U62" s="328"/>
      <c r="V62" s="299"/>
      <c r="W62" s="812"/>
      <c r="X62" s="298"/>
      <c r="Y62" s="294">
        <f t="shared" si="134"/>
        <v>0</v>
      </c>
      <c r="Z62" s="328"/>
      <c r="AA62" s="299"/>
      <c r="AB62" s="812"/>
      <c r="AC62" s="298"/>
      <c r="AD62" s="294">
        <f t="shared" si="135"/>
        <v>0</v>
      </c>
      <c r="AE62" s="322"/>
      <c r="AF62" s="299"/>
      <c r="AG62" s="812"/>
      <c r="AH62" s="298"/>
      <c r="AI62" s="294">
        <f t="shared" si="136"/>
        <v>0</v>
      </c>
      <c r="AJ62" s="322"/>
      <c r="AK62" s="299"/>
      <c r="AL62" s="812"/>
      <c r="AM62" s="298"/>
      <c r="AN62" s="294">
        <f t="shared" si="137"/>
        <v>0</v>
      </c>
      <c r="AO62" s="654"/>
      <c r="CC62" s="719"/>
      <c r="CD62" s="719"/>
      <c r="CE62" s="719"/>
      <c r="CF62" s="719"/>
      <c r="CG62" s="719"/>
      <c r="CH62" s="719"/>
      <c r="CI62" s="719"/>
      <c r="CJ62" s="719"/>
      <c r="CK62" s="719"/>
      <c r="CL62" s="719"/>
      <c r="CM62" s="719"/>
      <c r="CN62" s="719"/>
      <c r="CO62" s="719"/>
      <c r="CP62" s="719"/>
      <c r="CQ62" s="719"/>
      <c r="CR62" s="719"/>
      <c r="CS62" s="719"/>
      <c r="CT62" s="719"/>
      <c r="CU62" s="719"/>
      <c r="CV62" s="719"/>
      <c r="CW62" s="719"/>
      <c r="CX62" s="719"/>
      <c r="CY62" s="719"/>
      <c r="CZ62" s="719"/>
      <c r="DA62" s="719"/>
      <c r="DB62" s="719"/>
      <c r="DC62" s="719"/>
      <c r="DD62" s="719"/>
      <c r="DE62" s="719"/>
      <c r="DF62" s="719"/>
      <c r="DG62" s="719"/>
      <c r="DH62" s="719"/>
      <c r="DI62" s="719"/>
      <c r="DJ62" s="719"/>
      <c r="DK62" s="719"/>
      <c r="DL62" s="719"/>
      <c r="DM62" s="719"/>
      <c r="DN62" s="719"/>
      <c r="DO62" s="719"/>
      <c r="DP62" s="719"/>
      <c r="DQ62" s="719"/>
      <c r="DR62" s="719"/>
    </row>
    <row r="63" spans="1:146" s="275" customFormat="1">
      <c r="A63" s="719"/>
      <c r="B63" s="739" t="str">
        <f t="shared" si="131"/>
        <v>XPCA11</v>
      </c>
      <c r="C63" s="740">
        <v>0.54</v>
      </c>
      <c r="D63" s="719"/>
      <c r="E63" s="719"/>
      <c r="F63" s="719"/>
      <c r="G63" s="719"/>
      <c r="H63" s="719"/>
      <c r="I63" s="719"/>
      <c r="J63" s="719"/>
      <c r="K63" s="652"/>
      <c r="L63" s="299"/>
      <c r="M63" s="812"/>
      <c r="N63" s="298"/>
      <c r="O63" s="294">
        <f t="shared" si="132"/>
        <v>0</v>
      </c>
      <c r="P63" s="328"/>
      <c r="Q63" s="299"/>
      <c r="R63" s="812"/>
      <c r="S63" s="298"/>
      <c r="T63" s="294">
        <f t="shared" si="133"/>
        <v>0</v>
      </c>
      <c r="U63" s="328"/>
      <c r="V63" s="299"/>
      <c r="W63" s="812"/>
      <c r="X63" s="298"/>
      <c r="Y63" s="294">
        <f t="shared" si="134"/>
        <v>0</v>
      </c>
      <c r="Z63" s="328"/>
      <c r="AA63" s="299"/>
      <c r="AB63" s="812"/>
      <c r="AC63" s="298"/>
      <c r="AD63" s="294">
        <f t="shared" si="135"/>
        <v>0</v>
      </c>
      <c r="AE63" s="322"/>
      <c r="AF63" s="299"/>
      <c r="AG63" s="812"/>
      <c r="AH63" s="298"/>
      <c r="AI63" s="294">
        <f t="shared" si="136"/>
        <v>0</v>
      </c>
      <c r="AJ63" s="322"/>
      <c r="AK63" s="299"/>
      <c r="AL63" s="812"/>
      <c r="AM63" s="298"/>
      <c r="AN63" s="294">
        <f t="shared" si="137"/>
        <v>0</v>
      </c>
      <c r="AO63" s="654"/>
      <c r="CC63" s="719"/>
      <c r="CD63" s="719"/>
      <c r="CE63" s="719"/>
      <c r="CF63" s="719"/>
      <c r="CG63" s="719"/>
      <c r="CH63" s="719"/>
      <c r="CI63" s="719"/>
      <c r="CJ63" s="719"/>
      <c r="CK63" s="719"/>
      <c r="CL63" s="719"/>
      <c r="CM63" s="719"/>
      <c r="CN63" s="719"/>
      <c r="CO63" s="719"/>
      <c r="CP63" s="719"/>
      <c r="CQ63" s="719"/>
      <c r="CR63" s="719"/>
      <c r="CS63" s="719"/>
      <c r="CT63" s="719"/>
      <c r="CU63" s="719"/>
      <c r="CV63" s="719"/>
      <c r="CW63" s="719"/>
      <c r="CX63" s="719"/>
      <c r="CY63" s="719"/>
      <c r="CZ63" s="719"/>
      <c r="DA63" s="719"/>
      <c r="DB63" s="719"/>
      <c r="DC63" s="719"/>
      <c r="DD63" s="719"/>
      <c r="DE63" s="719"/>
      <c r="DF63" s="719"/>
      <c r="DG63" s="719"/>
      <c r="DH63" s="719"/>
      <c r="DI63" s="719"/>
      <c r="DJ63" s="719"/>
      <c r="DK63" s="719"/>
      <c r="DL63" s="719"/>
      <c r="DM63" s="719"/>
      <c r="DN63" s="719"/>
      <c r="DO63" s="719"/>
      <c r="DP63" s="719"/>
      <c r="DQ63" s="719"/>
      <c r="DR63" s="719"/>
    </row>
    <row r="64" spans="1:146" s="275" customFormat="1">
      <c r="A64" s="719"/>
      <c r="B64" s="739" t="str">
        <f t="shared" si="131"/>
        <v>VGIA11</v>
      </c>
      <c r="C64" s="740">
        <v>0.25</v>
      </c>
      <c r="D64" s="719"/>
      <c r="E64" s="719"/>
      <c r="F64" s="719"/>
      <c r="G64" s="719"/>
      <c r="H64" s="719"/>
      <c r="I64" s="719"/>
      <c r="J64" s="719"/>
      <c r="K64" s="652"/>
      <c r="L64" s="299"/>
      <c r="M64" s="812"/>
      <c r="N64" s="298"/>
      <c r="O64" s="294">
        <f t="shared" si="132"/>
        <v>0</v>
      </c>
      <c r="P64" s="328"/>
      <c r="Q64" s="299"/>
      <c r="R64" s="812"/>
      <c r="S64" s="298"/>
      <c r="T64" s="294">
        <f t="shared" si="133"/>
        <v>0</v>
      </c>
      <c r="U64" s="328"/>
      <c r="V64" s="299"/>
      <c r="W64" s="812"/>
      <c r="X64" s="298"/>
      <c r="Y64" s="294">
        <f t="shared" si="134"/>
        <v>0</v>
      </c>
      <c r="Z64" s="328"/>
      <c r="AA64" s="299"/>
      <c r="AB64" s="812"/>
      <c r="AC64" s="298"/>
      <c r="AD64" s="294">
        <f t="shared" si="135"/>
        <v>0</v>
      </c>
      <c r="AE64" s="322"/>
      <c r="AF64" s="299"/>
      <c r="AG64" s="812"/>
      <c r="AH64" s="298"/>
      <c r="AI64" s="294">
        <f t="shared" si="136"/>
        <v>0</v>
      </c>
      <c r="AJ64" s="322"/>
      <c r="AK64" s="299"/>
      <c r="AL64" s="812"/>
      <c r="AM64" s="298"/>
      <c r="AN64" s="294">
        <f t="shared" si="137"/>
        <v>0</v>
      </c>
      <c r="AO64" s="654"/>
      <c r="CC64" s="719"/>
      <c r="CD64" s="719"/>
      <c r="CE64" s="719"/>
      <c r="CF64" s="719"/>
      <c r="CG64" s="719"/>
      <c r="CH64" s="719"/>
      <c r="CI64" s="719"/>
      <c r="CJ64" s="719"/>
      <c r="CK64" s="719"/>
      <c r="CL64" s="719"/>
      <c r="CM64" s="719"/>
      <c r="CN64" s="719"/>
      <c r="CO64" s="719"/>
      <c r="CP64" s="719"/>
      <c r="CQ64" s="719"/>
      <c r="CR64" s="719"/>
      <c r="CS64" s="719"/>
      <c r="CT64" s="719"/>
      <c r="CU64" s="719"/>
      <c r="CV64" s="719"/>
      <c r="CW64" s="719"/>
      <c r="CX64" s="719"/>
      <c r="CY64" s="719"/>
      <c r="CZ64" s="719"/>
      <c r="DA64" s="719"/>
      <c r="DB64" s="719"/>
      <c r="DC64" s="719"/>
      <c r="DD64" s="719"/>
      <c r="DE64" s="719"/>
      <c r="DF64" s="719"/>
      <c r="DG64" s="719"/>
      <c r="DH64" s="719"/>
      <c r="DI64" s="719"/>
      <c r="DJ64" s="719"/>
      <c r="DK64" s="719"/>
      <c r="DL64" s="719"/>
      <c r="DM64" s="719"/>
      <c r="DN64" s="719"/>
      <c r="DO64" s="719"/>
      <c r="DP64" s="719"/>
      <c r="DQ64" s="719"/>
      <c r="DR64" s="719"/>
    </row>
    <row r="65" spans="1:122" s="275" customFormat="1">
      <c r="A65" s="785" t="s">
        <v>604</v>
      </c>
      <c r="B65" s="739" t="str">
        <f t="shared" si="131"/>
        <v>CPTR11</v>
      </c>
      <c r="C65" s="740">
        <v>0</v>
      </c>
      <c r="D65" s="719"/>
      <c r="E65" s="719"/>
      <c r="F65" s="719"/>
      <c r="G65" s="719"/>
      <c r="H65" s="719"/>
      <c r="I65" s="719"/>
      <c r="J65" s="719"/>
      <c r="K65" s="652"/>
      <c r="L65" s="299"/>
      <c r="M65" s="812"/>
      <c r="N65" s="298"/>
      <c r="O65" s="294">
        <f t="shared" si="132"/>
        <v>0</v>
      </c>
      <c r="P65" s="328"/>
      <c r="Q65" s="299"/>
      <c r="R65" s="812"/>
      <c r="S65" s="298"/>
      <c r="T65" s="294">
        <f t="shared" si="133"/>
        <v>0</v>
      </c>
      <c r="U65" s="328"/>
      <c r="V65" s="299"/>
      <c r="W65" s="812"/>
      <c r="X65" s="298"/>
      <c r="Y65" s="294">
        <f t="shared" si="134"/>
        <v>0</v>
      </c>
      <c r="Z65" s="328"/>
      <c r="AA65" s="299"/>
      <c r="AB65" s="812"/>
      <c r="AC65" s="298"/>
      <c r="AD65" s="294">
        <f t="shared" si="135"/>
        <v>0</v>
      </c>
      <c r="AE65" s="322"/>
      <c r="AF65" s="299"/>
      <c r="AG65" s="812"/>
      <c r="AH65" s="298"/>
      <c r="AI65" s="294">
        <f t="shared" si="136"/>
        <v>0</v>
      </c>
      <c r="AJ65" s="322"/>
      <c r="AK65" s="299"/>
      <c r="AL65" s="812"/>
      <c r="AM65" s="298"/>
      <c r="AN65" s="294">
        <f t="shared" si="137"/>
        <v>0</v>
      </c>
      <c r="AO65" s="654"/>
      <c r="CC65" s="719"/>
      <c r="CD65" s="719"/>
      <c r="CE65" s="719"/>
      <c r="CF65" s="719"/>
      <c r="CG65" s="719"/>
      <c r="CH65" s="719"/>
      <c r="CI65" s="719"/>
      <c r="CJ65" s="719"/>
      <c r="CK65" s="719"/>
      <c r="CL65" s="719"/>
      <c r="CM65" s="719"/>
      <c r="CN65" s="719"/>
      <c r="CO65" s="719"/>
      <c r="CP65" s="719"/>
      <c r="CQ65" s="719"/>
      <c r="CR65" s="719"/>
      <c r="CS65" s="719"/>
      <c r="CT65" s="719"/>
      <c r="CU65" s="719"/>
      <c r="CV65" s="719"/>
      <c r="CW65" s="719"/>
      <c r="CX65" s="719"/>
      <c r="CY65" s="719"/>
      <c r="CZ65" s="719"/>
      <c r="DA65" s="719"/>
      <c r="DB65" s="719"/>
      <c r="DC65" s="719"/>
      <c r="DD65" s="719"/>
      <c r="DE65" s="719"/>
      <c r="DF65" s="719"/>
      <c r="DG65" s="719"/>
      <c r="DH65" s="719"/>
      <c r="DI65" s="719"/>
      <c r="DJ65" s="719"/>
      <c r="DK65" s="719"/>
      <c r="DL65" s="719"/>
      <c r="DM65" s="719"/>
      <c r="DN65" s="719"/>
      <c r="DO65" s="719"/>
      <c r="DP65" s="719"/>
      <c r="DQ65" s="719"/>
      <c r="DR65" s="719"/>
    </row>
    <row r="66" spans="1:122" s="275" customFormat="1">
      <c r="A66" s="785" t="s">
        <v>584</v>
      </c>
      <c r="B66" s="739" t="str">
        <f t="shared" si="131"/>
        <v>JPPA11</v>
      </c>
      <c r="C66" s="740">
        <v>0</v>
      </c>
      <c r="D66" s="719"/>
      <c r="E66" s="719"/>
      <c r="F66" s="719"/>
      <c r="G66" s="719"/>
      <c r="H66" s="719"/>
      <c r="I66" s="719"/>
      <c r="J66" s="719"/>
      <c r="K66" s="652"/>
      <c r="L66" s="299"/>
      <c r="M66" s="812"/>
      <c r="N66" s="298"/>
      <c r="O66" s="294">
        <f t="shared" si="132"/>
        <v>0</v>
      </c>
      <c r="P66" s="328"/>
      <c r="Q66" s="299"/>
      <c r="R66" s="812"/>
      <c r="S66" s="298"/>
      <c r="T66" s="294">
        <f t="shared" si="133"/>
        <v>0</v>
      </c>
      <c r="U66" s="328"/>
      <c r="V66" s="299"/>
      <c r="W66" s="812"/>
      <c r="X66" s="298"/>
      <c r="Y66" s="294">
        <f t="shared" si="134"/>
        <v>0</v>
      </c>
      <c r="Z66" s="328"/>
      <c r="AA66" s="299"/>
      <c r="AB66" s="812"/>
      <c r="AC66" s="298"/>
      <c r="AD66" s="294">
        <f t="shared" si="135"/>
        <v>0</v>
      </c>
      <c r="AE66" s="322"/>
      <c r="AF66" s="299"/>
      <c r="AG66" s="812"/>
      <c r="AH66" s="298"/>
      <c r="AI66" s="294">
        <f t="shared" si="136"/>
        <v>0</v>
      </c>
      <c r="AJ66" s="322"/>
      <c r="AK66" s="299"/>
      <c r="AL66" s="812"/>
      <c r="AM66" s="298"/>
      <c r="AN66" s="294">
        <f t="shared" si="137"/>
        <v>0</v>
      </c>
      <c r="AO66" s="654"/>
      <c r="CC66" s="719"/>
      <c r="CD66" s="719"/>
      <c r="CE66" s="719"/>
      <c r="CF66" s="719"/>
      <c r="CG66" s="719"/>
      <c r="CH66" s="719"/>
      <c r="CI66" s="719"/>
      <c r="CJ66" s="719"/>
      <c r="CK66" s="719"/>
      <c r="CL66" s="719"/>
      <c r="CM66" s="719"/>
      <c r="CN66" s="719"/>
      <c r="CO66" s="719"/>
      <c r="CP66" s="719"/>
      <c r="CQ66" s="719"/>
      <c r="CR66" s="719"/>
      <c r="CS66" s="719"/>
      <c r="CT66" s="719"/>
      <c r="CU66" s="719"/>
      <c r="CV66" s="719"/>
      <c r="CW66" s="719"/>
      <c r="CX66" s="719"/>
      <c r="CY66" s="719"/>
      <c r="CZ66" s="719"/>
      <c r="DA66" s="719"/>
      <c r="DB66" s="719"/>
      <c r="DC66" s="719"/>
      <c r="DD66" s="719"/>
      <c r="DE66" s="719"/>
      <c r="DF66" s="719"/>
      <c r="DG66" s="719"/>
      <c r="DH66" s="719"/>
      <c r="DI66" s="719"/>
      <c r="DJ66" s="719"/>
      <c r="DK66" s="719"/>
      <c r="DL66" s="719"/>
      <c r="DM66" s="719"/>
      <c r="DN66" s="719"/>
      <c r="DO66" s="719"/>
      <c r="DP66" s="719"/>
      <c r="DQ66" s="719"/>
      <c r="DR66" s="719"/>
    </row>
    <row r="67" spans="1:122" s="275" customFormat="1">
      <c r="A67" s="785" t="s">
        <v>587</v>
      </c>
      <c r="B67" s="739" t="str">
        <f t="shared" si="131"/>
        <v>FGAA11</v>
      </c>
      <c r="C67" s="740">
        <v>0</v>
      </c>
      <c r="D67" s="719"/>
      <c r="E67" s="719"/>
      <c r="F67" s="719"/>
      <c r="G67" s="719"/>
      <c r="H67" s="719"/>
      <c r="I67" s="719"/>
      <c r="J67" s="719"/>
      <c r="K67" s="652"/>
      <c r="L67" s="186" t="s">
        <v>229</v>
      </c>
      <c r="M67" s="186">
        <f>SUM(M55:M66)+M68</f>
        <v>1</v>
      </c>
      <c r="N67" s="294"/>
      <c r="O67" s="294">
        <f>SUM(O55:O66)</f>
        <v>0</v>
      </c>
      <c r="P67" s="328"/>
      <c r="Q67" s="186" t="s">
        <v>229</v>
      </c>
      <c r="R67" s="186">
        <f>SUM(R55:R66)+R68</f>
        <v>1</v>
      </c>
      <c r="S67" s="294"/>
      <c r="T67" s="294">
        <f>SUM(T55:T66)</f>
        <v>0</v>
      </c>
      <c r="U67" s="328"/>
      <c r="V67" s="186" t="s">
        <v>229</v>
      </c>
      <c r="W67" s="186">
        <f>SUM(W55:W66)+W68</f>
        <v>20</v>
      </c>
      <c r="X67" s="294"/>
      <c r="Y67" s="294">
        <f>SUM(Y55:Y66)</f>
        <v>199.8</v>
      </c>
      <c r="Z67" s="328"/>
      <c r="AA67" s="186" t="s">
        <v>229</v>
      </c>
      <c r="AB67" s="186">
        <f>SUM(AB55:AB66)+AB68</f>
        <v>1</v>
      </c>
      <c r="AC67" s="294"/>
      <c r="AD67" s="294">
        <f>SUM(AD55:AD66)</f>
        <v>0</v>
      </c>
      <c r="AE67" s="322"/>
      <c r="AF67" s="186" t="s">
        <v>229</v>
      </c>
      <c r="AG67" s="186">
        <f>SUM(AG55:AG66)+AG68</f>
        <v>1</v>
      </c>
      <c r="AH67" s="294"/>
      <c r="AI67" s="294">
        <f>SUM(AI55:AI66)</f>
        <v>0</v>
      </c>
      <c r="AJ67" s="322"/>
      <c r="AK67" s="186" t="s">
        <v>229</v>
      </c>
      <c r="AL67" s="186">
        <f>SUM(AL55:AL66)+AL68</f>
        <v>1</v>
      </c>
      <c r="AM67" s="294"/>
      <c r="AN67" s="294">
        <f>SUM(AN55:AN66)</f>
        <v>0</v>
      </c>
      <c r="AO67" s="654"/>
      <c r="CC67" s="719"/>
      <c r="CD67" s="719"/>
      <c r="CE67" s="719"/>
      <c r="CF67" s="719"/>
      <c r="CG67" s="719"/>
      <c r="CH67" s="719"/>
      <c r="CI67" s="719"/>
      <c r="CJ67" s="719"/>
      <c r="CK67" s="719"/>
      <c r="CL67" s="719"/>
      <c r="CM67" s="719"/>
      <c r="CN67" s="719"/>
      <c r="CO67" s="719"/>
      <c r="CP67" s="719"/>
      <c r="CQ67" s="719"/>
      <c r="CR67" s="719"/>
      <c r="CS67" s="719"/>
      <c r="CT67" s="719"/>
      <c r="CU67" s="719"/>
      <c r="CV67" s="719"/>
      <c r="CW67" s="719"/>
      <c r="CX67" s="719"/>
      <c r="CY67" s="719"/>
      <c r="CZ67" s="719"/>
      <c r="DA67" s="719"/>
      <c r="DB67" s="719"/>
      <c r="DC67" s="719"/>
      <c r="DD67" s="719"/>
      <c r="DE67" s="719"/>
      <c r="DF67" s="719"/>
      <c r="DG67" s="719"/>
      <c r="DH67" s="719"/>
      <c r="DI67" s="719"/>
      <c r="DJ67" s="719"/>
      <c r="DK67" s="719"/>
      <c r="DL67" s="719"/>
      <c r="DM67" s="719"/>
      <c r="DN67" s="719"/>
      <c r="DO67" s="719"/>
      <c r="DP67" s="719"/>
      <c r="DQ67" s="719"/>
      <c r="DR67" s="719"/>
    </row>
    <row r="68" spans="1:122" s="275" customFormat="1">
      <c r="A68" s="785" t="s">
        <v>584</v>
      </c>
      <c r="B68" s="739" t="str">
        <f t="shared" si="131"/>
        <v>VCRI11</v>
      </c>
      <c r="C68" s="740">
        <v>0</v>
      </c>
      <c r="D68" s="719"/>
      <c r="E68" s="719"/>
      <c r="F68" s="719"/>
      <c r="G68" s="719"/>
      <c r="H68" s="719"/>
      <c r="I68" s="719"/>
      <c r="J68" s="719"/>
      <c r="K68" s="652"/>
      <c r="L68" s="647"/>
      <c r="M68" s="648">
        <v>0</v>
      </c>
      <c r="N68" s="649"/>
      <c r="O68" s="649"/>
      <c r="P68" s="666"/>
      <c r="Q68" s="648"/>
      <c r="R68" s="648">
        <v>0</v>
      </c>
      <c r="S68" s="649"/>
      <c r="T68" s="649"/>
      <c r="U68" s="666"/>
      <c r="V68" s="648"/>
      <c r="W68" s="648">
        <v>0</v>
      </c>
      <c r="X68" s="649"/>
      <c r="Y68" s="649"/>
      <c r="Z68" s="666"/>
      <c r="AA68" s="648"/>
      <c r="AB68" s="648">
        <v>0</v>
      </c>
      <c r="AC68" s="649"/>
      <c r="AD68" s="649"/>
      <c r="AE68" s="666"/>
      <c r="AF68" s="648"/>
      <c r="AG68" s="648">
        <v>0</v>
      </c>
      <c r="AH68" s="649"/>
      <c r="AI68" s="649"/>
      <c r="AJ68" s="666"/>
      <c r="AK68" s="648"/>
      <c r="AL68" s="648">
        <v>0</v>
      </c>
      <c r="AM68" s="649"/>
      <c r="AN68" s="649"/>
      <c r="AO68" s="654"/>
      <c r="CC68" s="719"/>
      <c r="CD68" s="719"/>
      <c r="CE68" s="719"/>
      <c r="CF68" s="719"/>
      <c r="CG68" s="719"/>
      <c r="CH68" s="719"/>
      <c r="CI68" s="719"/>
      <c r="CJ68" s="719"/>
      <c r="CK68" s="719"/>
      <c r="CL68" s="719"/>
      <c r="CM68" s="719"/>
      <c r="CN68" s="719"/>
      <c r="CO68" s="719"/>
      <c r="CP68" s="719"/>
      <c r="CQ68" s="719"/>
      <c r="CR68" s="719"/>
      <c r="CS68" s="719"/>
      <c r="CT68" s="719"/>
      <c r="CU68" s="719"/>
      <c r="CV68" s="719"/>
      <c r="CW68" s="719"/>
      <c r="CX68" s="719"/>
      <c r="CY68" s="719"/>
      <c r="CZ68" s="719"/>
      <c r="DA68" s="719"/>
      <c r="DB68" s="719"/>
      <c r="DC68" s="719"/>
      <c r="DD68" s="719"/>
      <c r="DE68" s="719"/>
      <c r="DF68" s="719"/>
      <c r="DG68" s="719"/>
      <c r="DH68" s="719"/>
      <c r="DI68" s="719"/>
      <c r="DJ68" s="719"/>
      <c r="DK68" s="719"/>
      <c r="DL68" s="719"/>
      <c r="DM68" s="719"/>
      <c r="DN68" s="719"/>
      <c r="DO68" s="719"/>
      <c r="DP68" s="719"/>
      <c r="DQ68" s="719"/>
      <c r="DR68" s="719"/>
    </row>
    <row r="69" spans="1:122" s="275" customFormat="1" ht="15.75" thickBot="1">
      <c r="A69" s="785" t="s">
        <v>584</v>
      </c>
      <c r="B69" s="739" t="str">
        <f t="shared" si="131"/>
        <v>BBFI11</v>
      </c>
      <c r="C69" s="740">
        <v>0</v>
      </c>
      <c r="D69" s="719"/>
      <c r="E69" s="719"/>
      <c r="F69" s="719"/>
      <c r="G69" s="719"/>
      <c r="H69" s="719"/>
      <c r="I69" s="719"/>
      <c r="J69" s="719"/>
      <c r="K69" s="655"/>
      <c r="L69" s="656"/>
      <c r="M69" s="657"/>
      <c r="N69" s="658"/>
      <c r="O69" s="658"/>
      <c r="P69" s="659"/>
      <c r="Q69" s="657"/>
      <c r="R69" s="657"/>
      <c r="S69" s="658"/>
      <c r="T69" s="658"/>
      <c r="U69" s="659"/>
      <c r="V69" s="657"/>
      <c r="W69" s="657"/>
      <c r="X69" s="658"/>
      <c r="Y69" s="658"/>
      <c r="Z69" s="659"/>
      <c r="AA69" s="657"/>
      <c r="AB69" s="657"/>
      <c r="AC69" s="660"/>
      <c r="AD69" s="660"/>
      <c r="AE69" s="661"/>
      <c r="AF69" s="662"/>
      <c r="AG69" s="662"/>
      <c r="AH69" s="663"/>
      <c r="AI69" s="664"/>
      <c r="AJ69" s="661"/>
      <c r="AK69" s="661"/>
      <c r="AL69" s="661"/>
      <c r="AM69" s="661"/>
      <c r="AN69" s="661"/>
      <c r="AO69" s="665"/>
      <c r="CC69" s="719"/>
      <c r="CD69" s="719"/>
      <c r="CE69" s="719"/>
      <c r="CF69" s="719"/>
      <c r="CG69" s="719"/>
      <c r="CH69" s="719"/>
      <c r="CI69" s="719"/>
      <c r="CJ69" s="719"/>
      <c r="CK69" s="719"/>
      <c r="CL69" s="719"/>
      <c r="CM69" s="719"/>
      <c r="CN69" s="719"/>
      <c r="CO69" s="719"/>
      <c r="CP69" s="719"/>
      <c r="CQ69" s="719"/>
      <c r="CR69" s="719"/>
      <c r="CS69" s="719"/>
      <c r="CT69" s="719"/>
      <c r="CU69" s="719"/>
      <c r="CV69" s="719"/>
      <c r="CW69" s="719"/>
      <c r="CX69" s="719"/>
      <c r="CY69" s="719"/>
      <c r="CZ69" s="719"/>
      <c r="DA69" s="719"/>
      <c r="DB69" s="719"/>
      <c r="DC69" s="719"/>
      <c r="DD69" s="719"/>
      <c r="DE69" s="719"/>
      <c r="DF69" s="719"/>
      <c r="DG69" s="719"/>
      <c r="DH69" s="719"/>
      <c r="DI69" s="719"/>
      <c r="DJ69" s="719"/>
      <c r="DK69" s="719"/>
      <c r="DL69" s="719"/>
      <c r="DM69" s="719"/>
      <c r="DN69" s="719"/>
      <c r="DO69" s="719"/>
      <c r="DP69" s="719"/>
      <c r="DQ69" s="719"/>
      <c r="DR69" s="719"/>
    </row>
    <row r="70" spans="1:122" s="719" customFormat="1">
      <c r="A70" s="785" t="s">
        <v>655</v>
      </c>
      <c r="B70" s="739" t="str">
        <f t="shared" si="131"/>
        <v>RBOP11</v>
      </c>
      <c r="C70" s="740">
        <v>0</v>
      </c>
      <c r="N70" s="721"/>
      <c r="O70" s="721"/>
      <c r="S70" s="721"/>
      <c r="T70" s="721"/>
      <c r="X70" s="721"/>
      <c r="Y70" s="721"/>
      <c r="AC70" s="721"/>
      <c r="AD70" s="721"/>
      <c r="AH70" s="721"/>
      <c r="AI70" s="721"/>
    </row>
    <row r="71" spans="1:122" ht="27" customHeight="1">
      <c r="A71" s="785"/>
      <c r="B71" s="719"/>
      <c r="C71" s="719"/>
      <c r="D71" s="719"/>
      <c r="E71" s="719"/>
      <c r="F71" s="719"/>
      <c r="G71" s="719"/>
      <c r="H71" s="719"/>
      <c r="I71" s="719"/>
      <c r="J71" s="719"/>
      <c r="K71" s="334"/>
      <c r="L71" s="1031" t="s">
        <v>203</v>
      </c>
      <c r="M71" s="1031"/>
      <c r="N71" s="1031"/>
      <c r="O71" s="1031"/>
      <c r="P71" s="1031"/>
      <c r="Q71" s="1031"/>
      <c r="R71" s="1031"/>
      <c r="S71" s="1031"/>
      <c r="T71" s="1031"/>
      <c r="U71" s="1031"/>
      <c r="V71" s="1031"/>
      <c r="W71" s="1031"/>
      <c r="X71" s="1031"/>
      <c r="Y71" s="1031"/>
      <c r="Z71" s="1031"/>
      <c r="AA71" s="1031"/>
      <c r="AB71" s="1031"/>
      <c r="AC71" s="1031"/>
      <c r="AD71" s="1031"/>
      <c r="AE71" s="1031"/>
      <c r="AF71" s="1031"/>
      <c r="AG71" s="1031"/>
      <c r="AH71" s="1031"/>
      <c r="AI71" s="1031"/>
      <c r="AJ71" s="333"/>
    </row>
    <row r="72" spans="1:122">
      <c r="B72" s="719"/>
      <c r="C72" s="719"/>
      <c r="D72" s="719"/>
      <c r="E72" s="719"/>
      <c r="F72" s="719"/>
      <c r="G72" s="719"/>
      <c r="H72" s="719"/>
      <c r="I72" s="719"/>
      <c r="J72" s="719"/>
      <c r="K72" s="327"/>
      <c r="L72" s="912" t="s">
        <v>243</v>
      </c>
      <c r="M72" s="912"/>
      <c r="N72" s="912"/>
      <c r="O72" s="912"/>
      <c r="P72" s="329"/>
      <c r="Q72" s="912" t="s">
        <v>236</v>
      </c>
      <c r="R72" s="912"/>
      <c r="S72" s="912"/>
      <c r="T72" s="912"/>
      <c r="U72" s="329"/>
      <c r="V72" s="912" t="s">
        <v>292</v>
      </c>
      <c r="W72" s="912"/>
      <c r="X72" s="912"/>
      <c r="Y72" s="912"/>
      <c r="Z72" s="329"/>
      <c r="AA72" s="912" t="s">
        <v>557</v>
      </c>
      <c r="AB72" s="912"/>
      <c r="AC72" s="912"/>
      <c r="AD72" s="912"/>
      <c r="AE72" s="325"/>
      <c r="AF72" s="912" t="s">
        <v>342</v>
      </c>
      <c r="AG72" s="912"/>
      <c r="AH72" s="912"/>
      <c r="AI72" s="912"/>
      <c r="AJ72" s="325"/>
    </row>
    <row r="73" spans="1:122">
      <c r="B73" s="1113" t="s">
        <v>655</v>
      </c>
      <c r="C73" s="802" t="s">
        <v>613</v>
      </c>
      <c r="D73" s="719"/>
      <c r="E73" s="719"/>
      <c r="F73" s="719"/>
      <c r="G73" s="719"/>
      <c r="H73" s="719"/>
      <c r="I73" s="719"/>
      <c r="J73" s="719"/>
      <c r="K73" s="327"/>
      <c r="L73" s="186" t="s">
        <v>1</v>
      </c>
      <c r="M73" s="186" t="s">
        <v>232</v>
      </c>
      <c r="N73" s="294" t="s">
        <v>231</v>
      </c>
      <c r="O73" s="294" t="s">
        <v>230</v>
      </c>
      <c r="P73" s="329"/>
      <c r="Q73" s="186" t="s">
        <v>1</v>
      </c>
      <c r="R73" s="186" t="s">
        <v>232</v>
      </c>
      <c r="S73" s="294" t="s">
        <v>231</v>
      </c>
      <c r="T73" s="294" t="s">
        <v>230</v>
      </c>
      <c r="U73" s="329"/>
      <c r="V73" s="186" t="s">
        <v>1</v>
      </c>
      <c r="W73" s="186" t="s">
        <v>232</v>
      </c>
      <c r="X73" s="294" t="s">
        <v>231</v>
      </c>
      <c r="Y73" s="294" t="s">
        <v>230</v>
      </c>
      <c r="Z73" s="329"/>
      <c r="AA73" s="186" t="s">
        <v>1</v>
      </c>
      <c r="AB73" s="186" t="s">
        <v>232</v>
      </c>
      <c r="AC73" s="294" t="s">
        <v>231</v>
      </c>
      <c r="AD73" s="294" t="s">
        <v>230</v>
      </c>
      <c r="AE73" s="325"/>
      <c r="AF73" s="186" t="s">
        <v>1</v>
      </c>
      <c r="AG73" s="186" t="s">
        <v>232</v>
      </c>
      <c r="AH73" s="294" t="s">
        <v>231</v>
      </c>
      <c r="AI73" s="294" t="s">
        <v>230</v>
      </c>
      <c r="AJ73" s="325"/>
    </row>
    <row r="74" spans="1:122">
      <c r="B74" s="1113"/>
      <c r="C74" s="801" t="str">
        <f>O109</f>
        <v>BIME11</v>
      </c>
      <c r="D74" s="719"/>
      <c r="E74" s="719"/>
      <c r="F74" s="719"/>
      <c r="G74" s="719"/>
      <c r="H74" s="719"/>
      <c r="I74" s="719"/>
      <c r="J74" s="719"/>
      <c r="K74" s="327"/>
      <c r="L74" s="299">
        <v>45169</v>
      </c>
      <c r="M74" s="812">
        <v>3</v>
      </c>
      <c r="N74" s="298">
        <v>10.3666</v>
      </c>
      <c r="O74" s="294">
        <f t="shared" ref="O74:O85" si="138">N74*M74</f>
        <v>31.099800000000002</v>
      </c>
      <c r="P74" s="329"/>
      <c r="Q74" s="299">
        <v>44998</v>
      </c>
      <c r="R74" s="812">
        <v>9</v>
      </c>
      <c r="S74" s="298">
        <f>7</f>
        <v>7</v>
      </c>
      <c r="T74" s="294">
        <f t="shared" ref="T74:T85" si="139">S74*R74</f>
        <v>63</v>
      </c>
      <c r="U74" s="329"/>
      <c r="V74" s="299">
        <v>45013</v>
      </c>
      <c r="W74" s="812">
        <v>1</v>
      </c>
      <c r="X74" s="298">
        <v>115.99</v>
      </c>
      <c r="Y74" s="294">
        <f t="shared" ref="Y74:Y85" si="140">X74*W74</f>
        <v>115.99</v>
      </c>
      <c r="Z74" s="329"/>
      <c r="AA74" s="633">
        <v>45119</v>
      </c>
      <c r="AB74" s="427">
        <v>1</v>
      </c>
      <c r="AC74" s="804">
        <v>83.15</v>
      </c>
      <c r="AD74" s="294">
        <f t="shared" ref="AD74:AD85" si="141">AC74*AB74</f>
        <v>83.15</v>
      </c>
      <c r="AE74" s="325"/>
      <c r="AF74" s="299">
        <v>45013</v>
      </c>
      <c r="AG74" s="812">
        <v>2</v>
      </c>
      <c r="AH74" s="298">
        <v>60.67</v>
      </c>
      <c r="AI74" s="294">
        <f t="shared" ref="AI74:AI85" si="142">AH74*AG74</f>
        <v>121.34</v>
      </c>
      <c r="AJ74" s="325"/>
    </row>
    <row r="75" spans="1:122">
      <c r="B75" s="781" t="s">
        <v>604</v>
      </c>
      <c r="C75" s="780" t="str">
        <f>AA109</f>
        <v>VGIA11</v>
      </c>
      <c r="D75" s="719"/>
      <c r="E75" s="719"/>
      <c r="F75" s="719"/>
      <c r="G75" s="719"/>
      <c r="H75" s="719"/>
      <c r="I75" s="719"/>
      <c r="J75" s="719"/>
      <c r="K75" s="327"/>
      <c r="L75" s="299"/>
      <c r="M75" s="812"/>
      <c r="N75" s="298"/>
      <c r="O75" s="294">
        <f t="shared" si="138"/>
        <v>0</v>
      </c>
      <c r="P75" s="329"/>
      <c r="Q75" s="299">
        <v>45013</v>
      </c>
      <c r="R75" s="812">
        <v>16</v>
      </c>
      <c r="S75" s="298">
        <v>6.78</v>
      </c>
      <c r="T75" s="294">
        <f t="shared" si="139"/>
        <v>108.48</v>
      </c>
      <c r="U75" s="329"/>
      <c r="V75" s="299">
        <v>45082</v>
      </c>
      <c r="W75" s="812">
        <v>5</v>
      </c>
      <c r="X75" s="298">
        <v>119.25</v>
      </c>
      <c r="Y75" s="294">
        <f t="shared" si="140"/>
        <v>596.25</v>
      </c>
      <c r="Z75" s="329"/>
      <c r="AA75" s="299"/>
      <c r="AB75" s="812"/>
      <c r="AC75" s="298"/>
      <c r="AD75" s="294">
        <f t="shared" si="141"/>
        <v>0</v>
      </c>
      <c r="AE75" s="325"/>
      <c r="AF75" s="299">
        <v>45057</v>
      </c>
      <c r="AG75" s="812">
        <v>5</v>
      </c>
      <c r="AH75" s="298">
        <v>59.82</v>
      </c>
      <c r="AI75" s="294">
        <f t="shared" si="142"/>
        <v>299.10000000000002</v>
      </c>
      <c r="AJ75" s="325"/>
    </row>
    <row r="76" spans="1:122">
      <c r="B76" s="1003" t="s">
        <v>583</v>
      </c>
      <c r="C76" s="783" t="str">
        <f>Y109</f>
        <v>OURE11</v>
      </c>
      <c r="D76" s="782"/>
      <c r="E76" s="719"/>
      <c r="F76" s="719"/>
      <c r="G76" s="719"/>
      <c r="H76" s="719"/>
      <c r="I76" s="719"/>
      <c r="J76" s="719"/>
      <c r="K76" s="327"/>
      <c r="L76" s="299"/>
      <c r="M76" s="812"/>
      <c r="N76" s="298"/>
      <c r="O76" s="294">
        <f t="shared" si="138"/>
        <v>0</v>
      </c>
      <c r="P76" s="329"/>
      <c r="Q76" s="299">
        <v>45057</v>
      </c>
      <c r="R76" s="812">
        <f>4+3</f>
        <v>7</v>
      </c>
      <c r="S76" s="298">
        <f>6.98+6.99</f>
        <v>13.97</v>
      </c>
      <c r="T76" s="294">
        <f t="shared" si="139"/>
        <v>97.79</v>
      </c>
      <c r="U76" s="329"/>
      <c r="V76" s="299">
        <v>45119</v>
      </c>
      <c r="W76" s="812">
        <v>1</v>
      </c>
      <c r="X76" s="298">
        <v>122.23</v>
      </c>
      <c r="Y76" s="294">
        <f t="shared" si="140"/>
        <v>122.23</v>
      </c>
      <c r="Z76" s="329"/>
      <c r="AA76" s="299"/>
      <c r="AB76" s="812"/>
      <c r="AC76" s="298"/>
      <c r="AD76" s="294">
        <f t="shared" si="141"/>
        <v>0</v>
      </c>
      <c r="AE76" s="325"/>
      <c r="AF76" s="299">
        <v>45082</v>
      </c>
      <c r="AG76" s="812">
        <v>6</v>
      </c>
      <c r="AH76" s="298">
        <f>387.06/6</f>
        <v>64.510000000000005</v>
      </c>
      <c r="AI76" s="294">
        <f t="shared" si="142"/>
        <v>387.06000000000006</v>
      </c>
      <c r="AJ76" s="325"/>
    </row>
    <row r="77" spans="1:122">
      <c r="B77" s="1003"/>
      <c r="C77" s="783" t="str">
        <f>K109</f>
        <v>RZAK11</v>
      </c>
      <c r="D77" s="782"/>
      <c r="E77" s="719"/>
      <c r="F77" s="719"/>
      <c r="G77" s="719"/>
      <c r="H77" s="719"/>
      <c r="I77" s="719"/>
      <c r="J77" s="719"/>
      <c r="K77" s="327"/>
      <c r="L77" s="299"/>
      <c r="M77" s="812"/>
      <c r="N77" s="298"/>
      <c r="O77" s="294">
        <f t="shared" si="138"/>
        <v>0</v>
      </c>
      <c r="P77" s="329"/>
      <c r="Q77" s="299">
        <v>45082</v>
      </c>
      <c r="R77" s="812">
        <v>54</v>
      </c>
      <c r="S77" s="298">
        <f>399.06/54</f>
        <v>7.39</v>
      </c>
      <c r="T77" s="294">
        <f t="shared" si="139"/>
        <v>399.06</v>
      </c>
      <c r="U77" s="329"/>
      <c r="V77" s="299"/>
      <c r="W77" s="812"/>
      <c r="X77" s="298"/>
      <c r="Y77" s="294">
        <f t="shared" si="140"/>
        <v>0</v>
      </c>
      <c r="Z77" s="329"/>
      <c r="AA77" s="299"/>
      <c r="AB77" s="812"/>
      <c r="AC77" s="298"/>
      <c r="AD77" s="294">
        <f t="shared" si="141"/>
        <v>0</v>
      </c>
      <c r="AE77" s="325"/>
      <c r="AF77" s="299">
        <v>45099</v>
      </c>
      <c r="AG77" s="812">
        <v>2</v>
      </c>
      <c r="AH77" s="298">
        <v>68.22</v>
      </c>
      <c r="AI77" s="294">
        <f t="shared" si="142"/>
        <v>136.44</v>
      </c>
      <c r="AJ77" s="325"/>
    </row>
    <row r="78" spans="1:122">
      <c r="B78" s="1002" t="s">
        <v>584</v>
      </c>
      <c r="C78" s="784" t="str">
        <f>I109</f>
        <v>MXRF11</v>
      </c>
      <c r="D78" s="719"/>
      <c r="E78" s="719"/>
      <c r="F78" s="719"/>
      <c r="G78" s="719"/>
      <c r="H78" s="719"/>
      <c r="I78" s="719"/>
      <c r="J78" s="719"/>
      <c r="K78" s="327"/>
      <c r="L78" s="299"/>
      <c r="M78" s="812"/>
      <c r="N78" s="298"/>
      <c r="O78" s="294">
        <f t="shared" si="138"/>
        <v>0</v>
      </c>
      <c r="P78" s="329"/>
      <c r="Q78" s="299">
        <v>45099</v>
      </c>
      <c r="R78" s="812">
        <v>15</v>
      </c>
      <c r="S78" s="298">
        <v>7.43</v>
      </c>
      <c r="T78" s="294">
        <f t="shared" si="139"/>
        <v>111.44999999999999</v>
      </c>
      <c r="U78" s="329"/>
      <c r="V78" s="299"/>
      <c r="W78" s="812"/>
      <c r="X78" s="298"/>
      <c r="Y78" s="294">
        <f t="shared" si="140"/>
        <v>0</v>
      </c>
      <c r="Z78" s="329"/>
      <c r="AA78" s="299"/>
      <c r="AB78" s="812"/>
      <c r="AC78" s="298"/>
      <c r="AD78" s="294">
        <f t="shared" si="141"/>
        <v>0</v>
      </c>
      <c r="AE78" s="325"/>
      <c r="AF78" s="299"/>
      <c r="AG78" s="812"/>
      <c r="AH78" s="298"/>
      <c r="AI78" s="294">
        <f t="shared" si="142"/>
        <v>0</v>
      </c>
      <c r="AJ78" s="325"/>
    </row>
    <row r="79" spans="1:122">
      <c r="B79" s="1002"/>
      <c r="C79" s="784" t="str">
        <f>M109</f>
        <v>VGHF11</v>
      </c>
      <c r="D79" s="719"/>
      <c r="E79" s="719"/>
      <c r="F79" s="719"/>
      <c r="G79" s="719"/>
      <c r="H79" s="719"/>
      <c r="I79" s="719"/>
      <c r="J79" s="719"/>
      <c r="K79" s="327"/>
      <c r="L79" s="299"/>
      <c r="M79" s="812"/>
      <c r="N79" s="298"/>
      <c r="O79" s="294">
        <f t="shared" si="138"/>
        <v>0</v>
      </c>
      <c r="P79" s="329"/>
      <c r="Q79" s="299">
        <v>45133</v>
      </c>
      <c r="R79" s="812">
        <v>1</v>
      </c>
      <c r="S79" s="298">
        <v>7.74</v>
      </c>
      <c r="T79" s="294">
        <f t="shared" si="139"/>
        <v>7.74</v>
      </c>
      <c r="U79" s="329"/>
      <c r="V79" s="299"/>
      <c r="W79" s="812"/>
      <c r="X79" s="298"/>
      <c r="Y79" s="294">
        <f t="shared" si="140"/>
        <v>0</v>
      </c>
      <c r="Z79" s="329"/>
      <c r="AA79" s="299"/>
      <c r="AB79" s="812"/>
      <c r="AC79" s="298"/>
      <c r="AD79" s="294">
        <f t="shared" si="141"/>
        <v>0</v>
      </c>
      <c r="AE79" s="325"/>
      <c r="AF79" s="299"/>
      <c r="AG79" s="812"/>
      <c r="AH79" s="298"/>
      <c r="AI79" s="294">
        <f t="shared" si="142"/>
        <v>0</v>
      </c>
      <c r="AJ79" s="325"/>
    </row>
    <row r="80" spans="1:122">
      <c r="B80" s="1002"/>
      <c r="C80" s="784" t="str">
        <f>Q109</f>
        <v>URPR11</v>
      </c>
      <c r="D80" s="719"/>
      <c r="E80" s="719"/>
      <c r="F80" s="719"/>
      <c r="G80" s="719"/>
      <c r="H80" s="719"/>
      <c r="I80" s="719"/>
      <c r="J80" s="719"/>
      <c r="K80" s="327"/>
      <c r="L80" s="299"/>
      <c r="M80" s="812"/>
      <c r="N80" s="298"/>
      <c r="O80" s="294">
        <f t="shared" si="138"/>
        <v>0</v>
      </c>
      <c r="P80" s="329"/>
      <c r="Q80" s="299"/>
      <c r="R80" s="812"/>
      <c r="S80" s="298"/>
      <c r="T80" s="294">
        <f t="shared" si="139"/>
        <v>0</v>
      </c>
      <c r="U80" s="329"/>
      <c r="V80" s="299"/>
      <c r="W80" s="812"/>
      <c r="X80" s="298"/>
      <c r="Y80" s="294">
        <f t="shared" si="140"/>
        <v>0</v>
      </c>
      <c r="Z80" s="329"/>
      <c r="AA80" s="299"/>
      <c r="AB80" s="812"/>
      <c r="AC80" s="298"/>
      <c r="AD80" s="294">
        <f t="shared" si="141"/>
        <v>0</v>
      </c>
      <c r="AE80" s="325"/>
      <c r="AF80" s="299"/>
      <c r="AG80" s="812"/>
      <c r="AH80" s="298"/>
      <c r="AI80" s="294">
        <f t="shared" si="142"/>
        <v>0</v>
      </c>
      <c r="AJ80" s="325"/>
      <c r="AZ80" s="279"/>
    </row>
    <row r="81" spans="2:39">
      <c r="B81" s="1002"/>
      <c r="C81" s="784" t="str">
        <f>S109</f>
        <v>AIEC11</v>
      </c>
      <c r="D81" s="719"/>
      <c r="E81" s="719"/>
      <c r="F81" s="719"/>
      <c r="G81" s="719"/>
      <c r="H81" s="719"/>
      <c r="I81" s="719"/>
      <c r="J81" s="719"/>
      <c r="K81" s="327"/>
      <c r="L81" s="299"/>
      <c r="M81" s="812"/>
      <c r="N81" s="298"/>
      <c r="O81" s="294">
        <f t="shared" si="138"/>
        <v>0</v>
      </c>
      <c r="P81" s="329"/>
      <c r="Q81" s="299"/>
      <c r="R81" s="812"/>
      <c r="S81" s="298"/>
      <c r="T81" s="294">
        <f t="shared" si="139"/>
        <v>0</v>
      </c>
      <c r="U81" s="329"/>
      <c r="V81" s="299"/>
      <c r="W81" s="812"/>
      <c r="X81" s="298"/>
      <c r="Y81" s="294">
        <f t="shared" si="140"/>
        <v>0</v>
      </c>
      <c r="Z81" s="329"/>
      <c r="AA81" s="299"/>
      <c r="AB81" s="812"/>
      <c r="AC81" s="298"/>
      <c r="AD81" s="294">
        <f t="shared" si="141"/>
        <v>0</v>
      </c>
      <c r="AE81" s="325"/>
      <c r="AF81" s="299"/>
      <c r="AG81" s="812"/>
      <c r="AH81" s="298"/>
      <c r="AI81" s="294">
        <f t="shared" si="142"/>
        <v>0</v>
      </c>
      <c r="AJ81" s="325"/>
    </row>
    <row r="82" spans="2:39">
      <c r="B82" s="1002"/>
      <c r="C82" s="784" t="str">
        <f>U109</f>
        <v>TGAR11</v>
      </c>
      <c r="D82" s="719"/>
      <c r="E82" s="719"/>
      <c r="F82" s="719"/>
      <c r="G82" s="719"/>
      <c r="H82" s="719"/>
      <c r="I82" s="719"/>
      <c r="J82" s="719"/>
      <c r="K82" s="327"/>
      <c r="L82" s="299"/>
      <c r="M82" s="812"/>
      <c r="N82" s="298"/>
      <c r="O82" s="294">
        <f t="shared" si="138"/>
        <v>0</v>
      </c>
      <c r="P82" s="329"/>
      <c r="Q82" s="299"/>
      <c r="R82" s="812"/>
      <c r="S82" s="298"/>
      <c r="T82" s="294">
        <f t="shared" si="139"/>
        <v>0</v>
      </c>
      <c r="U82" s="329"/>
      <c r="V82" s="299"/>
      <c r="W82" s="812"/>
      <c r="X82" s="298"/>
      <c r="Y82" s="294">
        <f t="shared" si="140"/>
        <v>0</v>
      </c>
      <c r="Z82" s="329"/>
      <c r="AA82" s="299"/>
      <c r="AB82" s="812"/>
      <c r="AC82" s="298"/>
      <c r="AD82" s="294">
        <f t="shared" si="141"/>
        <v>0</v>
      </c>
      <c r="AE82" s="325"/>
      <c r="AF82" s="299"/>
      <c r="AG82" s="812"/>
      <c r="AH82" s="298"/>
      <c r="AI82" s="294">
        <f t="shared" si="142"/>
        <v>0</v>
      </c>
      <c r="AJ82" s="325"/>
    </row>
    <row r="83" spans="2:39">
      <c r="B83" s="1002"/>
      <c r="C83" s="784" t="str">
        <f>W109</f>
        <v>XPCA11</v>
      </c>
      <c r="D83" s="719"/>
      <c r="E83" s="719"/>
      <c r="F83" s="719"/>
      <c r="G83" s="719"/>
      <c r="H83" s="719"/>
      <c r="I83" s="719"/>
      <c r="J83" s="719"/>
      <c r="K83" s="327"/>
      <c r="L83" s="299"/>
      <c r="M83" s="812"/>
      <c r="N83" s="298"/>
      <c r="O83" s="294">
        <f t="shared" si="138"/>
        <v>0</v>
      </c>
      <c r="P83" s="329"/>
      <c r="Q83" s="299"/>
      <c r="R83" s="812"/>
      <c r="S83" s="298"/>
      <c r="T83" s="294">
        <f t="shared" si="139"/>
        <v>0</v>
      </c>
      <c r="U83" s="329"/>
      <c r="V83" s="299"/>
      <c r="W83" s="812"/>
      <c r="X83" s="298"/>
      <c r="Y83" s="294">
        <f t="shared" si="140"/>
        <v>0</v>
      </c>
      <c r="Z83" s="329"/>
      <c r="AA83" s="299"/>
      <c r="AB83" s="812"/>
      <c r="AC83" s="298"/>
      <c r="AD83" s="294">
        <f t="shared" si="141"/>
        <v>0</v>
      </c>
      <c r="AE83" s="325"/>
      <c r="AF83" s="299"/>
      <c r="AG83" s="812"/>
      <c r="AH83" s="298"/>
      <c r="AI83" s="294">
        <f t="shared" si="142"/>
        <v>0</v>
      </c>
      <c r="AJ83" s="325"/>
    </row>
    <row r="84" spans="2:39">
      <c r="B84" s="719"/>
      <c r="C84" s="719"/>
      <c r="D84" s="719"/>
      <c r="E84" s="719"/>
      <c r="F84" s="719"/>
      <c r="G84" s="719"/>
      <c r="H84" s="719"/>
      <c r="I84" s="719"/>
      <c r="J84" s="719"/>
      <c r="K84" s="327"/>
      <c r="L84" s="299"/>
      <c r="M84" s="812"/>
      <c r="N84" s="298"/>
      <c r="O84" s="294">
        <f t="shared" si="138"/>
        <v>0</v>
      </c>
      <c r="P84" s="329"/>
      <c r="Q84" s="299"/>
      <c r="R84" s="812"/>
      <c r="S84" s="298"/>
      <c r="T84" s="294">
        <f t="shared" si="139"/>
        <v>0</v>
      </c>
      <c r="U84" s="329"/>
      <c r="V84" s="299"/>
      <c r="W84" s="812"/>
      <c r="X84" s="298"/>
      <c r="Y84" s="294">
        <f t="shared" si="140"/>
        <v>0</v>
      </c>
      <c r="Z84" s="329"/>
      <c r="AA84" s="299"/>
      <c r="AB84" s="812"/>
      <c r="AC84" s="298"/>
      <c r="AD84" s="294">
        <f t="shared" si="141"/>
        <v>0</v>
      </c>
      <c r="AE84" s="325"/>
      <c r="AF84" s="299"/>
      <c r="AG84" s="812"/>
      <c r="AH84" s="298"/>
      <c r="AI84" s="294">
        <f t="shared" si="142"/>
        <v>0</v>
      </c>
      <c r="AJ84" s="325"/>
    </row>
    <row r="85" spans="2:39">
      <c r="B85" s="719"/>
      <c r="C85" s="719"/>
      <c r="D85" s="719"/>
      <c r="E85" s="719"/>
      <c r="F85" s="719"/>
      <c r="G85" s="719"/>
      <c r="H85" s="719"/>
      <c r="I85" s="719"/>
      <c r="J85" s="719"/>
      <c r="K85" s="327"/>
      <c r="L85" s="299"/>
      <c r="M85" s="812"/>
      <c r="N85" s="298"/>
      <c r="O85" s="294">
        <f t="shared" si="138"/>
        <v>0</v>
      </c>
      <c r="P85" s="329"/>
      <c r="Q85" s="299"/>
      <c r="R85" s="812"/>
      <c r="S85" s="298"/>
      <c r="T85" s="294">
        <f t="shared" si="139"/>
        <v>0</v>
      </c>
      <c r="U85" s="329"/>
      <c r="V85" s="299"/>
      <c r="W85" s="812"/>
      <c r="X85" s="298"/>
      <c r="Y85" s="294">
        <f t="shared" si="140"/>
        <v>0</v>
      </c>
      <c r="Z85" s="329"/>
      <c r="AA85" s="299"/>
      <c r="AB85" s="812"/>
      <c r="AC85" s="298"/>
      <c r="AD85" s="294">
        <f t="shared" si="141"/>
        <v>0</v>
      </c>
      <c r="AE85" s="325"/>
      <c r="AF85" s="299"/>
      <c r="AG85" s="812"/>
      <c r="AH85" s="298"/>
      <c r="AI85" s="294">
        <f t="shared" si="142"/>
        <v>0</v>
      </c>
      <c r="AJ85" s="325"/>
    </row>
    <row r="86" spans="2:39">
      <c r="B86" s="719"/>
      <c r="C86" s="719"/>
      <c r="D86" s="719"/>
      <c r="E86" s="719"/>
      <c r="F86" s="719"/>
      <c r="G86" s="719"/>
      <c r="H86" s="719"/>
      <c r="I86" s="719"/>
      <c r="J86" s="719"/>
      <c r="K86" s="327"/>
      <c r="L86" s="186" t="s">
        <v>229</v>
      </c>
      <c r="M86" s="186">
        <f>SUM(M74:M85)+M87</f>
        <v>18</v>
      </c>
      <c r="N86" s="294"/>
      <c r="O86" s="294">
        <f>SUM(O74:O85)</f>
        <v>31.099800000000002</v>
      </c>
      <c r="P86" s="329"/>
      <c r="Q86" s="186" t="s">
        <v>229</v>
      </c>
      <c r="R86" s="186">
        <f>SUM(R74:R85)+R87</f>
        <v>112</v>
      </c>
      <c r="S86" s="294"/>
      <c r="T86" s="294">
        <f>SUM(T74:T85)</f>
        <v>787.52</v>
      </c>
      <c r="U86" s="329"/>
      <c r="V86" s="186" t="s">
        <v>229</v>
      </c>
      <c r="W86" s="186">
        <f>SUM(W74:W85)+W87</f>
        <v>7</v>
      </c>
      <c r="X86" s="294"/>
      <c r="Y86" s="294">
        <f>SUM(Y74:Y85)</f>
        <v>834.47</v>
      </c>
      <c r="Z86" s="329"/>
      <c r="AA86" s="186" t="s">
        <v>229</v>
      </c>
      <c r="AB86" s="186">
        <f>SUM(AB74:AB85)+AB87</f>
        <v>1</v>
      </c>
      <c r="AC86" s="294"/>
      <c r="AD86" s="294">
        <f>SUM(AD74:AD85)</f>
        <v>83.15</v>
      </c>
      <c r="AE86" s="325"/>
      <c r="AF86" s="186" t="s">
        <v>229</v>
      </c>
      <c r="AG86" s="186">
        <f>SUM(AG74:AG85)+AG87</f>
        <v>15</v>
      </c>
      <c r="AH86" s="294"/>
      <c r="AI86" s="294">
        <f>SUM(AI74:AI85)</f>
        <v>943.94</v>
      </c>
      <c r="AJ86" s="325"/>
    </row>
    <row r="87" spans="2:39">
      <c r="B87" s="719"/>
      <c r="C87" s="719"/>
      <c r="D87" s="719"/>
      <c r="E87" s="719"/>
      <c r="F87" s="719"/>
      <c r="G87" s="719"/>
      <c r="H87" s="719"/>
      <c r="I87" s="719"/>
      <c r="J87" s="719"/>
      <c r="K87" s="327"/>
      <c r="L87" s="626"/>
      <c r="M87" s="627">
        <v>15</v>
      </c>
      <c r="N87" s="628"/>
      <c r="O87" s="628">
        <v>18</v>
      </c>
      <c r="P87" s="629"/>
      <c r="Q87" s="627"/>
      <c r="R87" s="627">
        <v>10</v>
      </c>
      <c r="S87" s="628"/>
      <c r="T87" s="628"/>
      <c r="U87" s="629"/>
      <c r="V87" s="627"/>
      <c r="W87" s="627">
        <v>0</v>
      </c>
      <c r="X87" s="628"/>
      <c r="Y87" s="628"/>
      <c r="Z87" s="629"/>
      <c r="AA87" s="627"/>
      <c r="AB87" s="627">
        <v>0</v>
      </c>
      <c r="AC87" s="630"/>
      <c r="AD87" s="630"/>
      <c r="AE87" s="329"/>
      <c r="AF87" s="636"/>
      <c r="AG87" s="627">
        <v>0</v>
      </c>
      <c r="AH87" s="637"/>
      <c r="AI87" s="637"/>
      <c r="AJ87" s="325"/>
      <c r="AL87" s="275" t="s">
        <v>243</v>
      </c>
      <c r="AM87" s="275">
        <v>9.9388888888888882</v>
      </c>
    </row>
    <row r="88" spans="2:39">
      <c r="B88" s="719"/>
      <c r="C88" s="719"/>
      <c r="D88" s="719"/>
      <c r="E88" s="719"/>
      <c r="F88" s="719"/>
      <c r="G88" s="719"/>
      <c r="H88" s="719"/>
      <c r="I88" s="719"/>
      <c r="J88" s="719"/>
      <c r="K88" s="326"/>
      <c r="L88" s="320"/>
      <c r="M88" s="317"/>
      <c r="N88" s="319"/>
      <c r="O88" s="319"/>
      <c r="P88" s="318"/>
      <c r="Q88" s="317"/>
      <c r="R88" s="317"/>
      <c r="S88" s="319"/>
      <c r="T88" s="319"/>
      <c r="U88" s="318"/>
      <c r="V88" s="317"/>
      <c r="W88" s="317"/>
      <c r="X88" s="319"/>
      <c r="Y88" s="319"/>
      <c r="Z88" s="318"/>
      <c r="AA88" s="317"/>
      <c r="AB88" s="317"/>
      <c r="AC88" s="316"/>
      <c r="AD88" s="316"/>
      <c r="AE88" s="326"/>
      <c r="AF88" s="634"/>
      <c r="AG88" s="634"/>
      <c r="AH88" s="644"/>
      <c r="AI88" s="635"/>
      <c r="AJ88" s="315"/>
      <c r="AL88" s="275" t="s">
        <v>242</v>
      </c>
      <c r="AM88" s="275">
        <v>7.69</v>
      </c>
    </row>
    <row r="89" spans="2:39" s="719" customFormat="1">
      <c r="L89" s="726"/>
      <c r="M89" s="726"/>
      <c r="N89" s="727"/>
      <c r="O89" s="727"/>
      <c r="Q89" s="726"/>
      <c r="R89" s="726"/>
      <c r="S89" s="727"/>
      <c r="T89" s="727"/>
      <c r="V89" s="726"/>
      <c r="W89" s="726"/>
      <c r="X89" s="727"/>
      <c r="Y89" s="727"/>
      <c r="AA89" s="726"/>
      <c r="AB89" s="726"/>
      <c r="AC89" s="727"/>
      <c r="AD89" s="727"/>
      <c r="AF89" s="726"/>
      <c r="AG89" s="726"/>
      <c r="AH89" s="727"/>
      <c r="AI89" s="727"/>
      <c r="AL89" s="719" t="s">
        <v>241</v>
      </c>
      <c r="AM89" s="719">
        <v>94.093928571428549</v>
      </c>
    </row>
    <row r="90" spans="2:39" ht="24" customHeight="1">
      <c r="B90" s="719"/>
      <c r="C90" s="719"/>
      <c r="D90" s="719"/>
      <c r="E90" s="719"/>
      <c r="F90" s="719"/>
      <c r="G90" s="719"/>
      <c r="H90" s="719"/>
      <c r="I90" s="719"/>
      <c r="J90" s="719"/>
      <c r="K90" s="306"/>
      <c r="L90" s="1032" t="s">
        <v>204</v>
      </c>
      <c r="M90" s="1032"/>
      <c r="N90" s="1032"/>
      <c r="O90" s="1032"/>
      <c r="P90" s="1032"/>
      <c r="Q90" s="1032"/>
      <c r="R90" s="1032"/>
      <c r="S90" s="1032"/>
      <c r="T90" s="1032"/>
      <c r="U90" s="1032"/>
      <c r="V90" s="1032"/>
      <c r="W90" s="1032"/>
      <c r="X90" s="1032"/>
      <c r="Y90" s="1032"/>
      <c r="Z90" s="1032"/>
      <c r="AA90" s="1032"/>
      <c r="AB90" s="1032"/>
      <c r="AC90" s="1032"/>
      <c r="AD90" s="1032"/>
      <c r="AE90" s="1032"/>
      <c r="AF90" s="1032"/>
      <c r="AG90" s="1032"/>
      <c r="AH90" s="1032"/>
      <c r="AI90" s="1032"/>
      <c r="AJ90" s="640"/>
      <c r="AL90" s="275" t="s">
        <v>240</v>
      </c>
      <c r="AM90" s="275">
        <v>9.448888888888888</v>
      </c>
    </row>
    <row r="91" spans="2:39">
      <c r="B91" s="719"/>
      <c r="C91" s="719"/>
      <c r="D91" s="719"/>
      <c r="E91" s="719"/>
      <c r="F91" s="719"/>
      <c r="G91" s="719"/>
      <c r="H91" s="719"/>
      <c r="I91" s="719"/>
      <c r="J91" s="719"/>
      <c r="K91" s="297"/>
      <c r="L91" s="912" t="s">
        <v>241</v>
      </c>
      <c r="M91" s="912"/>
      <c r="N91" s="912"/>
      <c r="O91" s="912"/>
      <c r="P91" s="301"/>
      <c r="Q91" s="912" t="s">
        <v>240</v>
      </c>
      <c r="R91" s="912"/>
      <c r="S91" s="912"/>
      <c r="T91" s="912"/>
      <c r="U91" s="302" t="str">
        <f>V91</f>
        <v>URPR11</v>
      </c>
      <c r="V91" s="912" t="s">
        <v>234</v>
      </c>
      <c r="W91" s="912"/>
      <c r="X91" s="912"/>
      <c r="Y91" s="912"/>
      <c r="Z91" s="302" t="str">
        <f>AA91</f>
        <v>XPCA11</v>
      </c>
      <c r="AA91" s="912" t="s">
        <v>345</v>
      </c>
      <c r="AB91" s="912"/>
      <c r="AC91" s="912"/>
      <c r="AD91" s="912"/>
      <c r="AE91" s="296"/>
      <c r="AF91" s="912" t="s">
        <v>562</v>
      </c>
      <c r="AG91" s="912"/>
      <c r="AH91" s="912"/>
      <c r="AI91" s="912"/>
      <c r="AJ91" s="638"/>
      <c r="AL91" s="275" t="s">
        <v>237</v>
      </c>
      <c r="AM91" s="275">
        <v>103.33</v>
      </c>
    </row>
    <row r="92" spans="2:39">
      <c r="B92" s="719"/>
      <c r="C92" s="719"/>
      <c r="D92" s="719"/>
      <c r="E92" s="719"/>
      <c r="F92" s="719"/>
      <c r="G92" s="719"/>
      <c r="H92" s="719"/>
      <c r="I92" s="719"/>
      <c r="J92" s="719"/>
      <c r="K92" s="297"/>
      <c r="L92" s="186" t="s">
        <v>1</v>
      </c>
      <c r="M92" s="186" t="s">
        <v>232</v>
      </c>
      <c r="N92" s="294" t="s">
        <v>231</v>
      </c>
      <c r="O92" s="294" t="s">
        <v>230</v>
      </c>
      <c r="P92" s="301"/>
      <c r="Q92" s="186" t="s">
        <v>1</v>
      </c>
      <c r="R92" s="186" t="s">
        <v>232</v>
      </c>
      <c r="S92" s="294" t="s">
        <v>231</v>
      </c>
      <c r="T92" s="294" t="s">
        <v>230</v>
      </c>
      <c r="U92" s="301"/>
      <c r="V92" s="186" t="s">
        <v>1</v>
      </c>
      <c r="W92" s="186" t="s">
        <v>232</v>
      </c>
      <c r="X92" s="294" t="s">
        <v>231</v>
      </c>
      <c r="Y92" s="294" t="s">
        <v>233</v>
      </c>
      <c r="Z92" s="301"/>
      <c r="AA92" s="186" t="s">
        <v>1</v>
      </c>
      <c r="AB92" s="186" t="s">
        <v>232</v>
      </c>
      <c r="AC92" s="294" t="s">
        <v>231</v>
      </c>
      <c r="AD92" s="294" t="s">
        <v>230</v>
      </c>
      <c r="AE92" s="296"/>
      <c r="AF92" s="186" t="s">
        <v>1</v>
      </c>
      <c r="AG92" s="186" t="s">
        <v>232</v>
      </c>
      <c r="AH92" s="294" t="s">
        <v>231</v>
      </c>
      <c r="AI92" s="294" t="s">
        <v>230</v>
      </c>
      <c r="AJ92" s="638"/>
      <c r="AL92" s="275" t="s">
        <v>236</v>
      </c>
      <c r="AM92" s="275">
        <v>7.7756756756756751</v>
      </c>
    </row>
    <row r="93" spans="2:39">
      <c r="B93" s="719"/>
      <c r="C93" s="719"/>
      <c r="D93" s="719"/>
      <c r="E93" s="719"/>
      <c r="F93" s="719"/>
      <c r="G93" s="719"/>
      <c r="H93" s="719"/>
      <c r="I93" s="719"/>
      <c r="J93" s="719"/>
      <c r="K93" s="297"/>
      <c r="L93" s="299">
        <v>44998</v>
      </c>
      <c r="M93" s="812">
        <v>3</v>
      </c>
      <c r="N93" s="298">
        <v>95.3</v>
      </c>
      <c r="O93" s="294">
        <f t="shared" ref="O93:O104" si="143">N93*M93</f>
        <v>285.89999999999998</v>
      </c>
      <c r="P93" s="301"/>
      <c r="Q93" s="299">
        <v>44951</v>
      </c>
      <c r="R93" s="812">
        <v>5</v>
      </c>
      <c r="S93" s="298">
        <v>9.17</v>
      </c>
      <c r="T93" s="294">
        <f t="shared" ref="T93:T104" si="144">S93*R93</f>
        <v>45.85</v>
      </c>
      <c r="U93" s="301"/>
      <c r="V93" s="299">
        <v>44998</v>
      </c>
      <c r="W93" s="812">
        <v>4</v>
      </c>
      <c r="X93" s="298">
        <v>93.4</v>
      </c>
      <c r="Y93" s="294">
        <f t="shared" ref="Y93:Y104" si="145">X93*W93</f>
        <v>373.6</v>
      </c>
      <c r="Z93" s="301"/>
      <c r="AA93" s="299">
        <v>45022</v>
      </c>
      <c r="AB93" s="812">
        <v>30</v>
      </c>
      <c r="AC93" s="298">
        <v>9.74</v>
      </c>
      <c r="AD93" s="294">
        <f t="shared" ref="AD93:AD104" si="146">AC93*AB93</f>
        <v>292.2</v>
      </c>
      <c r="AE93" s="296"/>
      <c r="AF93" s="633">
        <v>45119</v>
      </c>
      <c r="AG93" s="427">
        <v>23</v>
      </c>
      <c r="AH93" s="804">
        <v>9.5</v>
      </c>
      <c r="AI93" s="294">
        <f t="shared" ref="AI93:AI104" si="147">AH93*AG93</f>
        <v>218.5</v>
      </c>
      <c r="AJ93" s="638"/>
      <c r="AL93" s="275" t="s">
        <v>235</v>
      </c>
      <c r="AM93" s="275">
        <v>79.38</v>
      </c>
    </row>
    <row r="94" spans="2:39">
      <c r="B94" s="719"/>
      <c r="C94" s="719"/>
      <c r="D94" s="719"/>
      <c r="E94" s="719"/>
      <c r="F94" s="719"/>
      <c r="G94" s="719"/>
      <c r="H94" s="719"/>
      <c r="I94" s="719"/>
      <c r="J94" s="719"/>
      <c r="K94" s="297"/>
      <c r="L94" s="299">
        <v>45082</v>
      </c>
      <c r="M94" s="812">
        <v>16</v>
      </c>
      <c r="N94" s="298">
        <f>1509.28/16</f>
        <v>94.33</v>
      </c>
      <c r="O94" s="294">
        <f t="shared" si="143"/>
        <v>1509.28</v>
      </c>
      <c r="P94" s="301"/>
      <c r="Q94" s="299">
        <v>45099</v>
      </c>
      <c r="R94" s="812">
        <v>1</v>
      </c>
      <c r="S94" s="298">
        <v>9.48</v>
      </c>
      <c r="T94" s="294">
        <f t="shared" si="144"/>
        <v>9.48</v>
      </c>
      <c r="U94" s="301"/>
      <c r="V94" s="299">
        <v>45057</v>
      </c>
      <c r="W94" s="812">
        <v>3</v>
      </c>
      <c r="X94" s="298">
        <v>89.9</v>
      </c>
      <c r="Y94" s="294">
        <f t="shared" si="145"/>
        <v>269.70000000000005</v>
      </c>
      <c r="Z94" s="301"/>
      <c r="AA94" s="299">
        <v>45082</v>
      </c>
      <c r="AB94" s="812">
        <v>103</v>
      </c>
      <c r="AC94" s="298">
        <v>9.74</v>
      </c>
      <c r="AD94" s="294">
        <f t="shared" si="146"/>
        <v>1003.22</v>
      </c>
      <c r="AE94" s="296"/>
      <c r="AF94" s="633">
        <v>45128</v>
      </c>
      <c r="AG94" s="427">
        <v>57</v>
      </c>
      <c r="AH94" s="804">
        <v>9.42</v>
      </c>
      <c r="AI94" s="294">
        <f t="shared" si="147"/>
        <v>536.93999999999994</v>
      </c>
      <c r="AJ94" s="638"/>
      <c r="AL94" s="275" t="s">
        <v>234</v>
      </c>
      <c r="AM94" s="275">
        <v>94.8185</v>
      </c>
    </row>
    <row r="95" spans="2:39">
      <c r="B95" s="719"/>
      <c r="C95" s="719"/>
      <c r="D95" s="719"/>
      <c r="E95" s="719"/>
      <c r="F95" s="719"/>
      <c r="G95" s="719"/>
      <c r="H95" s="719"/>
      <c r="I95" s="719"/>
      <c r="J95" s="719"/>
      <c r="K95" s="297"/>
      <c r="L95" s="299">
        <v>45099</v>
      </c>
      <c r="M95" s="812">
        <v>1</v>
      </c>
      <c r="N95" s="298">
        <v>93.34</v>
      </c>
      <c r="O95" s="294">
        <f t="shared" si="143"/>
        <v>93.34</v>
      </c>
      <c r="P95" s="301"/>
      <c r="Q95" s="299">
        <v>45169</v>
      </c>
      <c r="R95" s="812">
        <v>6</v>
      </c>
      <c r="S95" s="298">
        <v>9.2899999999999991</v>
      </c>
      <c r="T95" s="294">
        <f t="shared" si="144"/>
        <v>55.739999999999995</v>
      </c>
      <c r="U95" s="301"/>
      <c r="V95" s="299">
        <v>45082</v>
      </c>
      <c r="W95" s="812">
        <v>11</v>
      </c>
      <c r="X95" s="298">
        <f>1053.03/11</f>
        <v>95.73</v>
      </c>
      <c r="Y95" s="294">
        <f t="shared" si="145"/>
        <v>1053.03</v>
      </c>
      <c r="Z95" s="301"/>
      <c r="AA95" s="299">
        <v>45099</v>
      </c>
      <c r="AB95" s="812">
        <v>2</v>
      </c>
      <c r="AC95" s="298">
        <v>9.57</v>
      </c>
      <c r="AD95" s="294">
        <f t="shared" si="146"/>
        <v>19.14</v>
      </c>
      <c r="AE95" s="296"/>
      <c r="AF95" s="299">
        <v>45133</v>
      </c>
      <c r="AG95" s="812">
        <v>10</v>
      </c>
      <c r="AH95" s="298">
        <v>9.4499999999999993</v>
      </c>
      <c r="AI95" s="294">
        <f t="shared" si="147"/>
        <v>94.5</v>
      </c>
      <c r="AJ95" s="638"/>
      <c r="AL95" s="275" t="s">
        <v>342</v>
      </c>
      <c r="AM95" s="275">
        <v>62.929333333333339</v>
      </c>
    </row>
    <row r="96" spans="2:39">
      <c r="B96" s="719"/>
      <c r="C96" s="719"/>
      <c r="D96" s="719"/>
      <c r="E96" s="719"/>
      <c r="F96" s="719"/>
      <c r="G96" s="719"/>
      <c r="H96" s="719"/>
      <c r="I96" s="719"/>
      <c r="J96" s="719"/>
      <c r="K96" s="297"/>
      <c r="L96" s="299">
        <v>45117</v>
      </c>
      <c r="M96" s="812">
        <v>2</v>
      </c>
      <c r="N96" s="298">
        <v>93.74</v>
      </c>
      <c r="O96" s="294">
        <f t="shared" si="143"/>
        <v>187.48</v>
      </c>
      <c r="P96" s="301"/>
      <c r="Q96" s="299"/>
      <c r="R96" s="812"/>
      <c r="S96" s="298"/>
      <c r="T96" s="294">
        <f t="shared" si="144"/>
        <v>0</v>
      </c>
      <c r="U96" s="301"/>
      <c r="V96" s="299">
        <v>45119</v>
      </c>
      <c r="W96" s="812">
        <v>1</v>
      </c>
      <c r="X96" s="298">
        <v>97.72</v>
      </c>
      <c r="Y96" s="294">
        <f t="shared" si="145"/>
        <v>97.72</v>
      </c>
      <c r="Z96" s="301"/>
      <c r="AA96" s="299">
        <v>45128</v>
      </c>
      <c r="AB96" s="812">
        <v>8</v>
      </c>
      <c r="AC96" s="298">
        <v>9.33</v>
      </c>
      <c r="AD96" s="294">
        <f t="shared" si="146"/>
        <v>74.64</v>
      </c>
      <c r="AE96" s="296"/>
      <c r="AF96" s="299">
        <v>45159</v>
      </c>
      <c r="AG96" s="812">
        <v>24</v>
      </c>
      <c r="AH96" s="298">
        <v>9.5299999999999994</v>
      </c>
      <c r="AI96" s="294">
        <f t="shared" si="147"/>
        <v>228.71999999999997</v>
      </c>
      <c r="AJ96" s="638"/>
      <c r="AL96" s="275" t="s">
        <v>238</v>
      </c>
      <c r="AM96" s="275">
        <v>88.29</v>
      </c>
    </row>
    <row r="97" spans="2:40">
      <c r="B97" s="719"/>
      <c r="C97" s="719"/>
      <c r="D97" s="719"/>
      <c r="E97" s="719"/>
      <c r="F97" s="719"/>
      <c r="G97" s="719"/>
      <c r="H97" s="719"/>
      <c r="I97" s="719"/>
      <c r="J97" s="719"/>
      <c r="K97" s="297"/>
      <c r="L97" s="299">
        <v>45119</v>
      </c>
      <c r="M97" s="812">
        <v>3</v>
      </c>
      <c r="N97" s="298">
        <v>94.72</v>
      </c>
      <c r="O97" s="294">
        <f t="shared" si="143"/>
        <v>284.15999999999997</v>
      </c>
      <c r="P97" s="301"/>
      <c r="Q97" s="299"/>
      <c r="R97" s="812"/>
      <c r="S97" s="298"/>
      <c r="T97" s="294">
        <f t="shared" si="144"/>
        <v>0</v>
      </c>
      <c r="U97" s="301"/>
      <c r="V97" s="299"/>
      <c r="W97" s="812"/>
      <c r="X97" s="298"/>
      <c r="Y97" s="294">
        <f t="shared" si="145"/>
        <v>0</v>
      </c>
      <c r="Z97" s="301"/>
      <c r="AA97" s="299">
        <v>45133</v>
      </c>
      <c r="AB97" s="812">
        <v>1</v>
      </c>
      <c r="AC97" s="298">
        <v>9.3699999999999992</v>
      </c>
      <c r="AD97" s="294">
        <f t="shared" si="146"/>
        <v>9.3699999999999992</v>
      </c>
      <c r="AE97" s="296"/>
      <c r="AF97" s="299">
        <v>45196</v>
      </c>
      <c r="AG97" s="812">
        <v>43</v>
      </c>
      <c r="AH97" s="298">
        <v>9.26</v>
      </c>
      <c r="AI97" s="294">
        <f t="shared" si="147"/>
        <v>398.18</v>
      </c>
      <c r="AJ97" s="638"/>
      <c r="AL97" s="275" t="s">
        <v>239</v>
      </c>
      <c r="AM97" s="275" t="s">
        <v>343</v>
      </c>
    </row>
    <row r="98" spans="2:40">
      <c r="B98" s="719"/>
      <c r="C98" s="719"/>
      <c r="D98" s="719"/>
      <c r="E98" s="719"/>
      <c r="F98" s="719"/>
      <c r="G98" s="719"/>
      <c r="H98" s="719"/>
      <c r="I98" s="719"/>
      <c r="J98" s="719"/>
      <c r="K98" s="297"/>
      <c r="L98" s="299">
        <v>45128</v>
      </c>
      <c r="M98" s="812">
        <v>2</v>
      </c>
      <c r="N98" s="298">
        <v>88.79</v>
      </c>
      <c r="O98" s="294">
        <f t="shared" si="143"/>
        <v>177.58</v>
      </c>
      <c r="P98" s="301"/>
      <c r="Q98" s="299"/>
      <c r="R98" s="812"/>
      <c r="S98" s="298"/>
      <c r="T98" s="294">
        <f t="shared" si="144"/>
        <v>0</v>
      </c>
      <c r="U98" s="301"/>
      <c r="V98" s="299"/>
      <c r="W98" s="812"/>
      <c r="X98" s="298"/>
      <c r="Y98" s="294">
        <f t="shared" si="145"/>
        <v>0</v>
      </c>
      <c r="Z98" s="301"/>
      <c r="AA98" s="299">
        <v>45159</v>
      </c>
      <c r="AB98" s="812">
        <v>1</v>
      </c>
      <c r="AC98" s="298">
        <v>9.48</v>
      </c>
      <c r="AD98" s="294">
        <f t="shared" si="146"/>
        <v>9.48</v>
      </c>
      <c r="AE98" s="296"/>
      <c r="AF98" s="299"/>
      <c r="AG98" s="812"/>
      <c r="AH98" s="298"/>
      <c r="AI98" s="294">
        <f t="shared" si="147"/>
        <v>0</v>
      </c>
      <c r="AJ98" s="638"/>
      <c r="AL98" s="275" t="s">
        <v>292</v>
      </c>
      <c r="AM98" s="275">
        <v>119.21000000000001</v>
      </c>
    </row>
    <row r="99" spans="2:40">
      <c r="B99" s="719"/>
      <c r="C99" s="719"/>
      <c r="D99" s="719"/>
      <c r="E99" s="719"/>
      <c r="F99" s="719"/>
      <c r="G99" s="719"/>
      <c r="H99" s="719"/>
      <c r="I99" s="719"/>
      <c r="J99" s="719"/>
      <c r="K99" s="297"/>
      <c r="L99" s="299">
        <v>45196</v>
      </c>
      <c r="M99" s="812">
        <v>2</v>
      </c>
      <c r="N99" s="298">
        <v>92.5</v>
      </c>
      <c r="O99" s="294">
        <f t="shared" si="143"/>
        <v>185</v>
      </c>
      <c r="P99" s="301"/>
      <c r="Q99" s="299"/>
      <c r="R99" s="812"/>
      <c r="S99" s="298"/>
      <c r="T99" s="294">
        <f t="shared" si="144"/>
        <v>0</v>
      </c>
      <c r="U99" s="301"/>
      <c r="V99" s="299"/>
      <c r="W99" s="812"/>
      <c r="X99" s="298"/>
      <c r="Y99" s="294">
        <f t="shared" si="145"/>
        <v>0</v>
      </c>
      <c r="Z99" s="301"/>
      <c r="AA99" s="299">
        <v>45196</v>
      </c>
      <c r="AB99" s="812">
        <v>5</v>
      </c>
      <c r="AC99" s="298">
        <v>9.74</v>
      </c>
      <c r="AD99" s="294">
        <f t="shared" si="146"/>
        <v>48.7</v>
      </c>
      <c r="AE99" s="296"/>
      <c r="AF99" s="299"/>
      <c r="AG99" s="812"/>
      <c r="AH99" s="298"/>
      <c r="AI99" s="294">
        <f t="shared" si="147"/>
        <v>0</v>
      </c>
      <c r="AJ99" s="638"/>
      <c r="AL99" s="275" t="s">
        <v>345</v>
      </c>
      <c r="AM99" s="275">
        <v>9.7146853146853172</v>
      </c>
      <c r="AN99" s="275">
        <v>143</v>
      </c>
    </row>
    <row r="100" spans="2:40">
      <c r="B100" s="719"/>
      <c r="C100" s="719"/>
      <c r="D100" s="719"/>
      <c r="E100" s="719"/>
      <c r="F100" s="719"/>
      <c r="G100" s="719"/>
      <c r="H100" s="719"/>
      <c r="I100" s="719"/>
      <c r="J100" s="719"/>
      <c r="K100" s="297"/>
      <c r="L100" s="299"/>
      <c r="M100" s="812"/>
      <c r="N100" s="298"/>
      <c r="O100" s="294">
        <f t="shared" si="143"/>
        <v>0</v>
      </c>
      <c r="P100" s="301"/>
      <c r="Q100" s="299"/>
      <c r="R100" s="812"/>
      <c r="S100" s="298"/>
      <c r="T100" s="294">
        <f t="shared" si="144"/>
        <v>0</v>
      </c>
      <c r="U100" s="301"/>
      <c r="V100" s="299"/>
      <c r="W100" s="812"/>
      <c r="X100" s="298"/>
      <c r="Y100" s="294">
        <f t="shared" si="145"/>
        <v>0</v>
      </c>
      <c r="Z100" s="301"/>
      <c r="AA100" s="299"/>
      <c r="AB100" s="812"/>
      <c r="AC100" s="298"/>
      <c r="AD100" s="294">
        <f t="shared" si="146"/>
        <v>0</v>
      </c>
      <c r="AE100" s="296"/>
      <c r="AF100" s="299"/>
      <c r="AG100" s="812"/>
      <c r="AH100" s="298"/>
      <c r="AI100" s="294">
        <f t="shared" si="147"/>
        <v>0</v>
      </c>
      <c r="AJ100" s="638"/>
      <c r="AL100" s="275" t="s">
        <v>390</v>
      </c>
      <c r="AM100" s="275">
        <v>62.97</v>
      </c>
      <c r="AN100" s="275">
        <v>0</v>
      </c>
    </row>
    <row r="101" spans="2:40">
      <c r="B101" s="719"/>
      <c r="C101" s="719"/>
      <c r="D101" s="719"/>
      <c r="E101" s="719"/>
      <c r="F101" s="719"/>
      <c r="G101" s="719"/>
      <c r="H101" s="719"/>
      <c r="I101" s="719"/>
      <c r="J101" s="719"/>
      <c r="K101" s="297"/>
      <c r="L101" s="299"/>
      <c r="M101" s="812"/>
      <c r="N101" s="298"/>
      <c r="O101" s="294">
        <f t="shared" si="143"/>
        <v>0</v>
      </c>
      <c r="P101" s="301"/>
      <c r="Q101" s="299"/>
      <c r="R101" s="812"/>
      <c r="S101" s="298"/>
      <c r="T101" s="294">
        <f t="shared" si="144"/>
        <v>0</v>
      </c>
      <c r="U101" s="301"/>
      <c r="V101" s="299"/>
      <c r="W101" s="812"/>
      <c r="X101" s="298"/>
      <c r="Y101" s="294">
        <f t="shared" si="145"/>
        <v>0</v>
      </c>
      <c r="Z101" s="301"/>
      <c r="AA101" s="299"/>
      <c r="AB101" s="812"/>
      <c r="AC101" s="298"/>
      <c r="AD101" s="294">
        <f t="shared" si="146"/>
        <v>0</v>
      </c>
      <c r="AE101" s="296"/>
      <c r="AF101" s="299"/>
      <c r="AG101" s="812"/>
      <c r="AH101" s="298"/>
      <c r="AI101" s="294">
        <f t="shared" si="147"/>
        <v>0</v>
      </c>
      <c r="AJ101" s="638"/>
    </row>
    <row r="102" spans="2:40">
      <c r="B102" s="719"/>
      <c r="C102" s="719"/>
      <c r="D102" s="719"/>
      <c r="E102" s="719"/>
      <c r="F102" s="719"/>
      <c r="G102" s="719"/>
      <c r="H102" s="719"/>
      <c r="I102" s="719"/>
      <c r="J102" s="719"/>
      <c r="K102" s="297"/>
      <c r="L102" s="299"/>
      <c r="M102" s="812"/>
      <c r="N102" s="298"/>
      <c r="O102" s="294">
        <f t="shared" si="143"/>
        <v>0</v>
      </c>
      <c r="P102" s="301"/>
      <c r="Q102" s="299"/>
      <c r="R102" s="812"/>
      <c r="S102" s="298"/>
      <c r="T102" s="294">
        <f t="shared" si="144"/>
        <v>0</v>
      </c>
      <c r="U102" s="301"/>
      <c r="V102" s="299"/>
      <c r="W102" s="812"/>
      <c r="X102" s="298"/>
      <c r="Y102" s="294">
        <f t="shared" si="145"/>
        <v>0</v>
      </c>
      <c r="Z102" s="301"/>
      <c r="AA102" s="299"/>
      <c r="AB102" s="812"/>
      <c r="AC102" s="298"/>
      <c r="AD102" s="294">
        <f t="shared" si="146"/>
        <v>0</v>
      </c>
      <c r="AE102" s="296"/>
      <c r="AF102" s="299"/>
      <c r="AG102" s="812"/>
      <c r="AH102" s="298"/>
      <c r="AI102" s="294">
        <f t="shared" si="147"/>
        <v>0</v>
      </c>
      <c r="AJ102" s="638"/>
    </row>
    <row r="103" spans="2:40">
      <c r="B103" s="719"/>
      <c r="C103" s="719"/>
      <c r="D103" s="719"/>
      <c r="E103" s="719"/>
      <c r="F103" s="719"/>
      <c r="G103" s="719"/>
      <c r="H103" s="719"/>
      <c r="I103" s="719"/>
      <c r="J103" s="719"/>
      <c r="K103" s="297"/>
      <c r="L103" s="299"/>
      <c r="M103" s="812"/>
      <c r="N103" s="298"/>
      <c r="O103" s="294">
        <f t="shared" si="143"/>
        <v>0</v>
      </c>
      <c r="P103" s="301"/>
      <c r="Q103" s="299"/>
      <c r="R103" s="812"/>
      <c r="S103" s="298"/>
      <c r="T103" s="294">
        <f t="shared" si="144"/>
        <v>0</v>
      </c>
      <c r="U103" s="301"/>
      <c r="V103" s="299"/>
      <c r="W103" s="812"/>
      <c r="X103" s="298"/>
      <c r="Y103" s="294">
        <f t="shared" si="145"/>
        <v>0</v>
      </c>
      <c r="Z103" s="301"/>
      <c r="AA103" s="299"/>
      <c r="AB103" s="812"/>
      <c r="AC103" s="298"/>
      <c r="AD103" s="294">
        <f t="shared" si="146"/>
        <v>0</v>
      </c>
      <c r="AE103" s="296"/>
      <c r="AF103" s="299"/>
      <c r="AG103" s="812"/>
      <c r="AH103" s="298"/>
      <c r="AI103" s="294">
        <f t="shared" si="147"/>
        <v>0</v>
      </c>
      <c r="AJ103" s="638"/>
    </row>
    <row r="104" spans="2:40">
      <c r="B104" s="719"/>
      <c r="C104" s="719"/>
      <c r="D104" s="719"/>
      <c r="E104" s="719"/>
      <c r="F104" s="719"/>
      <c r="G104" s="719"/>
      <c r="H104" s="719"/>
      <c r="I104" s="719"/>
      <c r="J104" s="719"/>
      <c r="K104" s="297"/>
      <c r="L104" s="299"/>
      <c r="M104" s="812"/>
      <c r="N104" s="298"/>
      <c r="O104" s="294">
        <f t="shared" si="143"/>
        <v>0</v>
      </c>
      <c r="P104" s="301"/>
      <c r="Q104" s="299"/>
      <c r="R104" s="812"/>
      <c r="S104" s="298"/>
      <c r="T104" s="294">
        <f t="shared" si="144"/>
        <v>0</v>
      </c>
      <c r="U104" s="301"/>
      <c r="V104" s="299"/>
      <c r="W104" s="812"/>
      <c r="X104" s="298"/>
      <c r="Y104" s="294">
        <f t="shared" si="145"/>
        <v>0</v>
      </c>
      <c r="Z104" s="301"/>
      <c r="AA104" s="299"/>
      <c r="AB104" s="812"/>
      <c r="AC104" s="298"/>
      <c r="AD104" s="294">
        <f t="shared" si="146"/>
        <v>0</v>
      </c>
      <c r="AE104" s="296"/>
      <c r="AF104" s="299"/>
      <c r="AG104" s="812"/>
      <c r="AH104" s="298"/>
      <c r="AI104" s="294">
        <f t="shared" si="147"/>
        <v>0</v>
      </c>
      <c r="AJ104" s="638"/>
    </row>
    <row r="105" spans="2:40">
      <c r="B105" s="719"/>
      <c r="C105" s="719"/>
      <c r="D105" s="719"/>
      <c r="E105" s="719"/>
      <c r="F105" s="719"/>
      <c r="G105" s="719"/>
      <c r="H105" s="719"/>
      <c r="I105" s="719"/>
      <c r="J105" s="719"/>
      <c r="K105" s="297"/>
      <c r="L105" s="186" t="s">
        <v>229</v>
      </c>
      <c r="M105" s="186">
        <f>SUM(M93:M104)+M106</f>
        <v>30</v>
      </c>
      <c r="N105" s="294"/>
      <c r="O105" s="294">
        <f>SUM(O93:O104)</f>
        <v>2722.7399999999993</v>
      </c>
      <c r="P105" s="301"/>
      <c r="Q105" s="186" t="s">
        <v>229</v>
      </c>
      <c r="R105" s="186">
        <f>SUM(R93:R104)+R106</f>
        <v>24</v>
      </c>
      <c r="S105" s="294"/>
      <c r="T105" s="294">
        <f>SUM(T93:T104)</f>
        <v>111.07</v>
      </c>
      <c r="U105" s="301"/>
      <c r="V105" s="186" t="s">
        <v>229</v>
      </c>
      <c r="W105" s="186">
        <f>SUM(W93:W104)+W106</f>
        <v>20</v>
      </c>
      <c r="X105" s="294"/>
      <c r="Y105" s="294">
        <f>SUM(Y93:Y104)</f>
        <v>1794.05</v>
      </c>
      <c r="Z105" s="301"/>
      <c r="AA105" s="186" t="s">
        <v>229</v>
      </c>
      <c r="AB105" s="186">
        <f>SUM(AB93:AB104)+AB106</f>
        <v>150</v>
      </c>
      <c r="AC105" s="294"/>
      <c r="AD105" s="294">
        <f>SUM(AD93:AD104)</f>
        <v>1456.7500000000002</v>
      </c>
      <c r="AE105" s="296"/>
      <c r="AF105" s="186" t="s">
        <v>229</v>
      </c>
      <c r="AG105" s="186">
        <f>SUM(AG93:AG104)+AG106</f>
        <v>157</v>
      </c>
      <c r="AH105" s="294"/>
      <c r="AI105" s="294">
        <f>SUM(AI93:AI104)</f>
        <v>1476.84</v>
      </c>
      <c r="AJ105" s="638"/>
    </row>
    <row r="106" spans="2:40">
      <c r="B106" s="719"/>
      <c r="C106" s="719"/>
      <c r="D106" s="719"/>
      <c r="E106" s="719"/>
      <c r="F106" s="719"/>
      <c r="G106" s="719"/>
      <c r="H106" s="719"/>
      <c r="I106" s="719"/>
      <c r="J106" s="719"/>
      <c r="K106" s="297"/>
      <c r="L106" s="301"/>
      <c r="M106" s="302">
        <v>1</v>
      </c>
      <c r="N106" s="631"/>
      <c r="O106" s="631"/>
      <c r="P106" s="302"/>
      <c r="Q106" s="302"/>
      <c r="R106" s="302">
        <v>12</v>
      </c>
      <c r="S106" s="631"/>
      <c r="T106" s="631"/>
      <c r="U106" s="302"/>
      <c r="V106" s="302"/>
      <c r="W106" s="302">
        <v>1</v>
      </c>
      <c r="X106" s="631"/>
      <c r="Y106" s="631"/>
      <c r="Z106" s="302"/>
      <c r="AA106" s="302"/>
      <c r="AB106" s="302">
        <v>0</v>
      </c>
      <c r="AC106" s="632"/>
      <c r="AD106" s="632"/>
      <c r="AE106" s="301"/>
      <c r="AF106" s="302"/>
      <c r="AG106" s="302">
        <v>0</v>
      </c>
      <c r="AH106" s="631"/>
      <c r="AI106" s="631"/>
      <c r="AJ106" s="638"/>
    </row>
    <row r="107" spans="2:40">
      <c r="B107" s="719"/>
      <c r="C107" s="719"/>
      <c r="D107" s="719"/>
      <c r="E107" s="719"/>
      <c r="F107" s="719"/>
      <c r="G107" s="719"/>
      <c r="H107" s="719"/>
      <c r="I107" s="719"/>
      <c r="J107" s="719"/>
      <c r="K107" s="292"/>
      <c r="L107" s="291"/>
      <c r="M107" s="289"/>
      <c r="N107" s="290"/>
      <c r="O107" s="641"/>
      <c r="P107" s="289"/>
      <c r="Q107" s="289"/>
      <c r="R107" s="289"/>
      <c r="S107" s="290"/>
      <c r="T107" s="290"/>
      <c r="U107" s="289"/>
      <c r="V107" s="289"/>
      <c r="W107" s="289"/>
      <c r="X107" s="290"/>
      <c r="Y107" s="290"/>
      <c r="Z107" s="289"/>
      <c r="AA107" s="289"/>
      <c r="AB107" s="289"/>
      <c r="AC107" s="288"/>
      <c r="AD107" s="288"/>
      <c r="AE107" s="291"/>
      <c r="AF107" s="289"/>
      <c r="AG107" s="289"/>
      <c r="AH107" s="290"/>
      <c r="AI107" s="290"/>
      <c r="AJ107" s="639"/>
    </row>
    <row r="108" spans="2:40" s="719" customFormat="1" ht="15" customHeight="1">
      <c r="X108" s="721"/>
      <c r="Y108" s="721"/>
      <c r="AC108" s="721"/>
      <c r="AD108" s="721"/>
      <c r="AH108" s="721"/>
      <c r="AI108" s="721"/>
    </row>
    <row r="109" spans="2:40" s="719" customFormat="1">
      <c r="H109" s="729" t="s">
        <v>209</v>
      </c>
      <c r="I109" s="1020" t="s">
        <v>243</v>
      </c>
      <c r="J109" s="1020"/>
      <c r="K109" s="1020" t="s">
        <v>241</v>
      </c>
      <c r="L109" s="1020"/>
      <c r="M109" s="1020" t="s">
        <v>240</v>
      </c>
      <c r="N109" s="1020"/>
      <c r="O109" s="1019" t="s">
        <v>236</v>
      </c>
      <c r="P109" s="1019"/>
      <c r="Q109" s="1019" t="s">
        <v>234</v>
      </c>
      <c r="R109" s="1019"/>
      <c r="S109" s="1019" t="s">
        <v>342</v>
      </c>
      <c r="T109" s="1019"/>
      <c r="U109" s="1019" t="s">
        <v>292</v>
      </c>
      <c r="V109" s="1019"/>
      <c r="W109" s="1019" t="s">
        <v>345</v>
      </c>
      <c r="X109" s="1019"/>
      <c r="Y109" s="1019" t="s">
        <v>557</v>
      </c>
      <c r="Z109" s="1019"/>
      <c r="AA109" s="1019" t="s">
        <v>562</v>
      </c>
      <c r="AB109" s="1019"/>
      <c r="AF109" s="1021"/>
      <c r="AG109" s="1021"/>
      <c r="AH109" s="1021"/>
      <c r="AI109" s="1021"/>
      <c r="AJ109" s="1021"/>
      <c r="AK109" s="1021"/>
      <c r="AL109" s="1021"/>
      <c r="AM109" s="1021"/>
    </row>
    <row r="110" spans="2:40" s="719" customFormat="1">
      <c r="H110" s="729" t="s">
        <v>575</v>
      </c>
      <c r="I110" s="1020" t="s">
        <v>580</v>
      </c>
      <c r="J110" s="1020"/>
      <c r="K110" s="1020" t="s">
        <v>586</v>
      </c>
      <c r="L110" s="1020"/>
      <c r="M110" s="1019" t="s">
        <v>588</v>
      </c>
      <c r="N110" s="1019"/>
      <c r="O110" s="1019" t="s">
        <v>593</v>
      </c>
      <c r="P110" s="1019"/>
      <c r="Q110" s="1019" t="s">
        <v>595</v>
      </c>
      <c r="R110" s="1019"/>
      <c r="S110" s="1019" t="s">
        <v>598</v>
      </c>
      <c r="T110" s="1019"/>
      <c r="U110" s="1019" t="s">
        <v>601</v>
      </c>
      <c r="V110" s="1019"/>
      <c r="W110" s="1019" t="s">
        <v>602</v>
      </c>
      <c r="X110" s="1019"/>
      <c r="Y110" s="1019" t="s">
        <v>607</v>
      </c>
      <c r="Z110" s="1019"/>
      <c r="AA110" s="1019" t="s">
        <v>606</v>
      </c>
      <c r="AB110" s="1019"/>
      <c r="AF110" s="1021"/>
      <c r="AG110" s="1021"/>
      <c r="AH110" s="1021"/>
      <c r="AI110" s="1021"/>
      <c r="AJ110" s="1021"/>
      <c r="AK110" s="1021"/>
      <c r="AL110" s="1021"/>
      <c r="AM110" s="1021"/>
    </row>
    <row r="111" spans="2:40" s="719" customFormat="1">
      <c r="H111" s="729" t="s">
        <v>576</v>
      </c>
      <c r="I111" s="1025">
        <v>40728</v>
      </c>
      <c r="J111" s="1020"/>
      <c r="K111" s="1020" t="s">
        <v>343</v>
      </c>
      <c r="L111" s="1020"/>
      <c r="M111" s="1019" t="s">
        <v>343</v>
      </c>
      <c r="N111" s="1019"/>
      <c r="O111" s="1019" t="s">
        <v>343</v>
      </c>
      <c r="P111" s="1019"/>
      <c r="Q111" s="1019" t="s">
        <v>343</v>
      </c>
      <c r="R111" s="1019"/>
      <c r="S111" s="1019" t="s">
        <v>343</v>
      </c>
      <c r="T111" s="1019"/>
      <c r="U111" s="1024">
        <v>40808</v>
      </c>
      <c r="V111" s="1019"/>
      <c r="W111" s="1019" t="s">
        <v>343</v>
      </c>
      <c r="X111" s="1019"/>
      <c r="Y111" s="1024">
        <v>43161</v>
      </c>
      <c r="Z111" s="1019"/>
      <c r="AA111" s="1019" t="s">
        <v>343</v>
      </c>
      <c r="AB111" s="1019"/>
      <c r="AF111" s="1026"/>
      <c r="AG111" s="1021"/>
      <c r="AH111" s="1021"/>
      <c r="AI111" s="1021"/>
      <c r="AJ111" s="1021"/>
      <c r="AK111" s="1021"/>
      <c r="AL111" s="1021"/>
      <c r="AM111" s="1021"/>
    </row>
    <row r="112" spans="2:40" s="719" customFormat="1">
      <c r="H112" s="729" t="s">
        <v>213</v>
      </c>
      <c r="I112" s="1020" t="s">
        <v>599</v>
      </c>
      <c r="J112" s="1020"/>
      <c r="K112" s="1020" t="s">
        <v>581</v>
      </c>
      <c r="L112" s="1020"/>
      <c r="M112" s="1019" t="s">
        <v>590</v>
      </c>
      <c r="N112" s="1019"/>
      <c r="O112" s="1019" t="s">
        <v>599</v>
      </c>
      <c r="P112" s="1019"/>
      <c r="Q112" s="1019" t="s">
        <v>581</v>
      </c>
      <c r="R112" s="1019"/>
      <c r="S112" s="1019" t="s">
        <v>599</v>
      </c>
      <c r="T112" s="1019"/>
      <c r="U112" s="1019" t="s">
        <v>599</v>
      </c>
      <c r="V112" s="1019"/>
      <c r="W112" s="1019" t="s">
        <v>581</v>
      </c>
      <c r="X112" s="1019"/>
      <c r="Y112" s="1019" t="s">
        <v>599</v>
      </c>
      <c r="Z112" s="1019"/>
      <c r="AA112" s="1019" t="s">
        <v>581</v>
      </c>
      <c r="AB112" s="1019"/>
      <c r="AF112" s="1021"/>
      <c r="AG112" s="1021"/>
      <c r="AH112" s="1021"/>
      <c r="AI112" s="1021"/>
      <c r="AJ112" s="1021"/>
      <c r="AK112" s="1021"/>
      <c r="AL112" s="1021"/>
      <c r="AM112" s="1021"/>
    </row>
    <row r="113" spans="8:39" s="719" customFormat="1">
      <c r="H113" s="729" t="s">
        <v>591</v>
      </c>
      <c r="I113" s="1020">
        <v>3</v>
      </c>
      <c r="J113" s="1020"/>
      <c r="K113" s="1020" t="s">
        <v>343</v>
      </c>
      <c r="L113" s="1020"/>
      <c r="M113" s="1020" t="s">
        <v>343</v>
      </c>
      <c r="N113" s="1020"/>
      <c r="O113" s="1020">
        <v>2</v>
      </c>
      <c r="P113" s="1020"/>
      <c r="Q113" s="1020" t="s">
        <v>343</v>
      </c>
      <c r="R113" s="1020"/>
      <c r="S113" s="1020">
        <v>2</v>
      </c>
      <c r="T113" s="1020"/>
      <c r="U113" s="1020">
        <v>7</v>
      </c>
      <c r="V113" s="1020"/>
      <c r="W113" s="1020" t="s">
        <v>343</v>
      </c>
      <c r="X113" s="1020"/>
      <c r="Y113" s="1020">
        <v>4</v>
      </c>
      <c r="Z113" s="1020"/>
      <c r="AA113" s="1020" t="s">
        <v>343</v>
      </c>
      <c r="AB113" s="1020"/>
      <c r="AF113" s="1030"/>
      <c r="AG113" s="1030"/>
      <c r="AH113" s="1030"/>
      <c r="AI113" s="1030"/>
      <c r="AJ113" s="1030"/>
      <c r="AK113" s="1030"/>
      <c r="AL113" s="1030"/>
      <c r="AM113" s="1030"/>
    </row>
    <row r="114" spans="8:39" s="719" customFormat="1">
      <c r="H114" s="729" t="s">
        <v>577</v>
      </c>
      <c r="I114" s="1020" t="s">
        <v>582</v>
      </c>
      <c r="J114" s="1020"/>
      <c r="K114" s="1020" t="s">
        <v>582</v>
      </c>
      <c r="L114" s="1020"/>
      <c r="M114" s="1019" t="s">
        <v>589</v>
      </c>
      <c r="N114" s="1019"/>
      <c r="O114" s="1019" t="s">
        <v>594</v>
      </c>
      <c r="P114" s="1019"/>
      <c r="Q114" s="1019" t="s">
        <v>596</v>
      </c>
      <c r="R114" s="1019"/>
      <c r="S114" s="1019" t="s">
        <v>600</v>
      </c>
      <c r="T114" s="1019"/>
      <c r="U114" s="1019" t="s">
        <v>596</v>
      </c>
      <c r="V114" s="1019"/>
      <c r="W114" s="1019" t="s">
        <v>603</v>
      </c>
      <c r="X114" s="1019"/>
      <c r="Y114" s="1019" t="s">
        <v>608</v>
      </c>
      <c r="Z114" s="1019"/>
      <c r="AA114" s="1019" t="s">
        <v>582</v>
      </c>
      <c r="AB114" s="1019"/>
      <c r="AF114" s="1021"/>
      <c r="AG114" s="1021"/>
      <c r="AH114" s="1021"/>
      <c r="AI114" s="1021"/>
      <c r="AJ114" s="1021"/>
      <c r="AK114" s="1021"/>
      <c r="AL114" s="1021"/>
      <c r="AM114" s="1021"/>
    </row>
    <row r="115" spans="8:39" s="719" customFormat="1">
      <c r="H115" s="729" t="s">
        <v>578</v>
      </c>
      <c r="I115" s="1020" t="s">
        <v>584</v>
      </c>
      <c r="J115" s="1020"/>
      <c r="K115" s="1020" t="s">
        <v>583</v>
      </c>
      <c r="L115" s="1020"/>
      <c r="M115" s="1019" t="s">
        <v>584</v>
      </c>
      <c r="N115" s="1019"/>
      <c r="O115" s="1019" t="s">
        <v>592</v>
      </c>
      <c r="P115" s="1019"/>
      <c r="Q115" s="1019" t="s">
        <v>584</v>
      </c>
      <c r="R115" s="1019"/>
      <c r="S115" s="1019" t="s">
        <v>584</v>
      </c>
      <c r="T115" s="1019"/>
      <c r="U115" s="1019" t="s">
        <v>584</v>
      </c>
      <c r="V115" s="1019"/>
      <c r="W115" s="1019" t="s">
        <v>584</v>
      </c>
      <c r="X115" s="1019"/>
      <c r="Y115" s="1019" t="s">
        <v>583</v>
      </c>
      <c r="Z115" s="1019"/>
      <c r="AA115" s="1019" t="s">
        <v>604</v>
      </c>
      <c r="AB115" s="1019"/>
      <c r="AF115" s="1021"/>
      <c r="AG115" s="1021"/>
      <c r="AH115" s="1021"/>
      <c r="AI115" s="1021"/>
      <c r="AJ115" s="1021"/>
      <c r="AK115" s="1021"/>
      <c r="AL115" s="1021"/>
      <c r="AM115" s="1021"/>
    </row>
    <row r="116" spans="8:39" s="719" customFormat="1">
      <c r="H116" s="729" t="s">
        <v>579</v>
      </c>
      <c r="I116" s="1020" t="s">
        <v>583</v>
      </c>
      <c r="J116" s="1020"/>
      <c r="K116" s="1020" t="s">
        <v>585</v>
      </c>
      <c r="L116" s="1020"/>
      <c r="M116" s="1019" t="s">
        <v>587</v>
      </c>
      <c r="N116" s="1019"/>
      <c r="O116" s="1019" t="s">
        <v>583</v>
      </c>
      <c r="P116" s="1019"/>
      <c r="Q116" s="1019" t="s">
        <v>583</v>
      </c>
      <c r="R116" s="1019"/>
      <c r="S116" s="1019" t="s">
        <v>597</v>
      </c>
      <c r="T116" s="1019"/>
      <c r="U116" s="1019" t="s">
        <v>583</v>
      </c>
      <c r="V116" s="1019"/>
      <c r="W116" s="1019" t="s">
        <v>583</v>
      </c>
      <c r="X116" s="1019"/>
      <c r="Y116" s="1019" t="s">
        <v>585</v>
      </c>
      <c r="Z116" s="1019"/>
      <c r="AA116" s="1019" t="s">
        <v>605</v>
      </c>
      <c r="AB116" s="1019"/>
      <c r="AF116" s="1021"/>
      <c r="AG116" s="1021"/>
      <c r="AH116" s="1021"/>
      <c r="AI116" s="1021"/>
      <c r="AJ116" s="1021"/>
      <c r="AK116" s="1021"/>
      <c r="AL116" s="1021"/>
      <c r="AM116" s="1021"/>
    </row>
    <row r="117" spans="8:39" s="719" customFormat="1">
      <c r="N117" s="728"/>
      <c r="O117" s="721"/>
      <c r="S117" s="721"/>
      <c r="T117" s="721"/>
      <c r="X117" s="721"/>
      <c r="Y117" s="721"/>
      <c r="AC117" s="721"/>
      <c r="AD117" s="721"/>
      <c r="AH117" s="721"/>
      <c r="AI117" s="721"/>
    </row>
    <row r="118" spans="8:39" s="719" customFormat="1">
      <c r="N118" s="728"/>
      <c r="O118" s="721"/>
      <c r="S118" s="721"/>
      <c r="T118" s="721"/>
      <c r="X118" s="721"/>
      <c r="Y118" s="721"/>
      <c r="AC118" s="721"/>
      <c r="AD118" s="721"/>
      <c r="AH118" s="721"/>
      <c r="AI118" s="721"/>
    </row>
    <row r="119" spans="8:39" s="719" customFormat="1">
      <c r="N119" s="728"/>
      <c r="O119" s="721"/>
      <c r="S119" s="721"/>
      <c r="T119" s="721"/>
      <c r="X119" s="721"/>
      <c r="Y119" s="721"/>
      <c r="AC119" s="721"/>
      <c r="AD119" s="721"/>
      <c r="AH119" s="721"/>
      <c r="AI119" s="721"/>
    </row>
    <row r="120" spans="8:39" s="719" customFormat="1">
      <c r="N120" s="728"/>
      <c r="O120" s="721"/>
      <c r="S120" s="721"/>
      <c r="T120" s="721"/>
      <c r="X120" s="721"/>
      <c r="Y120" s="721"/>
      <c r="AC120" s="721"/>
      <c r="AD120" s="721"/>
      <c r="AH120" s="721"/>
      <c r="AI120" s="721"/>
    </row>
    <row r="121" spans="8:39" s="719" customFormat="1">
      <c r="N121" s="728"/>
      <c r="O121" s="721"/>
      <c r="S121" s="721"/>
      <c r="T121" s="721"/>
      <c r="X121" s="721"/>
      <c r="Y121" s="721"/>
      <c r="AC121" s="721"/>
      <c r="AD121" s="721"/>
      <c r="AH121" s="721"/>
      <c r="AI121" s="721"/>
    </row>
    <row r="122" spans="8:39" s="719" customFormat="1">
      <c r="N122" s="728"/>
      <c r="O122" s="721"/>
      <c r="S122" s="721"/>
      <c r="T122" s="721"/>
      <c r="X122" s="721"/>
      <c r="Y122" s="721"/>
      <c r="AC122" s="721"/>
      <c r="AD122" s="721"/>
      <c r="AH122" s="721"/>
      <c r="AI122" s="721"/>
    </row>
    <row r="123" spans="8:39" s="719" customFormat="1">
      <c r="AH123" s="721"/>
      <c r="AI123" s="721"/>
    </row>
    <row r="124" spans="8:39" s="719" customFormat="1">
      <c r="AH124" s="721"/>
      <c r="AI124" s="721"/>
    </row>
    <row r="125" spans="8:39" s="719" customFormat="1">
      <c r="AH125" s="721"/>
      <c r="AI125" s="721"/>
    </row>
    <row r="126" spans="8:39" s="719" customFormat="1">
      <c r="L126" s="1017">
        <v>2022</v>
      </c>
      <c r="M126" s="1017"/>
      <c r="N126" s="1018">
        <v>545.1</v>
      </c>
      <c r="O126" s="1018"/>
      <c r="P126" s="730"/>
      <c r="Q126" s="731"/>
      <c r="R126" s="731" t="s">
        <v>437</v>
      </c>
      <c r="S126" s="732" t="s">
        <v>228</v>
      </c>
      <c r="T126" s="732" t="s">
        <v>43</v>
      </c>
      <c r="AH126" s="721"/>
      <c r="AI126" s="721"/>
    </row>
    <row r="127" spans="8:39" s="719" customFormat="1">
      <c r="L127" s="1017"/>
      <c r="M127" s="1017"/>
      <c r="N127" s="1018"/>
      <c r="O127" s="1018"/>
      <c r="P127" s="730"/>
      <c r="Q127" s="733" t="s">
        <v>242</v>
      </c>
      <c r="R127" s="732">
        <f>75.42+39.95</f>
        <v>115.37</v>
      </c>
      <c r="S127" s="732">
        <v>130.05000000000001</v>
      </c>
      <c r="T127" s="732">
        <f>S127-R127</f>
        <v>14.680000000000007</v>
      </c>
      <c r="AH127" s="721"/>
      <c r="AI127" s="721"/>
    </row>
    <row r="128" spans="8:39" s="719" customFormat="1">
      <c r="L128" s="1017">
        <v>2023</v>
      </c>
      <c r="M128" s="1017"/>
      <c r="N128" s="1018">
        <f>O105+T105+Y105+AD105+AD86+Y86+T86+O86+AI105+AI86+R133+R134</f>
        <v>10396.6198</v>
      </c>
      <c r="O128" s="1018"/>
      <c r="P128" s="730"/>
      <c r="Q128" s="734" t="s">
        <v>238</v>
      </c>
      <c r="R128" s="732">
        <f>86.3+90.28</f>
        <v>176.57999999999998</v>
      </c>
      <c r="S128" s="732">
        <v>194.88</v>
      </c>
      <c r="T128" s="732">
        <f t="shared" ref="T128:T134" si="148">S128-R128</f>
        <v>18.300000000000011</v>
      </c>
      <c r="AH128" s="721"/>
      <c r="AI128" s="721"/>
    </row>
    <row r="129" spans="12:35" s="719" customFormat="1">
      <c r="L129" s="1017"/>
      <c r="M129" s="1017"/>
      <c r="N129" s="1018"/>
      <c r="O129" s="1018"/>
      <c r="P129" s="730"/>
      <c r="Q129" s="733" t="s">
        <v>239</v>
      </c>
      <c r="R129" s="732">
        <v>91.78</v>
      </c>
      <c r="S129" s="732">
        <v>93.08</v>
      </c>
      <c r="T129" s="732">
        <f t="shared" si="148"/>
        <v>1.2999999999999972</v>
      </c>
      <c r="AH129" s="721"/>
      <c r="AI129" s="721"/>
    </row>
    <row r="130" spans="12:35" s="719" customFormat="1">
      <c r="L130" s="1022" t="s">
        <v>45</v>
      </c>
      <c r="M130" s="1022"/>
      <c r="N130" s="1023">
        <f>SUM(N126:O129)</f>
        <v>10941.719800000001</v>
      </c>
      <c r="O130" s="1023"/>
      <c r="P130" s="730"/>
      <c r="Q130" s="733" t="s">
        <v>390</v>
      </c>
      <c r="R130" s="732">
        <f>224.56+64.25</f>
        <v>288.81</v>
      </c>
      <c r="S130" s="732">
        <v>314.85000000000002</v>
      </c>
      <c r="T130" s="732">
        <f t="shared" si="148"/>
        <v>26.04000000000002</v>
      </c>
      <c r="AH130" s="721"/>
      <c r="AI130" s="721"/>
    </row>
    <row r="131" spans="12:35" s="719" customFormat="1">
      <c r="L131" s="1022"/>
      <c r="M131" s="1022"/>
      <c r="N131" s="1023"/>
      <c r="O131" s="1023"/>
      <c r="P131" s="730"/>
      <c r="Q131" s="733" t="s">
        <v>391</v>
      </c>
      <c r="R131" s="732">
        <v>100.49</v>
      </c>
      <c r="S131" s="732">
        <v>123.33</v>
      </c>
      <c r="T131" s="732">
        <f t="shared" si="148"/>
        <v>22.840000000000003</v>
      </c>
      <c r="X131" s="721"/>
      <c r="Y131" s="721"/>
      <c r="AC131" s="721"/>
      <c r="AD131" s="721"/>
      <c r="AH131" s="721"/>
      <c r="AI131" s="721"/>
    </row>
    <row r="132" spans="12:35" s="719" customFormat="1">
      <c r="L132" s="731"/>
      <c r="M132" s="731"/>
      <c r="N132" s="735"/>
      <c r="O132" s="732"/>
      <c r="P132" s="731"/>
      <c r="Q132" s="733" t="s">
        <v>235</v>
      </c>
      <c r="R132" s="732">
        <f>91.13+305.76</f>
        <v>396.89</v>
      </c>
      <c r="S132" s="732">
        <f>5*87.82</f>
        <v>439.09999999999997</v>
      </c>
      <c r="T132" s="732">
        <f t="shared" si="148"/>
        <v>42.20999999999998</v>
      </c>
      <c r="X132" s="721"/>
      <c r="Y132" s="721"/>
      <c r="AC132" s="721"/>
      <c r="AD132" s="721"/>
      <c r="AH132" s="721"/>
      <c r="AI132" s="721"/>
    </row>
    <row r="133" spans="12:35" s="719" customFormat="1">
      <c r="L133" s="731"/>
      <c r="M133" s="731"/>
      <c r="N133" s="735"/>
      <c r="O133" s="732"/>
      <c r="P133" s="731"/>
      <c r="Q133" s="733" t="s">
        <v>237</v>
      </c>
      <c r="R133" s="732">
        <v>103.33</v>
      </c>
      <c r="S133" s="732">
        <v>103.33</v>
      </c>
      <c r="T133" s="732">
        <f t="shared" si="148"/>
        <v>0</v>
      </c>
      <c r="X133" s="721"/>
      <c r="Y133" s="721"/>
      <c r="AC133" s="721"/>
      <c r="AD133" s="721"/>
      <c r="AH133" s="721"/>
      <c r="AI133" s="721"/>
    </row>
    <row r="134" spans="12:35" s="719" customFormat="1">
      <c r="L134" s="731"/>
      <c r="M134" s="736"/>
      <c r="N134" s="735"/>
      <c r="O134" s="732"/>
      <c r="P134" s="731"/>
      <c r="Q134" s="733" t="s">
        <v>248</v>
      </c>
      <c r="R134" s="732">
        <f>9*5.74</f>
        <v>51.660000000000004</v>
      </c>
      <c r="S134" s="732">
        <v>51.66</v>
      </c>
      <c r="T134" s="732">
        <f t="shared" si="148"/>
        <v>0</v>
      </c>
      <c r="X134" s="721"/>
      <c r="Y134" s="721"/>
      <c r="AC134" s="721"/>
      <c r="AD134" s="721"/>
      <c r="AH134" s="721"/>
      <c r="AI134" s="721"/>
    </row>
    <row r="135" spans="12:35" s="719" customFormat="1">
      <c r="L135" s="731"/>
      <c r="M135" s="736"/>
      <c r="N135" s="735"/>
      <c r="O135" s="732"/>
      <c r="P135" s="731"/>
      <c r="Q135" s="731"/>
      <c r="R135" s="731"/>
      <c r="S135" s="732"/>
      <c r="T135" s="732">
        <f>SUM(T127:T134)</f>
        <v>125.37000000000002</v>
      </c>
      <c r="X135" s="721"/>
      <c r="Y135" s="721"/>
      <c r="AC135" s="721"/>
      <c r="AD135" s="721"/>
      <c r="AH135" s="721"/>
      <c r="AI135" s="721"/>
    </row>
    <row r="136" spans="12:35" s="719" customFormat="1">
      <c r="N136" s="728"/>
      <c r="O136" s="721"/>
      <c r="S136" s="721"/>
      <c r="T136" s="721"/>
      <c r="X136" s="721"/>
      <c r="Y136" s="721"/>
      <c r="AC136" s="721"/>
      <c r="AD136" s="721"/>
      <c r="AH136" s="721"/>
      <c r="AI136" s="721"/>
    </row>
    <row r="137" spans="12:35" s="719" customFormat="1">
      <c r="N137" s="728"/>
      <c r="O137" s="721"/>
      <c r="S137" s="721"/>
      <c r="T137" s="721"/>
      <c r="X137" s="721"/>
      <c r="Y137" s="721"/>
      <c r="AC137" s="721"/>
      <c r="AD137" s="721"/>
      <c r="AH137" s="721"/>
      <c r="AI137" s="721"/>
    </row>
    <row r="138" spans="12:35" s="719" customFormat="1">
      <c r="N138" s="721"/>
      <c r="O138" s="721"/>
      <c r="S138" s="721"/>
      <c r="T138" s="721"/>
      <c r="X138" s="721"/>
      <c r="Y138" s="721"/>
      <c r="AC138" s="721"/>
      <c r="AD138" s="721"/>
      <c r="AH138" s="721"/>
      <c r="AI138" s="721"/>
    </row>
    <row r="139" spans="12:35" s="719" customFormat="1">
      <c r="N139" s="721"/>
      <c r="O139" s="721"/>
      <c r="S139" s="721"/>
      <c r="T139" s="721"/>
      <c r="X139" s="721"/>
      <c r="Y139" s="721"/>
      <c r="AC139" s="721"/>
      <c r="AD139" s="721"/>
      <c r="AH139" s="721"/>
      <c r="AI139" s="721"/>
    </row>
    <row r="140" spans="12:35" s="719" customFormat="1">
      <c r="N140" s="721"/>
      <c r="O140" s="721"/>
      <c r="S140" s="721"/>
      <c r="T140" s="721"/>
      <c r="X140" s="721"/>
      <c r="Y140" s="721"/>
      <c r="AC140" s="721"/>
      <c r="AD140" s="721"/>
      <c r="AH140" s="721"/>
      <c r="AI140" s="721"/>
    </row>
    <row r="141" spans="12:35" s="719" customFormat="1">
      <c r="N141" s="721"/>
      <c r="O141" s="721"/>
      <c r="S141" s="721"/>
      <c r="T141" s="721"/>
      <c r="X141" s="721"/>
      <c r="Y141" s="721"/>
      <c r="AC141" s="721"/>
      <c r="AD141" s="721"/>
      <c r="AH141" s="721"/>
      <c r="AI141" s="721"/>
    </row>
    <row r="142" spans="12:35" s="719" customFormat="1">
      <c r="N142" s="721"/>
      <c r="O142" s="721"/>
      <c r="S142" s="721"/>
      <c r="T142" s="721"/>
      <c r="X142" s="721"/>
      <c r="Y142" s="721"/>
      <c r="AC142" s="721"/>
      <c r="AD142" s="721"/>
      <c r="AH142" s="721"/>
      <c r="AI142" s="721"/>
    </row>
    <row r="143" spans="12:35" s="719" customFormat="1">
      <c r="N143" s="721"/>
      <c r="O143" s="721"/>
      <c r="S143" s="721"/>
      <c r="T143" s="721"/>
      <c r="X143" s="721"/>
      <c r="Y143" s="721"/>
      <c r="AC143" s="721"/>
      <c r="AD143" s="721"/>
      <c r="AH143" s="721"/>
      <c r="AI143" s="721"/>
    </row>
    <row r="144" spans="12:35" s="719" customFormat="1">
      <c r="N144" s="721"/>
      <c r="O144" s="721"/>
      <c r="S144" s="721"/>
      <c r="T144" s="721"/>
      <c r="X144" s="721"/>
      <c r="Y144" s="721"/>
      <c r="AC144" s="721"/>
      <c r="AD144" s="721"/>
      <c r="AH144" s="721"/>
      <c r="AI144" s="721"/>
    </row>
    <row r="145" spans="1:122" s="275" customFormat="1">
      <c r="A145" s="719"/>
      <c r="B145" s="719"/>
      <c r="C145" s="719"/>
      <c r="D145" s="719"/>
      <c r="E145" s="719"/>
      <c r="F145" s="719"/>
      <c r="G145" s="719"/>
      <c r="H145" s="719"/>
      <c r="I145" s="719"/>
      <c r="J145" s="719"/>
      <c r="K145" s="719"/>
      <c r="L145" s="719"/>
      <c r="M145" s="719"/>
      <c r="N145" s="721"/>
      <c r="O145" s="721"/>
      <c r="P145" s="719"/>
      <c r="Q145" s="719"/>
      <c r="R145" s="719"/>
      <c r="S145" s="721"/>
      <c r="T145" s="721"/>
      <c r="U145" s="719"/>
      <c r="V145" s="719"/>
      <c r="W145" s="719"/>
      <c r="X145" s="721"/>
      <c r="Y145" s="721"/>
      <c r="Z145" s="719"/>
      <c r="AA145" s="719"/>
      <c r="AB145" s="719"/>
      <c r="AC145" s="721"/>
      <c r="AD145" s="721"/>
      <c r="AE145" s="719"/>
      <c r="AF145" s="719"/>
      <c r="AG145" s="719"/>
      <c r="AH145" s="721"/>
      <c r="AI145" s="721"/>
      <c r="AJ145" s="719"/>
      <c r="AK145" s="719"/>
      <c r="AL145" s="719"/>
      <c r="AM145" s="719"/>
      <c r="AN145" s="719"/>
      <c r="AO145" s="719"/>
      <c r="AP145" s="719"/>
      <c r="AQ145" s="719"/>
      <c r="AR145" s="719"/>
      <c r="AS145" s="719"/>
      <c r="AT145" s="719"/>
      <c r="AU145" s="719"/>
      <c r="AV145" s="719"/>
      <c r="AW145" s="719"/>
      <c r="AX145" s="719"/>
      <c r="AY145" s="719"/>
      <c r="AZ145" s="719"/>
      <c r="BA145" s="719"/>
      <c r="BB145" s="719"/>
      <c r="BC145" s="719"/>
      <c r="BD145" s="719"/>
      <c r="BE145" s="719"/>
      <c r="BF145" s="719"/>
      <c r="BG145" s="719"/>
      <c r="BH145" s="719"/>
      <c r="BI145" s="719"/>
      <c r="BJ145" s="719"/>
      <c r="BK145" s="719"/>
      <c r="BL145" s="719"/>
      <c r="BM145" s="719"/>
      <c r="BN145" s="719"/>
      <c r="BO145" s="719"/>
      <c r="BP145" s="719"/>
      <c r="BQ145" s="719"/>
      <c r="BR145" s="719"/>
      <c r="BS145" s="719"/>
      <c r="BT145" s="719"/>
      <c r="BU145" s="719"/>
      <c r="BV145" s="719"/>
      <c r="BW145" s="719"/>
      <c r="BX145" s="719"/>
      <c r="BY145" s="719"/>
      <c r="BZ145" s="719"/>
      <c r="CA145" s="719"/>
      <c r="CB145" s="719"/>
      <c r="CC145" s="719"/>
      <c r="CD145" s="719"/>
      <c r="CE145" s="719"/>
      <c r="CF145" s="719"/>
      <c r="CG145" s="719"/>
      <c r="CH145" s="719"/>
      <c r="CI145" s="719"/>
      <c r="CJ145" s="719"/>
      <c r="CK145" s="719"/>
      <c r="CL145" s="719"/>
      <c r="CM145" s="719"/>
      <c r="CN145" s="719"/>
      <c r="CO145" s="719"/>
      <c r="CP145" s="719"/>
      <c r="CQ145" s="719"/>
      <c r="CR145" s="719"/>
      <c r="CS145" s="719"/>
      <c r="CT145" s="719"/>
      <c r="CU145" s="719"/>
      <c r="CV145" s="719"/>
      <c r="CW145" s="719"/>
      <c r="CX145" s="719"/>
      <c r="CY145" s="719"/>
      <c r="CZ145" s="719"/>
      <c r="DA145" s="719"/>
      <c r="DB145" s="719"/>
      <c r="DC145" s="719"/>
      <c r="DD145" s="719"/>
      <c r="DE145" s="719"/>
      <c r="DF145" s="719"/>
      <c r="DG145" s="719"/>
      <c r="DH145" s="719"/>
      <c r="DI145" s="719"/>
      <c r="DJ145" s="719"/>
      <c r="DK145" s="719"/>
      <c r="DL145" s="719"/>
      <c r="DM145" s="719"/>
      <c r="DN145" s="719"/>
      <c r="DO145" s="719"/>
      <c r="DP145" s="719"/>
      <c r="DQ145" s="719"/>
      <c r="DR145" s="719"/>
    </row>
    <row r="146" spans="1:122" s="275" customFormat="1">
      <c r="A146" s="719"/>
      <c r="B146" s="719"/>
      <c r="C146" s="719"/>
      <c r="D146" s="719"/>
      <c r="E146" s="719"/>
      <c r="F146" s="719"/>
      <c r="G146" s="719"/>
      <c r="H146" s="719"/>
      <c r="I146" s="719"/>
      <c r="J146" s="719"/>
      <c r="K146" s="719"/>
      <c r="L146" s="719"/>
      <c r="M146" s="719"/>
      <c r="N146" s="721"/>
      <c r="O146" s="721"/>
      <c r="P146" s="719"/>
      <c r="Q146" s="719"/>
      <c r="R146" s="719"/>
      <c r="S146" s="721"/>
      <c r="T146" s="721"/>
      <c r="U146" s="719"/>
      <c r="V146" s="719"/>
      <c r="W146" s="719"/>
      <c r="X146" s="721"/>
      <c r="Y146" s="721"/>
      <c r="Z146" s="719"/>
      <c r="AA146" s="719"/>
      <c r="AB146" s="719"/>
      <c r="AC146" s="721"/>
      <c r="AD146" s="721"/>
      <c r="AE146" s="719"/>
      <c r="AF146" s="719"/>
      <c r="AG146" s="719"/>
      <c r="AH146" s="721"/>
      <c r="AI146" s="721"/>
      <c r="AJ146" s="719"/>
      <c r="AK146" s="719"/>
      <c r="AL146" s="719"/>
      <c r="AM146" s="719"/>
      <c r="AN146" s="719"/>
      <c r="AO146" s="719"/>
      <c r="AP146" s="719"/>
      <c r="AQ146" s="719"/>
      <c r="AR146" s="719"/>
      <c r="AS146" s="719"/>
      <c r="AT146" s="719"/>
      <c r="AU146" s="719"/>
      <c r="AV146" s="719"/>
      <c r="AW146" s="719"/>
      <c r="AX146" s="719"/>
      <c r="AY146" s="719"/>
      <c r="AZ146" s="719"/>
      <c r="BA146" s="719"/>
      <c r="BB146" s="719"/>
      <c r="BC146" s="719"/>
      <c r="BD146" s="719"/>
      <c r="BE146" s="719"/>
      <c r="BF146" s="719"/>
      <c r="BG146" s="719"/>
      <c r="BH146" s="719"/>
      <c r="BI146" s="719"/>
      <c r="BJ146" s="719"/>
      <c r="BK146" s="719"/>
      <c r="BL146" s="719"/>
      <c r="BM146" s="719"/>
      <c r="BN146" s="719"/>
      <c r="BO146" s="719"/>
      <c r="BP146" s="719"/>
      <c r="BQ146" s="719"/>
      <c r="BR146" s="719"/>
      <c r="BS146" s="719"/>
      <c r="BT146" s="719"/>
      <c r="BU146" s="719"/>
      <c r="BV146" s="719"/>
      <c r="BW146" s="719"/>
      <c r="BX146" s="719"/>
      <c r="BY146" s="719"/>
      <c r="BZ146" s="719"/>
      <c r="CA146" s="719"/>
      <c r="CB146" s="719"/>
      <c r="CC146" s="719"/>
      <c r="CD146" s="719"/>
      <c r="CE146" s="719"/>
      <c r="CF146" s="719"/>
      <c r="CG146" s="719"/>
      <c r="CH146" s="719"/>
      <c r="CI146" s="719"/>
      <c r="CJ146" s="719"/>
      <c r="CK146" s="719"/>
      <c r="CL146" s="719"/>
      <c r="CM146" s="719"/>
      <c r="CN146" s="719"/>
      <c r="CO146" s="719"/>
      <c r="CP146" s="719"/>
      <c r="CQ146" s="719"/>
      <c r="CR146" s="719"/>
      <c r="CS146" s="719"/>
      <c r="CT146" s="719"/>
      <c r="CU146" s="719"/>
      <c r="CV146" s="719"/>
      <c r="CW146" s="719"/>
      <c r="CX146" s="719"/>
      <c r="CY146" s="719"/>
      <c r="CZ146" s="719"/>
      <c r="DA146" s="719"/>
      <c r="DB146" s="719"/>
      <c r="DC146" s="719"/>
      <c r="DD146" s="719"/>
      <c r="DE146" s="719"/>
      <c r="DF146" s="719"/>
      <c r="DG146" s="719"/>
      <c r="DH146" s="719"/>
      <c r="DI146" s="719"/>
      <c r="DJ146" s="719"/>
      <c r="DK146" s="719"/>
      <c r="DL146" s="719"/>
      <c r="DM146" s="719"/>
      <c r="DN146" s="719"/>
      <c r="DO146" s="719"/>
      <c r="DP146" s="719"/>
      <c r="DQ146" s="719"/>
      <c r="DR146" s="719"/>
    </row>
    <row r="147" spans="1:122" s="275" customFormat="1">
      <c r="A147" s="719"/>
      <c r="B147" s="719"/>
      <c r="C147" s="719"/>
      <c r="D147" s="719"/>
      <c r="E147" s="719"/>
      <c r="F147" s="719"/>
      <c r="G147" s="719"/>
      <c r="H147" s="719"/>
      <c r="I147" s="719"/>
      <c r="J147" s="719"/>
      <c r="K147" s="719"/>
      <c r="L147" s="719"/>
      <c r="M147" s="719"/>
      <c r="N147" s="721"/>
      <c r="O147" s="721"/>
      <c r="P147" s="719"/>
      <c r="Q147" s="719"/>
      <c r="R147" s="719"/>
      <c r="S147" s="721"/>
      <c r="T147" s="721"/>
      <c r="U147" s="719"/>
      <c r="V147" s="719"/>
      <c r="W147" s="719"/>
      <c r="X147" s="721"/>
      <c r="Y147" s="721"/>
      <c r="Z147" s="719"/>
      <c r="AA147" s="719"/>
      <c r="AB147" s="719"/>
      <c r="AC147" s="721"/>
      <c r="AD147" s="721"/>
      <c r="AE147" s="719"/>
      <c r="AF147" s="719"/>
      <c r="AG147" s="719"/>
      <c r="AH147" s="721"/>
      <c r="AI147" s="721"/>
      <c r="AJ147" s="719"/>
      <c r="AK147" s="719"/>
      <c r="AL147" s="719"/>
      <c r="AM147" s="719"/>
      <c r="AN147" s="719"/>
      <c r="AO147" s="719"/>
      <c r="AP147" s="719"/>
      <c r="AQ147" s="719"/>
      <c r="AR147" s="719"/>
      <c r="AS147" s="719"/>
      <c r="AT147" s="719"/>
      <c r="AU147" s="719"/>
      <c r="AV147" s="719"/>
      <c r="AW147" s="719"/>
      <c r="AX147" s="719"/>
      <c r="AY147" s="719"/>
      <c r="AZ147" s="719"/>
      <c r="BA147" s="719"/>
      <c r="BB147" s="719"/>
      <c r="BC147" s="719"/>
      <c r="BD147" s="719"/>
      <c r="BE147" s="719"/>
      <c r="BF147" s="719"/>
      <c r="BG147" s="719"/>
      <c r="BH147" s="719"/>
      <c r="BI147" s="719"/>
      <c r="BJ147" s="719"/>
      <c r="BK147" s="719"/>
      <c r="BL147" s="719"/>
      <c r="BM147" s="719"/>
      <c r="BN147" s="719"/>
      <c r="BO147" s="719"/>
      <c r="BP147" s="719"/>
      <c r="BQ147" s="719"/>
      <c r="BR147" s="719"/>
      <c r="BS147" s="719"/>
      <c r="BT147" s="719"/>
      <c r="BU147" s="719"/>
      <c r="BV147" s="719"/>
      <c r="BW147" s="719"/>
      <c r="BX147" s="719"/>
      <c r="BY147" s="719"/>
      <c r="BZ147" s="719"/>
      <c r="CA147" s="719"/>
      <c r="CB147" s="719"/>
      <c r="CC147" s="719"/>
      <c r="CD147" s="719"/>
      <c r="CE147" s="719"/>
      <c r="CF147" s="719"/>
      <c r="CG147" s="719"/>
      <c r="CH147" s="719"/>
      <c r="CI147" s="719"/>
      <c r="CJ147" s="719"/>
      <c r="CK147" s="719"/>
      <c r="CL147" s="719"/>
      <c r="CM147" s="719"/>
      <c r="CN147" s="719"/>
      <c r="CO147" s="719"/>
      <c r="CP147" s="719"/>
      <c r="CQ147" s="719"/>
      <c r="CR147" s="719"/>
      <c r="CS147" s="719"/>
      <c r="CT147" s="719"/>
      <c r="CU147" s="719"/>
      <c r="CV147" s="719"/>
      <c r="CW147" s="719"/>
      <c r="CX147" s="719"/>
      <c r="CY147" s="719"/>
      <c r="CZ147" s="719"/>
      <c r="DA147" s="719"/>
      <c r="DB147" s="719"/>
      <c r="DC147" s="719"/>
      <c r="DD147" s="719"/>
      <c r="DE147" s="719"/>
      <c r="DF147" s="719"/>
      <c r="DG147" s="719"/>
      <c r="DH147" s="719"/>
      <c r="DI147" s="719"/>
      <c r="DJ147" s="719"/>
      <c r="DK147" s="719"/>
      <c r="DL147" s="719"/>
      <c r="DM147" s="719"/>
      <c r="DN147" s="719"/>
      <c r="DO147" s="719"/>
      <c r="DP147" s="719"/>
      <c r="DQ147" s="719"/>
      <c r="DR147" s="719"/>
    </row>
    <row r="148" spans="1:122" s="275" customFormat="1">
      <c r="A148" s="719"/>
      <c r="B148" s="719"/>
      <c r="C148" s="719"/>
      <c r="D148" s="719"/>
      <c r="E148" s="719"/>
      <c r="F148" s="719"/>
      <c r="G148" s="719"/>
      <c r="H148" s="719"/>
      <c r="I148" s="719"/>
      <c r="J148" s="719"/>
      <c r="K148" s="719"/>
      <c r="L148" s="719"/>
      <c r="M148" s="719"/>
      <c r="N148" s="721"/>
      <c r="O148" s="721"/>
      <c r="P148" s="719"/>
      <c r="Q148" s="719"/>
      <c r="R148" s="719"/>
      <c r="S148" s="721"/>
      <c r="T148" s="721"/>
      <c r="U148" s="719"/>
      <c r="V148" s="719"/>
      <c r="W148" s="719"/>
      <c r="X148" s="721"/>
      <c r="Y148" s="721"/>
      <c r="Z148" s="719"/>
      <c r="AA148" s="719"/>
      <c r="AB148" s="719"/>
      <c r="AC148" s="721"/>
      <c r="AD148" s="721"/>
      <c r="AE148" s="719"/>
      <c r="AF148" s="719"/>
      <c r="AG148" s="719"/>
      <c r="AH148" s="721"/>
      <c r="AI148" s="721"/>
      <c r="AJ148" s="719"/>
      <c r="AK148" s="719"/>
      <c r="AL148" s="719"/>
      <c r="AM148" s="719"/>
      <c r="AN148" s="719"/>
      <c r="AO148" s="719"/>
      <c r="AP148" s="719"/>
      <c r="AQ148" s="719"/>
      <c r="AR148" s="719"/>
      <c r="AS148" s="719"/>
      <c r="AT148" s="719"/>
      <c r="AU148" s="719"/>
      <c r="AV148" s="719"/>
      <c r="AW148" s="719"/>
      <c r="AX148" s="719"/>
      <c r="AY148" s="719"/>
      <c r="AZ148" s="719"/>
      <c r="BA148" s="719"/>
      <c r="BB148" s="719"/>
      <c r="BC148" s="719"/>
      <c r="BD148" s="719"/>
      <c r="BE148" s="719"/>
      <c r="BF148" s="719"/>
      <c r="BG148" s="719"/>
      <c r="BH148" s="719"/>
      <c r="BI148" s="719"/>
      <c r="BJ148" s="719"/>
      <c r="BK148" s="719"/>
      <c r="BL148" s="719"/>
      <c r="BM148" s="719"/>
      <c r="BN148" s="719"/>
      <c r="BO148" s="719"/>
      <c r="BP148" s="719"/>
      <c r="BQ148" s="719"/>
      <c r="BR148" s="719"/>
      <c r="BS148" s="719"/>
      <c r="BT148" s="719"/>
      <c r="BU148" s="719"/>
      <c r="BV148" s="719"/>
      <c r="BW148" s="719"/>
      <c r="BX148" s="719"/>
      <c r="BY148" s="719"/>
      <c r="BZ148" s="719"/>
      <c r="CA148" s="719"/>
      <c r="CB148" s="719"/>
      <c r="CC148" s="719"/>
      <c r="CD148" s="719"/>
      <c r="CE148" s="719"/>
      <c r="CF148" s="719"/>
      <c r="CG148" s="719"/>
      <c r="CH148" s="719"/>
      <c r="CI148" s="719"/>
      <c r="CJ148" s="719"/>
      <c r="CK148" s="719"/>
      <c r="CL148" s="719"/>
      <c r="CM148" s="719"/>
      <c r="CN148" s="719"/>
      <c r="CO148" s="719"/>
      <c r="CP148" s="719"/>
      <c r="CQ148" s="719"/>
      <c r="CR148" s="719"/>
      <c r="CS148" s="719"/>
      <c r="CT148" s="719"/>
      <c r="CU148" s="719"/>
      <c r="CV148" s="719"/>
      <c r="CW148" s="719"/>
      <c r="CX148" s="719"/>
      <c r="CY148" s="719"/>
      <c r="CZ148" s="719"/>
      <c r="DA148" s="719"/>
      <c r="DB148" s="719"/>
      <c r="DC148" s="719"/>
      <c r="DD148" s="719"/>
      <c r="DE148" s="719"/>
      <c r="DF148" s="719"/>
      <c r="DG148" s="719"/>
      <c r="DH148" s="719"/>
      <c r="DI148" s="719"/>
      <c r="DJ148" s="719"/>
      <c r="DK148" s="719"/>
      <c r="DL148" s="719"/>
      <c r="DM148" s="719"/>
      <c r="DN148" s="719"/>
      <c r="DO148" s="719"/>
      <c r="DP148" s="719"/>
      <c r="DQ148" s="719"/>
      <c r="DR148" s="719"/>
    </row>
    <row r="149" spans="1:122" s="275" customFormat="1">
      <c r="A149" s="719"/>
      <c r="B149" s="719"/>
      <c r="C149" s="719"/>
      <c r="D149" s="719"/>
      <c r="E149" s="719"/>
      <c r="F149" s="719"/>
      <c r="G149" s="719"/>
      <c r="H149" s="719"/>
      <c r="I149" s="719"/>
      <c r="J149" s="719"/>
      <c r="K149" s="719"/>
      <c r="L149" s="719"/>
      <c r="M149" s="719"/>
      <c r="N149" s="721"/>
      <c r="O149" s="721"/>
      <c r="P149" s="719"/>
      <c r="Q149" s="719"/>
      <c r="R149" s="719"/>
      <c r="S149" s="721"/>
      <c r="T149" s="721"/>
      <c r="U149" s="719"/>
      <c r="V149" s="719"/>
      <c r="W149" s="719"/>
      <c r="X149" s="721"/>
      <c r="Y149" s="721"/>
      <c r="Z149" s="719"/>
      <c r="AA149" s="719"/>
      <c r="AB149" s="719"/>
      <c r="AC149" s="721"/>
      <c r="AD149" s="721"/>
      <c r="AE149" s="719"/>
      <c r="AF149" s="719"/>
      <c r="AG149" s="719"/>
      <c r="AH149" s="721"/>
      <c r="AI149" s="721"/>
      <c r="AJ149" s="719"/>
      <c r="AK149" s="719"/>
      <c r="AL149" s="719"/>
      <c r="AM149" s="719"/>
      <c r="AN149" s="719"/>
      <c r="AO149" s="719"/>
      <c r="AP149" s="719"/>
      <c r="AQ149" s="719"/>
      <c r="AR149" s="719"/>
      <c r="AS149" s="719"/>
      <c r="AT149" s="719"/>
      <c r="AU149" s="719"/>
      <c r="AV149" s="719"/>
      <c r="AW149" s="719"/>
      <c r="AX149" s="719"/>
      <c r="AY149" s="719"/>
      <c r="AZ149" s="719"/>
      <c r="BA149" s="719"/>
      <c r="BB149" s="719"/>
      <c r="BC149" s="719"/>
      <c r="BD149" s="719"/>
      <c r="BE149" s="719"/>
      <c r="BF149" s="719"/>
      <c r="BG149" s="719"/>
      <c r="BH149" s="719"/>
      <c r="BI149" s="719"/>
      <c r="BJ149" s="719"/>
      <c r="BK149" s="719"/>
      <c r="BL149" s="719"/>
      <c r="BM149" s="719"/>
      <c r="BN149" s="719"/>
      <c r="BO149" s="719"/>
      <c r="BP149" s="719"/>
      <c r="BQ149" s="719"/>
      <c r="BR149" s="719"/>
      <c r="BS149" s="719"/>
      <c r="BT149" s="719"/>
      <c r="BU149" s="719"/>
      <c r="BV149" s="719"/>
      <c r="BW149" s="719"/>
      <c r="BX149" s="719"/>
      <c r="BY149" s="719"/>
      <c r="BZ149" s="719"/>
      <c r="CA149" s="719"/>
      <c r="CB149" s="719"/>
      <c r="CC149" s="719"/>
      <c r="CD149" s="719"/>
      <c r="CE149" s="719"/>
      <c r="CF149" s="719"/>
      <c r="CG149" s="719"/>
      <c r="CH149" s="719"/>
      <c r="CI149" s="719"/>
      <c r="CJ149" s="719"/>
      <c r="CK149" s="719"/>
      <c r="CL149" s="719"/>
      <c r="CM149" s="719"/>
      <c r="CN149" s="719"/>
      <c r="CO149" s="719"/>
      <c r="CP149" s="719"/>
      <c r="CQ149" s="719"/>
      <c r="CR149" s="719"/>
      <c r="CS149" s="719"/>
      <c r="CT149" s="719"/>
      <c r="CU149" s="719"/>
      <c r="CV149" s="719"/>
      <c r="CW149" s="719"/>
      <c r="CX149" s="719"/>
      <c r="CY149" s="719"/>
      <c r="CZ149" s="719"/>
      <c r="DA149" s="719"/>
      <c r="DB149" s="719"/>
      <c r="DC149" s="719"/>
      <c r="DD149" s="719"/>
      <c r="DE149" s="719"/>
      <c r="DF149" s="719"/>
      <c r="DG149" s="719"/>
      <c r="DH149" s="719"/>
      <c r="DI149" s="719"/>
      <c r="DJ149" s="719"/>
      <c r="DK149" s="719"/>
      <c r="DL149" s="719"/>
      <c r="DM149" s="719"/>
      <c r="DN149" s="719"/>
      <c r="DO149" s="719"/>
      <c r="DP149" s="719"/>
      <c r="DQ149" s="719"/>
      <c r="DR149" s="719"/>
    </row>
    <row r="150" spans="1:122" s="275" customFormat="1">
      <c r="A150" s="719"/>
      <c r="B150" s="719"/>
      <c r="C150" s="719"/>
      <c r="D150" s="719"/>
      <c r="E150" s="719"/>
      <c r="F150" s="719"/>
      <c r="G150" s="719"/>
      <c r="H150" s="719"/>
      <c r="I150" s="719"/>
      <c r="J150" s="719"/>
      <c r="K150" s="719"/>
      <c r="L150" s="719"/>
      <c r="M150" s="719"/>
      <c r="N150" s="721"/>
      <c r="O150" s="721"/>
      <c r="P150" s="719"/>
      <c r="Q150" s="719"/>
      <c r="R150" s="719"/>
      <c r="S150" s="721"/>
      <c r="T150" s="721"/>
      <c r="U150" s="719"/>
      <c r="V150" s="719"/>
      <c r="W150" s="719"/>
      <c r="X150" s="721"/>
      <c r="Y150" s="721"/>
      <c r="Z150" s="719"/>
      <c r="AA150" s="719"/>
      <c r="AB150" s="719"/>
      <c r="AC150" s="721"/>
      <c r="AD150" s="721"/>
      <c r="AE150" s="719"/>
      <c r="AF150" s="719"/>
      <c r="AG150" s="719"/>
      <c r="AH150" s="721"/>
      <c r="AI150" s="721"/>
      <c r="AJ150" s="719"/>
      <c r="AK150" s="719"/>
      <c r="AL150" s="719"/>
      <c r="AM150" s="719"/>
      <c r="AN150" s="719"/>
      <c r="AO150" s="719"/>
      <c r="AP150" s="719"/>
      <c r="AQ150" s="719"/>
      <c r="AR150" s="719"/>
      <c r="AS150" s="719"/>
      <c r="AT150" s="719"/>
      <c r="AU150" s="719"/>
      <c r="AV150" s="719"/>
      <c r="AW150" s="719"/>
      <c r="AX150" s="719"/>
      <c r="AY150" s="719"/>
      <c r="AZ150" s="719"/>
      <c r="BA150" s="719"/>
      <c r="BB150" s="719"/>
      <c r="BC150" s="719"/>
      <c r="BD150" s="719"/>
      <c r="BE150" s="719"/>
      <c r="BF150" s="719"/>
      <c r="BG150" s="719"/>
      <c r="BH150" s="719"/>
      <c r="BI150" s="719"/>
      <c r="BJ150" s="719"/>
      <c r="BK150" s="719"/>
      <c r="BL150" s="719"/>
      <c r="BM150" s="719"/>
      <c r="BN150" s="719"/>
      <c r="BO150" s="719"/>
      <c r="BP150" s="719"/>
      <c r="BQ150" s="719"/>
      <c r="BR150" s="719"/>
      <c r="BS150" s="719"/>
      <c r="BT150" s="719"/>
      <c r="BU150" s="719"/>
      <c r="BV150" s="719"/>
      <c r="BW150" s="719"/>
      <c r="BX150" s="719"/>
      <c r="BY150" s="719"/>
      <c r="BZ150" s="719"/>
      <c r="CA150" s="719"/>
      <c r="CB150" s="719"/>
      <c r="CC150" s="719"/>
      <c r="CD150" s="719"/>
      <c r="CE150" s="719"/>
      <c r="CF150" s="719"/>
      <c r="CG150" s="719"/>
      <c r="CH150" s="719"/>
      <c r="CI150" s="719"/>
      <c r="CJ150" s="719"/>
      <c r="CK150" s="719"/>
      <c r="CL150" s="719"/>
      <c r="CM150" s="719"/>
      <c r="CN150" s="719"/>
      <c r="CO150" s="719"/>
      <c r="CP150" s="719"/>
      <c r="CQ150" s="719"/>
      <c r="CR150" s="719"/>
      <c r="CS150" s="719"/>
      <c r="CT150" s="719"/>
      <c r="CU150" s="719"/>
      <c r="CV150" s="719"/>
      <c r="CW150" s="719"/>
      <c r="CX150" s="719"/>
      <c r="CY150" s="719"/>
      <c r="CZ150" s="719"/>
      <c r="DA150" s="719"/>
      <c r="DB150" s="719"/>
      <c r="DC150" s="719"/>
      <c r="DD150" s="719"/>
      <c r="DE150" s="719"/>
      <c r="DF150" s="719"/>
      <c r="DG150" s="719"/>
      <c r="DH150" s="719"/>
      <c r="DI150" s="719"/>
      <c r="DJ150" s="719"/>
      <c r="DK150" s="719"/>
      <c r="DL150" s="719"/>
      <c r="DM150" s="719"/>
      <c r="DN150" s="719"/>
      <c r="DO150" s="719"/>
      <c r="DP150" s="719"/>
      <c r="DQ150" s="719"/>
      <c r="DR150" s="719"/>
    </row>
    <row r="151" spans="1:122" s="275" customFormat="1">
      <c r="A151" s="719"/>
      <c r="B151" s="719"/>
      <c r="C151" s="719"/>
      <c r="D151" s="719"/>
      <c r="E151" s="719"/>
      <c r="F151" s="719"/>
      <c r="G151" s="719"/>
      <c r="H151" s="719"/>
      <c r="I151" s="719"/>
      <c r="J151" s="719"/>
      <c r="K151" s="719"/>
      <c r="L151" s="719"/>
      <c r="M151" s="719"/>
      <c r="N151" s="721"/>
      <c r="O151" s="721"/>
      <c r="P151" s="719"/>
      <c r="Q151" s="719"/>
      <c r="R151" s="719"/>
      <c r="S151" s="721"/>
      <c r="T151" s="721"/>
      <c r="U151" s="719"/>
      <c r="V151" s="719"/>
      <c r="W151" s="719"/>
      <c r="X151" s="721"/>
      <c r="Y151" s="721"/>
      <c r="Z151" s="719"/>
      <c r="AA151" s="719"/>
      <c r="AB151" s="719"/>
      <c r="AC151" s="721"/>
      <c r="AD151" s="721"/>
      <c r="AE151" s="719"/>
      <c r="AF151" s="719"/>
      <c r="AG151" s="719"/>
      <c r="AH151" s="721"/>
      <c r="AI151" s="721"/>
      <c r="AJ151" s="719"/>
      <c r="AK151" s="719"/>
      <c r="AL151" s="719"/>
      <c r="AM151" s="719"/>
      <c r="AN151" s="719"/>
      <c r="AO151" s="719"/>
      <c r="AP151" s="719"/>
      <c r="AQ151" s="719"/>
      <c r="AR151" s="719"/>
      <c r="AS151" s="719"/>
      <c r="AT151" s="719"/>
      <c r="AU151" s="719"/>
      <c r="AV151" s="719"/>
      <c r="AW151" s="719"/>
      <c r="AX151" s="719"/>
      <c r="AY151" s="719"/>
      <c r="AZ151" s="719"/>
      <c r="BA151" s="719"/>
      <c r="BB151" s="719"/>
      <c r="BC151" s="719"/>
      <c r="BD151" s="719"/>
      <c r="BE151" s="719"/>
      <c r="BF151" s="719"/>
      <c r="BG151" s="719"/>
      <c r="BH151" s="719"/>
      <c r="BI151" s="719"/>
      <c r="BJ151" s="719"/>
      <c r="BK151" s="719"/>
      <c r="BL151" s="719"/>
      <c r="BM151" s="719"/>
      <c r="BN151" s="719"/>
      <c r="BO151" s="719"/>
      <c r="BP151" s="719"/>
      <c r="BQ151" s="719"/>
      <c r="BR151" s="719"/>
      <c r="BS151" s="719"/>
      <c r="BT151" s="719"/>
      <c r="BU151" s="719"/>
      <c r="BV151" s="719"/>
      <c r="BW151" s="719"/>
      <c r="BX151" s="719"/>
      <c r="BY151" s="719"/>
      <c r="BZ151" s="719"/>
      <c r="CA151" s="719"/>
      <c r="CB151" s="719"/>
      <c r="CC151" s="719"/>
      <c r="CD151" s="719"/>
      <c r="CE151" s="719"/>
      <c r="CF151" s="719"/>
      <c r="CG151" s="719"/>
      <c r="CH151" s="719"/>
      <c r="CI151" s="719"/>
      <c r="CJ151" s="719"/>
      <c r="CK151" s="719"/>
      <c r="CL151" s="719"/>
      <c r="CM151" s="719"/>
      <c r="CN151" s="719"/>
      <c r="CO151" s="719"/>
      <c r="CP151" s="719"/>
      <c r="CQ151" s="719"/>
      <c r="CR151" s="719"/>
      <c r="CS151" s="719"/>
      <c r="CT151" s="719"/>
      <c r="CU151" s="719"/>
      <c r="CV151" s="719"/>
      <c r="CW151" s="719"/>
      <c r="CX151" s="719"/>
      <c r="CY151" s="719"/>
      <c r="CZ151" s="719"/>
      <c r="DA151" s="719"/>
      <c r="DB151" s="719"/>
      <c r="DC151" s="719"/>
      <c r="DD151" s="719"/>
      <c r="DE151" s="719"/>
      <c r="DF151" s="719"/>
      <c r="DG151" s="719"/>
      <c r="DH151" s="719"/>
      <c r="DI151" s="719"/>
      <c r="DJ151" s="719"/>
      <c r="DK151" s="719"/>
      <c r="DL151" s="719"/>
      <c r="DM151" s="719"/>
      <c r="DN151" s="719"/>
      <c r="DO151" s="719"/>
      <c r="DP151" s="719"/>
      <c r="DQ151" s="719"/>
      <c r="DR151" s="719"/>
    </row>
    <row r="152" spans="1:122" s="275" customFormat="1">
      <c r="A152" s="719"/>
      <c r="B152" s="719"/>
      <c r="C152" s="719"/>
      <c r="D152" s="719"/>
      <c r="E152" s="719"/>
      <c r="F152" s="719"/>
      <c r="G152" s="719"/>
      <c r="H152" s="719"/>
      <c r="I152" s="719"/>
      <c r="J152" s="719"/>
      <c r="K152" s="719"/>
      <c r="L152" s="719"/>
      <c r="M152" s="719"/>
      <c r="N152" s="721"/>
      <c r="O152" s="721"/>
      <c r="P152" s="719"/>
      <c r="Q152" s="719"/>
      <c r="R152" s="719"/>
      <c r="S152" s="721"/>
      <c r="T152" s="721"/>
      <c r="U152" s="719"/>
      <c r="V152" s="719"/>
      <c r="W152" s="719"/>
      <c r="X152" s="721"/>
      <c r="Y152" s="721"/>
      <c r="Z152" s="719"/>
      <c r="AA152" s="719"/>
      <c r="AB152" s="719"/>
      <c r="AC152" s="721"/>
      <c r="AD152" s="721"/>
      <c r="AE152" s="719"/>
      <c r="AF152" s="719"/>
      <c r="AG152" s="719"/>
      <c r="AH152" s="721"/>
      <c r="AI152" s="721"/>
      <c r="AJ152" s="719"/>
      <c r="AK152" s="719"/>
      <c r="AL152" s="719"/>
      <c r="AM152" s="719"/>
      <c r="AN152" s="719"/>
      <c r="AO152" s="719"/>
      <c r="AP152" s="719"/>
      <c r="AQ152" s="719"/>
      <c r="AR152" s="719"/>
      <c r="AS152" s="719"/>
      <c r="AT152" s="719"/>
      <c r="AU152" s="719"/>
      <c r="AV152" s="719"/>
      <c r="AW152" s="719"/>
      <c r="AX152" s="719"/>
      <c r="AY152" s="719"/>
      <c r="AZ152" s="719"/>
      <c r="BA152" s="719"/>
      <c r="BB152" s="719"/>
      <c r="BC152" s="719"/>
      <c r="BD152" s="719"/>
      <c r="BE152" s="719"/>
      <c r="BF152" s="719"/>
      <c r="BG152" s="719"/>
      <c r="BH152" s="719"/>
      <c r="BI152" s="719"/>
      <c r="BJ152" s="719"/>
      <c r="BK152" s="719"/>
      <c r="BL152" s="719"/>
      <c r="BM152" s="719"/>
      <c r="BN152" s="719"/>
      <c r="BO152" s="719"/>
      <c r="BP152" s="719"/>
      <c r="BQ152" s="719"/>
      <c r="BR152" s="719"/>
      <c r="BS152" s="719"/>
      <c r="BT152" s="719"/>
      <c r="BU152" s="719"/>
      <c r="BV152" s="719"/>
      <c r="BW152" s="719"/>
      <c r="BX152" s="719"/>
      <c r="BY152" s="719"/>
      <c r="BZ152" s="719"/>
      <c r="CA152" s="719"/>
      <c r="CB152" s="719"/>
      <c r="CC152" s="719"/>
      <c r="CD152" s="719"/>
      <c r="CE152" s="719"/>
      <c r="CF152" s="719"/>
      <c r="CG152" s="719"/>
      <c r="CH152" s="719"/>
      <c r="CI152" s="719"/>
      <c r="CJ152" s="719"/>
      <c r="CK152" s="719"/>
      <c r="CL152" s="719"/>
      <c r="CM152" s="719"/>
      <c r="CN152" s="719"/>
      <c r="CO152" s="719"/>
      <c r="CP152" s="719"/>
      <c r="CQ152" s="719"/>
      <c r="CR152" s="719"/>
      <c r="CS152" s="719"/>
      <c r="CT152" s="719"/>
      <c r="CU152" s="719"/>
      <c r="CV152" s="719"/>
      <c r="CW152" s="719"/>
      <c r="CX152" s="719"/>
      <c r="CY152" s="719"/>
      <c r="CZ152" s="719"/>
      <c r="DA152" s="719"/>
      <c r="DB152" s="719"/>
      <c r="DC152" s="719"/>
      <c r="DD152" s="719"/>
      <c r="DE152" s="719"/>
      <c r="DF152" s="719"/>
      <c r="DG152" s="719"/>
      <c r="DH152" s="719"/>
      <c r="DI152" s="719"/>
      <c r="DJ152" s="719"/>
      <c r="DK152" s="719"/>
      <c r="DL152" s="719"/>
      <c r="DM152" s="719"/>
      <c r="DN152" s="719"/>
      <c r="DO152" s="719"/>
      <c r="DP152" s="719"/>
      <c r="DQ152" s="719"/>
      <c r="DR152" s="719"/>
    </row>
    <row r="153" spans="1:122" s="275" customFormat="1">
      <c r="A153" s="719"/>
      <c r="B153" s="719"/>
      <c r="C153" s="719"/>
      <c r="D153" s="719"/>
      <c r="E153" s="719"/>
      <c r="F153" s="719"/>
      <c r="G153" s="719"/>
      <c r="H153" s="719"/>
      <c r="I153" s="719"/>
      <c r="J153" s="719"/>
      <c r="K153" s="719"/>
      <c r="L153" s="719"/>
      <c r="M153" s="719"/>
      <c r="N153" s="721"/>
      <c r="O153" s="721"/>
      <c r="P153" s="719"/>
      <c r="Q153" s="719"/>
      <c r="R153" s="719"/>
      <c r="S153" s="721"/>
      <c r="T153" s="721"/>
      <c r="U153" s="719"/>
      <c r="V153" s="719"/>
      <c r="W153" s="719"/>
      <c r="X153" s="721"/>
      <c r="Y153" s="721"/>
      <c r="Z153" s="719"/>
      <c r="AA153" s="719"/>
      <c r="AB153" s="719"/>
      <c r="AC153" s="721"/>
      <c r="AD153" s="721"/>
      <c r="AE153" s="719"/>
      <c r="AF153" s="719"/>
      <c r="AG153" s="719"/>
      <c r="AH153" s="721"/>
      <c r="AI153" s="721"/>
      <c r="AJ153" s="719"/>
      <c r="AK153" s="719"/>
      <c r="AL153" s="719"/>
      <c r="AM153" s="719"/>
      <c r="AN153" s="719"/>
      <c r="AO153" s="719"/>
      <c r="AP153" s="719"/>
      <c r="AQ153" s="719"/>
      <c r="AR153" s="719"/>
      <c r="AS153" s="719"/>
      <c r="AT153" s="719"/>
      <c r="AU153" s="719"/>
      <c r="AV153" s="719"/>
      <c r="AW153" s="719"/>
      <c r="AX153" s="719"/>
      <c r="AY153" s="719"/>
      <c r="AZ153" s="719"/>
      <c r="BA153" s="719"/>
      <c r="BB153" s="719"/>
      <c r="BC153" s="719"/>
      <c r="BD153" s="719"/>
      <c r="BE153" s="719"/>
      <c r="BF153" s="719"/>
      <c r="BG153" s="719"/>
      <c r="BH153" s="719"/>
      <c r="BI153" s="719"/>
      <c r="BJ153" s="719"/>
      <c r="BK153" s="719"/>
      <c r="BL153" s="719"/>
      <c r="BM153" s="719"/>
      <c r="BN153" s="719"/>
      <c r="BO153" s="719"/>
      <c r="BP153" s="719"/>
      <c r="BQ153" s="719"/>
      <c r="BR153" s="719"/>
      <c r="BS153" s="719"/>
      <c r="BT153" s="719"/>
      <c r="BU153" s="719"/>
      <c r="BV153" s="719"/>
      <c r="BW153" s="719"/>
      <c r="BX153" s="719"/>
      <c r="BY153" s="719"/>
      <c r="BZ153" s="719"/>
      <c r="CA153" s="719"/>
      <c r="CB153" s="719"/>
      <c r="CC153" s="719"/>
      <c r="CD153" s="719"/>
      <c r="CE153" s="719"/>
      <c r="CF153" s="719"/>
      <c r="CG153" s="719"/>
      <c r="CH153" s="719"/>
      <c r="CI153" s="719"/>
      <c r="CJ153" s="719"/>
      <c r="CK153" s="719"/>
      <c r="CL153" s="719"/>
      <c r="CM153" s="719"/>
      <c r="CN153" s="719"/>
      <c r="CO153" s="719"/>
      <c r="CP153" s="719"/>
      <c r="CQ153" s="719"/>
      <c r="CR153" s="719"/>
      <c r="CS153" s="719"/>
      <c r="CT153" s="719"/>
      <c r="CU153" s="719"/>
      <c r="CV153" s="719"/>
      <c r="CW153" s="719"/>
      <c r="CX153" s="719"/>
      <c r="CY153" s="719"/>
      <c r="CZ153" s="719"/>
      <c r="DA153" s="719"/>
      <c r="DB153" s="719"/>
      <c r="DC153" s="719"/>
      <c r="DD153" s="719"/>
      <c r="DE153" s="719"/>
      <c r="DF153" s="719"/>
      <c r="DG153" s="719"/>
      <c r="DH153" s="719"/>
      <c r="DI153" s="719"/>
      <c r="DJ153" s="719"/>
      <c r="DK153" s="719"/>
      <c r="DL153" s="719"/>
      <c r="DM153" s="719"/>
      <c r="DN153" s="719"/>
      <c r="DO153" s="719"/>
      <c r="DP153" s="719"/>
      <c r="DQ153" s="719"/>
      <c r="DR153" s="719"/>
    </row>
    <row r="154" spans="1:122" s="275" customFormat="1">
      <c r="A154" s="719"/>
      <c r="B154" s="719"/>
      <c r="C154" s="719"/>
      <c r="D154" s="719"/>
      <c r="E154" s="719"/>
      <c r="F154" s="719"/>
      <c r="G154" s="719"/>
      <c r="H154" s="719"/>
      <c r="I154" s="719"/>
      <c r="J154" s="719"/>
      <c r="K154" s="719"/>
      <c r="L154" s="719"/>
      <c r="M154" s="719"/>
      <c r="N154" s="721"/>
      <c r="O154" s="721"/>
      <c r="P154" s="719"/>
      <c r="Q154" s="719"/>
      <c r="R154" s="719"/>
      <c r="S154" s="721"/>
      <c r="T154" s="721"/>
      <c r="U154" s="719"/>
      <c r="V154" s="719"/>
      <c r="W154" s="719"/>
      <c r="X154" s="721"/>
      <c r="Y154" s="721"/>
      <c r="Z154" s="719"/>
      <c r="AA154" s="719"/>
      <c r="AB154" s="719"/>
      <c r="AC154" s="721"/>
      <c r="AD154" s="721"/>
      <c r="AE154" s="719"/>
      <c r="AF154" s="719"/>
      <c r="AG154" s="719"/>
      <c r="AH154" s="721"/>
      <c r="AI154" s="721"/>
      <c r="AJ154" s="719"/>
      <c r="AK154" s="719"/>
      <c r="AL154" s="719"/>
      <c r="AM154" s="719"/>
      <c r="AN154" s="719"/>
      <c r="AO154" s="719"/>
      <c r="AP154" s="719"/>
      <c r="AQ154" s="719"/>
      <c r="AR154" s="719"/>
      <c r="AS154" s="719"/>
      <c r="AT154" s="719"/>
      <c r="AU154" s="719"/>
      <c r="AV154" s="719"/>
      <c r="AW154" s="719"/>
      <c r="AX154" s="719"/>
      <c r="AY154" s="719"/>
      <c r="AZ154" s="719"/>
      <c r="BA154" s="719"/>
      <c r="BB154" s="719"/>
      <c r="BC154" s="719"/>
      <c r="BD154" s="719"/>
      <c r="BE154" s="719"/>
      <c r="BF154" s="719"/>
      <c r="BG154" s="719"/>
      <c r="BH154" s="719"/>
      <c r="BI154" s="719"/>
      <c r="BJ154" s="719"/>
      <c r="BK154" s="719"/>
      <c r="BL154" s="719"/>
      <c r="BM154" s="719"/>
      <c r="BN154" s="719"/>
      <c r="BO154" s="719"/>
      <c r="BP154" s="719"/>
      <c r="BQ154" s="719"/>
      <c r="BR154" s="719"/>
      <c r="BS154" s="719"/>
      <c r="BT154" s="719"/>
      <c r="BU154" s="719"/>
      <c r="BV154" s="719"/>
      <c r="BW154" s="719"/>
      <c r="BX154" s="719"/>
      <c r="BY154" s="719"/>
      <c r="BZ154" s="719"/>
      <c r="CA154" s="719"/>
      <c r="CB154" s="719"/>
      <c r="CC154" s="719"/>
      <c r="CD154" s="719"/>
      <c r="CE154" s="719"/>
      <c r="CF154" s="719"/>
      <c r="CG154" s="719"/>
      <c r="CH154" s="719"/>
      <c r="CI154" s="719"/>
      <c r="CJ154" s="719"/>
      <c r="CK154" s="719"/>
      <c r="CL154" s="719"/>
      <c r="CM154" s="719"/>
      <c r="CN154" s="719"/>
      <c r="CO154" s="719"/>
      <c r="CP154" s="719"/>
      <c r="CQ154" s="719"/>
      <c r="CR154" s="719"/>
      <c r="CS154" s="719"/>
      <c r="CT154" s="719"/>
      <c r="CU154" s="719"/>
      <c r="CV154" s="719"/>
      <c r="CW154" s="719"/>
      <c r="CX154" s="719"/>
      <c r="CY154" s="719"/>
      <c r="CZ154" s="719"/>
      <c r="DA154" s="719"/>
      <c r="DB154" s="719"/>
      <c r="DC154" s="719"/>
      <c r="DD154" s="719"/>
      <c r="DE154" s="719"/>
      <c r="DF154" s="719"/>
      <c r="DG154" s="719"/>
      <c r="DH154" s="719"/>
      <c r="DI154" s="719"/>
      <c r="DJ154" s="719"/>
      <c r="DK154" s="719"/>
      <c r="DL154" s="719"/>
      <c r="DM154" s="719"/>
      <c r="DN154" s="719"/>
      <c r="DO154" s="719"/>
      <c r="DP154" s="719"/>
      <c r="DQ154" s="719"/>
      <c r="DR154" s="719"/>
    </row>
    <row r="155" spans="1:122" s="275" customFormat="1">
      <c r="A155" s="719"/>
      <c r="B155" s="719"/>
      <c r="C155" s="719"/>
      <c r="D155" s="719"/>
      <c r="E155" s="719"/>
      <c r="F155" s="719"/>
      <c r="G155" s="719"/>
      <c r="H155" s="719"/>
      <c r="I155" s="719"/>
      <c r="J155" s="719"/>
      <c r="K155" s="719"/>
      <c r="L155" s="719"/>
      <c r="M155" s="719"/>
      <c r="N155" s="721"/>
      <c r="O155" s="721"/>
      <c r="P155" s="719"/>
      <c r="Q155" s="719"/>
      <c r="R155" s="719"/>
      <c r="S155" s="721"/>
      <c r="T155" s="721"/>
      <c r="U155" s="719"/>
      <c r="V155" s="719"/>
      <c r="W155" s="719"/>
      <c r="X155" s="721"/>
      <c r="Y155" s="721"/>
      <c r="Z155" s="719"/>
      <c r="AA155" s="719"/>
      <c r="AB155" s="719"/>
      <c r="AC155" s="721"/>
      <c r="AD155" s="721"/>
      <c r="AE155" s="719"/>
      <c r="AF155" s="719"/>
      <c r="AG155" s="719"/>
      <c r="AH155" s="721"/>
      <c r="AI155" s="721"/>
      <c r="AJ155" s="719"/>
      <c r="AK155" s="719"/>
      <c r="AL155" s="719"/>
      <c r="AM155" s="719"/>
      <c r="AN155" s="719"/>
      <c r="AO155" s="719"/>
      <c r="AP155" s="719"/>
      <c r="AQ155" s="719"/>
      <c r="AR155" s="719"/>
      <c r="AS155" s="719"/>
      <c r="AT155" s="719"/>
      <c r="AU155" s="719"/>
      <c r="AV155" s="719"/>
      <c r="AW155" s="719"/>
      <c r="AX155" s="719"/>
      <c r="AY155" s="719"/>
      <c r="AZ155" s="719"/>
      <c r="BA155" s="719"/>
      <c r="BB155" s="719"/>
      <c r="BC155" s="719"/>
      <c r="BD155" s="719"/>
      <c r="BE155" s="719"/>
      <c r="BF155" s="719"/>
      <c r="BG155" s="719"/>
      <c r="BH155" s="719"/>
      <c r="BI155" s="719"/>
      <c r="BJ155" s="719"/>
      <c r="BK155" s="719"/>
      <c r="BL155" s="719"/>
      <c r="BM155" s="719"/>
      <c r="BN155" s="719"/>
      <c r="BO155" s="719"/>
      <c r="BP155" s="719"/>
      <c r="BQ155" s="719"/>
      <c r="BR155" s="719"/>
      <c r="BS155" s="719"/>
      <c r="BT155" s="719"/>
      <c r="BU155" s="719"/>
      <c r="BV155" s="719"/>
      <c r="BW155" s="719"/>
      <c r="BX155" s="719"/>
      <c r="BY155" s="719"/>
      <c r="BZ155" s="719"/>
      <c r="CA155" s="719"/>
      <c r="CB155" s="719"/>
      <c r="CC155" s="719"/>
      <c r="CD155" s="719"/>
      <c r="CE155" s="719"/>
      <c r="CF155" s="719"/>
      <c r="CG155" s="719"/>
      <c r="CH155" s="719"/>
      <c r="CI155" s="719"/>
      <c r="CJ155" s="719"/>
      <c r="CK155" s="719"/>
      <c r="CL155" s="719"/>
      <c r="CM155" s="719"/>
      <c r="CN155" s="719"/>
      <c r="CO155" s="719"/>
      <c r="CP155" s="719"/>
      <c r="CQ155" s="719"/>
      <c r="CR155" s="719"/>
      <c r="CS155" s="719"/>
      <c r="CT155" s="719"/>
      <c r="CU155" s="719"/>
      <c r="CV155" s="719"/>
      <c r="CW155" s="719"/>
      <c r="CX155" s="719"/>
      <c r="CY155" s="719"/>
      <c r="CZ155" s="719"/>
      <c r="DA155" s="719"/>
      <c r="DB155" s="719"/>
      <c r="DC155" s="719"/>
      <c r="DD155" s="719"/>
      <c r="DE155" s="719"/>
      <c r="DF155" s="719"/>
      <c r="DG155" s="719"/>
      <c r="DH155" s="719"/>
      <c r="DI155" s="719"/>
      <c r="DJ155" s="719"/>
      <c r="DK155" s="719"/>
      <c r="DL155" s="719"/>
      <c r="DM155" s="719"/>
      <c r="DN155" s="719"/>
      <c r="DO155" s="719"/>
      <c r="DP155" s="719"/>
      <c r="DQ155" s="719"/>
      <c r="DR155" s="719"/>
    </row>
    <row r="156" spans="1:122" s="275" customFormat="1">
      <c r="A156" s="719"/>
      <c r="B156" s="719"/>
      <c r="C156" s="719"/>
      <c r="D156" s="719"/>
      <c r="E156" s="719"/>
      <c r="F156" s="719"/>
      <c r="G156" s="719"/>
      <c r="H156" s="719"/>
      <c r="I156" s="719"/>
      <c r="J156" s="719"/>
      <c r="K156" s="719"/>
      <c r="L156" s="719"/>
      <c r="M156" s="719"/>
      <c r="N156" s="721"/>
      <c r="O156" s="721"/>
      <c r="P156" s="719"/>
      <c r="Q156" s="719"/>
      <c r="R156" s="719"/>
      <c r="S156" s="721"/>
      <c r="T156" s="721"/>
      <c r="U156" s="719"/>
      <c r="V156" s="719"/>
      <c r="W156" s="719"/>
      <c r="X156" s="721"/>
      <c r="Y156" s="721"/>
      <c r="Z156" s="719"/>
      <c r="AA156" s="719"/>
      <c r="AB156" s="719"/>
      <c r="AC156" s="721"/>
      <c r="AD156" s="721"/>
      <c r="AE156" s="719"/>
      <c r="AF156" s="719"/>
      <c r="AG156" s="719"/>
      <c r="AH156" s="721"/>
      <c r="AI156" s="721"/>
      <c r="AJ156" s="719"/>
      <c r="AK156" s="719"/>
      <c r="AL156" s="719"/>
      <c r="AM156" s="719"/>
      <c r="AN156" s="719"/>
      <c r="AO156" s="719"/>
      <c r="AP156" s="719"/>
      <c r="AQ156" s="719"/>
      <c r="AR156" s="719"/>
      <c r="AS156" s="719"/>
      <c r="AT156" s="719"/>
      <c r="AU156" s="719"/>
      <c r="AV156" s="719"/>
      <c r="AW156" s="719"/>
      <c r="AX156" s="719"/>
      <c r="AY156" s="719"/>
      <c r="AZ156" s="719"/>
      <c r="BA156" s="719"/>
      <c r="BB156" s="719"/>
      <c r="BC156" s="719"/>
      <c r="BD156" s="719"/>
      <c r="BE156" s="719"/>
      <c r="BF156" s="719"/>
      <c r="BG156" s="719"/>
      <c r="BH156" s="719"/>
      <c r="BI156" s="719"/>
      <c r="BJ156" s="719"/>
      <c r="BK156" s="719"/>
      <c r="BL156" s="719"/>
      <c r="BM156" s="719"/>
      <c r="BN156" s="719"/>
      <c r="BO156" s="719"/>
      <c r="BP156" s="719"/>
      <c r="BQ156" s="719"/>
      <c r="BR156" s="719"/>
      <c r="BS156" s="719"/>
      <c r="BT156" s="719"/>
      <c r="BU156" s="719"/>
      <c r="BV156" s="719"/>
      <c r="BW156" s="719"/>
      <c r="BX156" s="719"/>
      <c r="BY156" s="719"/>
      <c r="BZ156" s="719"/>
      <c r="CA156" s="719"/>
      <c r="CB156" s="719"/>
      <c r="CC156" s="719"/>
      <c r="CD156" s="719"/>
      <c r="CE156" s="719"/>
      <c r="CF156" s="719"/>
      <c r="CG156" s="719"/>
      <c r="CH156" s="719"/>
      <c r="CI156" s="719"/>
      <c r="CJ156" s="719"/>
      <c r="CK156" s="719"/>
      <c r="CL156" s="719"/>
      <c r="CM156" s="719"/>
      <c r="CN156" s="719"/>
      <c r="CO156" s="719"/>
      <c r="CP156" s="719"/>
      <c r="CQ156" s="719"/>
      <c r="CR156" s="719"/>
      <c r="CS156" s="719"/>
      <c r="CT156" s="719"/>
      <c r="CU156" s="719"/>
      <c r="CV156" s="719"/>
      <c r="CW156" s="719"/>
      <c r="CX156" s="719"/>
      <c r="CY156" s="719"/>
      <c r="CZ156" s="719"/>
      <c r="DA156" s="719"/>
      <c r="DB156" s="719"/>
      <c r="DC156" s="719"/>
      <c r="DD156" s="719"/>
      <c r="DE156" s="719"/>
      <c r="DF156" s="719"/>
      <c r="DG156" s="719"/>
      <c r="DH156" s="719"/>
      <c r="DI156" s="719"/>
      <c r="DJ156" s="719"/>
      <c r="DK156" s="719"/>
      <c r="DL156" s="719"/>
      <c r="DM156" s="719"/>
      <c r="DN156" s="719"/>
      <c r="DO156" s="719"/>
      <c r="DP156" s="719"/>
      <c r="DQ156" s="719"/>
      <c r="DR156" s="719"/>
    </row>
    <row r="157" spans="1:122" s="275" customFormat="1">
      <c r="A157" s="719"/>
      <c r="B157" s="719"/>
      <c r="C157" s="719"/>
      <c r="D157" s="719"/>
      <c r="E157" s="719"/>
      <c r="F157" s="719"/>
      <c r="G157" s="719"/>
      <c r="H157" s="719"/>
      <c r="I157" s="719"/>
      <c r="J157" s="719"/>
      <c r="K157" s="719"/>
      <c r="L157" s="719"/>
      <c r="M157" s="719"/>
      <c r="N157" s="721"/>
      <c r="O157" s="721"/>
      <c r="P157" s="719"/>
      <c r="Q157" s="719"/>
      <c r="R157" s="719"/>
      <c r="S157" s="721"/>
      <c r="T157" s="721"/>
      <c r="U157" s="719"/>
      <c r="V157" s="719"/>
      <c r="W157" s="719"/>
      <c r="X157" s="721"/>
      <c r="Y157" s="721"/>
      <c r="Z157" s="719"/>
      <c r="AA157" s="719"/>
      <c r="AB157" s="719"/>
      <c r="AC157" s="721"/>
      <c r="AD157" s="721"/>
      <c r="AE157" s="719"/>
      <c r="AF157" s="719"/>
      <c r="AG157" s="719"/>
      <c r="AH157" s="721"/>
      <c r="AI157" s="721"/>
      <c r="AJ157" s="719"/>
      <c r="AK157" s="719"/>
      <c r="AL157" s="719"/>
      <c r="AM157" s="719"/>
      <c r="AN157" s="719"/>
      <c r="AO157" s="719"/>
      <c r="AP157" s="719"/>
      <c r="AQ157" s="719"/>
      <c r="AR157" s="719"/>
      <c r="AS157" s="719"/>
      <c r="AT157" s="719"/>
      <c r="AU157" s="719"/>
      <c r="AV157" s="719"/>
      <c r="AW157" s="719"/>
      <c r="AX157" s="719"/>
      <c r="AY157" s="719"/>
      <c r="AZ157" s="719"/>
      <c r="BA157" s="719"/>
      <c r="BB157" s="719"/>
      <c r="BC157" s="719"/>
      <c r="BD157" s="719"/>
      <c r="BE157" s="719"/>
      <c r="BF157" s="719"/>
      <c r="BG157" s="719"/>
      <c r="BH157" s="719"/>
      <c r="BI157" s="719"/>
      <c r="BJ157" s="719"/>
      <c r="BK157" s="719"/>
      <c r="BL157" s="719"/>
      <c r="BM157" s="719"/>
      <c r="BN157" s="719"/>
      <c r="BO157" s="719"/>
      <c r="BP157" s="719"/>
      <c r="BQ157" s="719"/>
      <c r="BR157" s="719"/>
      <c r="BS157" s="719"/>
      <c r="BT157" s="719"/>
      <c r="BU157" s="719"/>
      <c r="BV157" s="719"/>
      <c r="BW157" s="719"/>
      <c r="BX157" s="719"/>
      <c r="BY157" s="719"/>
      <c r="BZ157" s="719"/>
      <c r="CA157" s="719"/>
      <c r="CB157" s="719"/>
      <c r="CC157" s="719"/>
      <c r="CD157" s="719"/>
      <c r="CE157" s="719"/>
      <c r="CF157" s="719"/>
      <c r="CG157" s="719"/>
      <c r="CH157" s="719"/>
      <c r="CI157" s="719"/>
      <c r="CJ157" s="719"/>
      <c r="CK157" s="719"/>
      <c r="CL157" s="719"/>
      <c r="CM157" s="719"/>
      <c r="CN157" s="719"/>
      <c r="CO157" s="719"/>
      <c r="CP157" s="719"/>
      <c r="CQ157" s="719"/>
      <c r="CR157" s="719"/>
      <c r="CS157" s="719"/>
      <c r="CT157" s="719"/>
      <c r="CU157" s="719"/>
      <c r="CV157" s="719"/>
      <c r="CW157" s="719"/>
      <c r="CX157" s="719"/>
      <c r="CY157" s="719"/>
      <c r="CZ157" s="719"/>
      <c r="DA157" s="719"/>
      <c r="DB157" s="719"/>
      <c r="DC157" s="719"/>
      <c r="DD157" s="719"/>
      <c r="DE157" s="719"/>
      <c r="DF157" s="719"/>
      <c r="DG157" s="719"/>
      <c r="DH157" s="719"/>
      <c r="DI157" s="719"/>
      <c r="DJ157" s="719"/>
      <c r="DK157" s="719"/>
      <c r="DL157" s="719"/>
      <c r="DM157" s="719"/>
      <c r="DN157" s="719"/>
      <c r="DO157" s="719"/>
      <c r="DP157" s="719"/>
      <c r="DQ157" s="719"/>
      <c r="DR157" s="719"/>
    </row>
    <row r="158" spans="1:122" s="275" customFormat="1">
      <c r="A158" s="719"/>
      <c r="B158" s="719"/>
      <c r="C158" s="719"/>
      <c r="D158" s="719"/>
      <c r="E158" s="719"/>
      <c r="F158" s="719"/>
      <c r="G158" s="719"/>
      <c r="H158" s="719"/>
      <c r="I158" s="719"/>
      <c r="J158" s="719"/>
      <c r="K158" s="719"/>
      <c r="L158" s="719"/>
      <c r="M158" s="719"/>
      <c r="N158" s="721"/>
      <c r="O158" s="721"/>
      <c r="P158" s="719"/>
      <c r="Q158" s="719"/>
      <c r="R158" s="719"/>
      <c r="S158" s="721"/>
      <c r="T158" s="721"/>
      <c r="U158" s="719"/>
      <c r="V158" s="719"/>
      <c r="W158" s="719"/>
      <c r="X158" s="721"/>
      <c r="Y158" s="721"/>
      <c r="Z158" s="719"/>
      <c r="AA158" s="719"/>
      <c r="AB158" s="719"/>
      <c r="AC158" s="721"/>
      <c r="AD158" s="721"/>
      <c r="AE158" s="719"/>
      <c r="AF158" s="719"/>
      <c r="AG158" s="719"/>
      <c r="AH158" s="721"/>
      <c r="AI158" s="721"/>
      <c r="AJ158" s="719"/>
      <c r="AK158" s="719"/>
      <c r="AL158" s="719"/>
      <c r="AM158" s="719"/>
      <c r="AN158" s="719"/>
      <c r="AO158" s="719"/>
      <c r="AP158" s="719"/>
      <c r="AQ158" s="719"/>
      <c r="AR158" s="719"/>
      <c r="AS158" s="719"/>
      <c r="AT158" s="719"/>
      <c r="AU158" s="719"/>
      <c r="AV158" s="719"/>
      <c r="AW158" s="719"/>
      <c r="AX158" s="719"/>
      <c r="AY158" s="719"/>
      <c r="AZ158" s="719"/>
      <c r="BA158" s="719"/>
      <c r="BB158" s="719"/>
      <c r="BC158" s="719"/>
      <c r="BD158" s="719"/>
      <c r="BE158" s="719"/>
      <c r="BF158" s="719"/>
      <c r="BG158" s="719"/>
      <c r="BH158" s="719"/>
      <c r="BI158" s="719"/>
      <c r="BJ158" s="719"/>
      <c r="BK158" s="719"/>
      <c r="BL158" s="719"/>
      <c r="BM158" s="719"/>
      <c r="BN158" s="719"/>
      <c r="BO158" s="719"/>
      <c r="BP158" s="719"/>
      <c r="BQ158" s="719"/>
      <c r="BR158" s="719"/>
      <c r="BS158" s="719"/>
      <c r="BT158" s="719"/>
      <c r="BU158" s="719"/>
      <c r="BV158" s="719"/>
      <c r="BW158" s="719"/>
      <c r="BX158" s="719"/>
      <c r="BY158" s="719"/>
      <c r="BZ158" s="719"/>
      <c r="CA158" s="719"/>
      <c r="CB158" s="719"/>
      <c r="CC158" s="719"/>
      <c r="CD158" s="719"/>
      <c r="CE158" s="719"/>
      <c r="CF158" s="719"/>
      <c r="CG158" s="719"/>
      <c r="CH158" s="719"/>
      <c r="CI158" s="719"/>
      <c r="CJ158" s="719"/>
      <c r="CK158" s="719"/>
      <c r="CL158" s="719"/>
      <c r="CM158" s="719"/>
      <c r="CN158" s="719"/>
      <c r="CO158" s="719"/>
      <c r="CP158" s="719"/>
      <c r="CQ158" s="719"/>
      <c r="CR158" s="719"/>
      <c r="CS158" s="719"/>
      <c r="CT158" s="719"/>
      <c r="CU158" s="719"/>
      <c r="CV158" s="719"/>
      <c r="CW158" s="719"/>
      <c r="CX158" s="719"/>
      <c r="CY158" s="719"/>
      <c r="CZ158" s="719"/>
      <c r="DA158" s="719"/>
      <c r="DB158" s="719"/>
      <c r="DC158" s="719"/>
      <c r="DD158" s="719"/>
      <c r="DE158" s="719"/>
      <c r="DF158" s="719"/>
      <c r="DG158" s="719"/>
      <c r="DH158" s="719"/>
      <c r="DI158" s="719"/>
      <c r="DJ158" s="719"/>
      <c r="DK158" s="719"/>
      <c r="DL158" s="719"/>
      <c r="DM158" s="719"/>
      <c r="DN158" s="719"/>
      <c r="DO158" s="719"/>
      <c r="DP158" s="719"/>
      <c r="DQ158" s="719"/>
      <c r="DR158" s="719"/>
    </row>
    <row r="159" spans="1:122" s="275" customFormat="1">
      <c r="A159" s="719"/>
      <c r="B159" s="719"/>
      <c r="C159" s="719"/>
      <c r="D159" s="719"/>
      <c r="E159" s="719"/>
      <c r="F159" s="719"/>
      <c r="G159" s="719"/>
      <c r="H159" s="719"/>
      <c r="I159" s="719"/>
      <c r="J159" s="719"/>
      <c r="K159" s="719"/>
      <c r="L159" s="719"/>
      <c r="M159" s="719"/>
      <c r="N159" s="721"/>
      <c r="O159" s="721"/>
      <c r="P159" s="719"/>
      <c r="Q159" s="719"/>
      <c r="R159" s="719"/>
      <c r="S159" s="721"/>
      <c r="T159" s="721"/>
      <c r="U159" s="719"/>
      <c r="V159" s="719"/>
      <c r="W159" s="719"/>
      <c r="X159" s="721"/>
      <c r="Y159" s="721"/>
      <c r="Z159" s="719"/>
      <c r="AA159" s="719"/>
      <c r="AB159" s="719"/>
      <c r="AC159" s="721"/>
      <c r="AD159" s="721"/>
      <c r="AE159" s="719"/>
      <c r="AF159" s="719"/>
      <c r="AG159" s="719"/>
      <c r="AH159" s="721"/>
      <c r="AI159" s="721"/>
      <c r="AJ159" s="719"/>
      <c r="AK159" s="719"/>
      <c r="AL159" s="719"/>
      <c r="AM159" s="719"/>
      <c r="AN159" s="719"/>
      <c r="AO159" s="719"/>
      <c r="AP159" s="719"/>
      <c r="AQ159" s="719"/>
      <c r="AR159" s="719"/>
      <c r="AS159" s="719"/>
      <c r="AT159" s="719"/>
      <c r="AU159" s="719"/>
      <c r="AV159" s="719"/>
      <c r="AW159" s="719"/>
      <c r="AX159" s="719"/>
      <c r="AY159" s="719"/>
      <c r="AZ159" s="719"/>
      <c r="BA159" s="719"/>
      <c r="BB159" s="719"/>
      <c r="BC159" s="719"/>
      <c r="BD159" s="719"/>
      <c r="BE159" s="719"/>
      <c r="BF159" s="719"/>
      <c r="BG159" s="719"/>
      <c r="BH159" s="719"/>
      <c r="BI159" s="719"/>
      <c r="BJ159" s="719"/>
      <c r="BK159" s="719"/>
      <c r="BL159" s="719"/>
      <c r="BM159" s="719"/>
      <c r="BN159" s="719"/>
      <c r="BO159" s="719"/>
      <c r="BP159" s="719"/>
      <c r="BQ159" s="719"/>
      <c r="BR159" s="719"/>
      <c r="BS159" s="719"/>
      <c r="BT159" s="719"/>
      <c r="BU159" s="719"/>
      <c r="BV159" s="719"/>
      <c r="BW159" s="719"/>
      <c r="BX159" s="719"/>
      <c r="BY159" s="719"/>
      <c r="BZ159" s="719"/>
      <c r="CA159" s="719"/>
      <c r="CB159" s="719"/>
      <c r="CC159" s="719"/>
      <c r="CD159" s="719"/>
      <c r="CE159" s="719"/>
      <c r="CF159" s="719"/>
      <c r="CG159" s="719"/>
      <c r="CH159" s="719"/>
      <c r="CI159" s="719"/>
      <c r="CJ159" s="719"/>
      <c r="CK159" s="719"/>
      <c r="CL159" s="719"/>
      <c r="CM159" s="719"/>
      <c r="CN159" s="719"/>
      <c r="CO159" s="719"/>
      <c r="CP159" s="719"/>
      <c r="CQ159" s="719"/>
      <c r="CR159" s="719"/>
      <c r="CS159" s="719"/>
      <c r="CT159" s="719"/>
      <c r="CU159" s="719"/>
      <c r="CV159" s="719"/>
      <c r="CW159" s="719"/>
      <c r="CX159" s="719"/>
      <c r="CY159" s="719"/>
      <c r="CZ159" s="719"/>
      <c r="DA159" s="719"/>
      <c r="DB159" s="719"/>
      <c r="DC159" s="719"/>
      <c r="DD159" s="719"/>
      <c r="DE159" s="719"/>
      <c r="DF159" s="719"/>
      <c r="DG159" s="719"/>
      <c r="DH159" s="719"/>
      <c r="DI159" s="719"/>
      <c r="DJ159" s="719"/>
      <c r="DK159" s="719"/>
      <c r="DL159" s="719"/>
      <c r="DM159" s="719"/>
      <c r="DN159" s="719"/>
      <c r="DO159" s="719"/>
      <c r="DP159" s="719"/>
      <c r="DQ159" s="719"/>
      <c r="DR159" s="719"/>
    </row>
    <row r="160" spans="1:122" s="275" customFormat="1">
      <c r="A160" s="719"/>
      <c r="B160" s="719"/>
      <c r="C160" s="719"/>
      <c r="D160" s="719"/>
      <c r="E160" s="719"/>
      <c r="F160" s="719"/>
      <c r="G160" s="719"/>
      <c r="H160" s="719"/>
      <c r="I160" s="719"/>
      <c r="J160" s="719"/>
      <c r="K160" s="719"/>
      <c r="L160" s="719"/>
      <c r="M160" s="719"/>
      <c r="N160" s="721"/>
      <c r="O160" s="721"/>
      <c r="P160" s="719"/>
      <c r="Q160" s="719"/>
      <c r="R160" s="719"/>
      <c r="S160" s="721"/>
      <c r="T160" s="721"/>
      <c r="U160" s="719"/>
      <c r="V160" s="719"/>
      <c r="W160" s="719"/>
      <c r="X160" s="721"/>
      <c r="Y160" s="721"/>
      <c r="Z160" s="719"/>
      <c r="AA160" s="719"/>
      <c r="AB160" s="719"/>
      <c r="AC160" s="721"/>
      <c r="AD160" s="721"/>
      <c r="AE160" s="719"/>
      <c r="AF160" s="719"/>
      <c r="AG160" s="719"/>
      <c r="AH160" s="721"/>
      <c r="AI160" s="721"/>
      <c r="AJ160" s="719"/>
      <c r="AK160" s="719"/>
      <c r="AL160" s="719"/>
      <c r="AM160" s="719"/>
      <c r="AN160" s="719"/>
      <c r="AO160" s="719"/>
      <c r="AP160" s="719"/>
      <c r="AQ160" s="719"/>
      <c r="AR160" s="719"/>
      <c r="AS160" s="719"/>
      <c r="AT160" s="719"/>
      <c r="AU160" s="719"/>
      <c r="AV160" s="719"/>
      <c r="AW160" s="719"/>
      <c r="AX160" s="719"/>
      <c r="AY160" s="719"/>
      <c r="AZ160" s="719"/>
      <c r="BA160" s="719"/>
      <c r="BB160" s="719"/>
      <c r="BC160" s="719"/>
      <c r="BD160" s="719"/>
      <c r="BE160" s="719"/>
      <c r="BF160" s="719"/>
      <c r="BG160" s="719"/>
      <c r="BH160" s="719"/>
      <c r="BI160" s="719"/>
      <c r="BJ160" s="719"/>
      <c r="BK160" s="719"/>
      <c r="BL160" s="719"/>
      <c r="BM160" s="719"/>
      <c r="BN160" s="719"/>
      <c r="BO160" s="719"/>
      <c r="BP160" s="719"/>
      <c r="BQ160" s="719"/>
      <c r="BR160" s="719"/>
      <c r="BS160" s="719"/>
      <c r="BT160" s="719"/>
      <c r="BU160" s="719"/>
      <c r="BV160" s="719"/>
      <c r="BW160" s="719"/>
      <c r="BX160" s="719"/>
      <c r="BY160" s="719"/>
      <c r="BZ160" s="719"/>
      <c r="CA160" s="719"/>
      <c r="CB160" s="719"/>
      <c r="CC160" s="719"/>
      <c r="CD160" s="719"/>
      <c r="CE160" s="719"/>
      <c r="CF160" s="719"/>
      <c r="CG160" s="719"/>
      <c r="CH160" s="719"/>
      <c r="CI160" s="719"/>
      <c r="CJ160" s="719"/>
      <c r="CK160" s="719"/>
      <c r="CL160" s="719"/>
      <c r="CM160" s="719"/>
      <c r="CN160" s="719"/>
      <c r="CO160" s="719"/>
      <c r="CP160" s="719"/>
      <c r="CQ160" s="719"/>
      <c r="CR160" s="719"/>
      <c r="CS160" s="719"/>
      <c r="CT160" s="719"/>
      <c r="CU160" s="719"/>
      <c r="CV160" s="719"/>
      <c r="CW160" s="719"/>
      <c r="CX160" s="719"/>
      <c r="CY160" s="719"/>
      <c r="CZ160" s="719"/>
      <c r="DA160" s="719"/>
      <c r="DB160" s="719"/>
      <c r="DC160" s="719"/>
      <c r="DD160" s="719"/>
      <c r="DE160" s="719"/>
      <c r="DF160" s="719"/>
      <c r="DG160" s="719"/>
      <c r="DH160" s="719"/>
      <c r="DI160" s="719"/>
      <c r="DJ160" s="719"/>
      <c r="DK160" s="719"/>
      <c r="DL160" s="719"/>
      <c r="DM160" s="719"/>
      <c r="DN160" s="719"/>
      <c r="DO160" s="719"/>
      <c r="DP160" s="719"/>
      <c r="DQ160" s="719"/>
      <c r="DR160" s="719"/>
    </row>
    <row r="161" spans="1:122" s="275" customFormat="1">
      <c r="A161" s="719"/>
      <c r="B161" s="719"/>
      <c r="C161" s="719"/>
      <c r="D161" s="719"/>
      <c r="E161" s="719"/>
      <c r="F161" s="719"/>
      <c r="G161" s="719"/>
      <c r="H161" s="719"/>
      <c r="I161" s="719"/>
      <c r="J161" s="719"/>
      <c r="K161" s="719"/>
      <c r="L161" s="719"/>
      <c r="M161" s="719"/>
      <c r="N161" s="721"/>
      <c r="O161" s="721"/>
      <c r="P161" s="719"/>
      <c r="Q161" s="719"/>
      <c r="R161" s="719"/>
      <c r="S161" s="721"/>
      <c r="T161" s="721"/>
      <c r="U161" s="719"/>
      <c r="V161" s="719"/>
      <c r="W161" s="719"/>
      <c r="X161" s="721"/>
      <c r="Y161" s="721"/>
      <c r="Z161" s="719"/>
      <c r="AA161" s="719"/>
      <c r="AB161" s="719"/>
      <c r="AC161" s="721"/>
      <c r="AD161" s="721"/>
      <c r="AE161" s="719"/>
      <c r="AF161" s="719"/>
      <c r="AG161" s="719"/>
      <c r="AH161" s="721"/>
      <c r="AI161" s="721"/>
      <c r="AJ161" s="719"/>
      <c r="AK161" s="719"/>
      <c r="AL161" s="719"/>
      <c r="AM161" s="719"/>
      <c r="AN161" s="719"/>
      <c r="AO161" s="719"/>
      <c r="AP161" s="719"/>
      <c r="AQ161" s="719"/>
      <c r="AR161" s="719"/>
      <c r="AS161" s="719"/>
      <c r="AT161" s="719"/>
      <c r="AU161" s="719"/>
      <c r="AV161" s="719"/>
      <c r="AW161" s="719"/>
      <c r="AX161" s="719"/>
      <c r="AY161" s="719"/>
      <c r="AZ161" s="719"/>
      <c r="BA161" s="719"/>
      <c r="BB161" s="719"/>
      <c r="BC161" s="719"/>
      <c r="BD161" s="719"/>
      <c r="BE161" s="719"/>
      <c r="BF161" s="719"/>
      <c r="BG161" s="719"/>
      <c r="BH161" s="719"/>
      <c r="BI161" s="719"/>
      <c r="BJ161" s="719"/>
      <c r="BK161" s="719"/>
      <c r="BL161" s="719"/>
      <c r="BM161" s="719"/>
      <c r="BN161" s="719"/>
      <c r="BO161" s="719"/>
      <c r="BP161" s="719"/>
      <c r="BQ161" s="719"/>
      <c r="BR161" s="719"/>
      <c r="BS161" s="719"/>
      <c r="BT161" s="719"/>
      <c r="BU161" s="719"/>
      <c r="BV161" s="719"/>
      <c r="BW161" s="719"/>
      <c r="BX161" s="719"/>
      <c r="BY161" s="719"/>
      <c r="BZ161" s="719"/>
      <c r="CA161" s="719"/>
      <c r="CB161" s="719"/>
      <c r="CC161" s="719"/>
      <c r="CD161" s="719"/>
      <c r="CE161" s="719"/>
      <c r="CF161" s="719"/>
      <c r="CG161" s="719"/>
      <c r="CH161" s="719"/>
      <c r="CI161" s="719"/>
      <c r="CJ161" s="719"/>
      <c r="CK161" s="719"/>
      <c r="CL161" s="719"/>
      <c r="CM161" s="719"/>
      <c r="CN161" s="719"/>
      <c r="CO161" s="719"/>
      <c r="CP161" s="719"/>
      <c r="CQ161" s="719"/>
      <c r="CR161" s="719"/>
      <c r="CS161" s="719"/>
      <c r="CT161" s="719"/>
      <c r="CU161" s="719"/>
      <c r="CV161" s="719"/>
      <c r="CW161" s="719"/>
      <c r="CX161" s="719"/>
      <c r="CY161" s="719"/>
      <c r="CZ161" s="719"/>
      <c r="DA161" s="719"/>
      <c r="DB161" s="719"/>
      <c r="DC161" s="719"/>
      <c r="DD161" s="719"/>
      <c r="DE161" s="719"/>
      <c r="DF161" s="719"/>
      <c r="DG161" s="719"/>
      <c r="DH161" s="719"/>
      <c r="DI161" s="719"/>
      <c r="DJ161" s="719"/>
      <c r="DK161" s="719"/>
      <c r="DL161" s="719"/>
      <c r="DM161" s="719"/>
      <c r="DN161" s="719"/>
      <c r="DO161" s="719"/>
      <c r="DP161" s="719"/>
      <c r="DQ161" s="719"/>
      <c r="DR161" s="719"/>
    </row>
    <row r="162" spans="1:122" s="275" customFormat="1">
      <c r="A162" s="719"/>
      <c r="B162" s="719"/>
      <c r="C162" s="719"/>
      <c r="D162" s="719"/>
      <c r="E162" s="719"/>
      <c r="F162" s="719"/>
      <c r="G162" s="719"/>
      <c r="H162" s="719"/>
      <c r="I162" s="719"/>
      <c r="J162" s="719"/>
      <c r="K162" s="719"/>
      <c r="L162" s="719"/>
      <c r="M162" s="719"/>
      <c r="N162" s="721"/>
      <c r="O162" s="721"/>
      <c r="P162" s="719"/>
      <c r="Q162" s="719"/>
      <c r="R162" s="719"/>
      <c r="S162" s="721"/>
      <c r="T162" s="721"/>
      <c r="U162" s="719"/>
      <c r="V162" s="719"/>
      <c r="W162" s="719"/>
      <c r="X162" s="721"/>
      <c r="Y162" s="721"/>
      <c r="Z162" s="719"/>
      <c r="AA162" s="719"/>
      <c r="AB162" s="719"/>
      <c r="AC162" s="721"/>
      <c r="AD162" s="721"/>
      <c r="AE162" s="719"/>
      <c r="AF162" s="719"/>
      <c r="AG162" s="719"/>
      <c r="AH162" s="721"/>
      <c r="AI162" s="721"/>
      <c r="AJ162" s="719"/>
      <c r="AK162" s="719"/>
      <c r="AL162" s="719"/>
      <c r="AM162" s="719"/>
      <c r="AN162" s="719"/>
      <c r="AO162" s="719"/>
      <c r="AP162" s="719"/>
      <c r="AQ162" s="719"/>
      <c r="AR162" s="719"/>
      <c r="AS162" s="719"/>
      <c r="AT162" s="719"/>
      <c r="AU162" s="719"/>
      <c r="AV162" s="719"/>
      <c r="AW162" s="719"/>
      <c r="AX162" s="719"/>
      <c r="AY162" s="719"/>
      <c r="AZ162" s="719"/>
      <c r="BA162" s="719"/>
      <c r="BB162" s="719"/>
      <c r="BC162" s="719"/>
      <c r="BD162" s="719"/>
      <c r="BE162" s="719"/>
      <c r="BF162" s="719"/>
      <c r="BG162" s="719"/>
      <c r="BH162" s="719"/>
      <c r="BI162" s="719"/>
      <c r="BJ162" s="719"/>
      <c r="BK162" s="719"/>
      <c r="BL162" s="719"/>
      <c r="BM162" s="719"/>
      <c r="BN162" s="719"/>
      <c r="BO162" s="719"/>
      <c r="BP162" s="719"/>
      <c r="BQ162" s="719"/>
      <c r="BR162" s="719"/>
      <c r="BS162" s="719"/>
      <c r="BT162" s="719"/>
      <c r="BU162" s="719"/>
      <c r="BV162" s="719"/>
      <c r="BW162" s="719"/>
      <c r="BX162" s="719"/>
      <c r="BY162" s="719"/>
      <c r="BZ162" s="719"/>
      <c r="CA162" s="719"/>
      <c r="CB162" s="719"/>
      <c r="CC162" s="719"/>
      <c r="CD162" s="719"/>
      <c r="CE162" s="719"/>
      <c r="CF162" s="719"/>
      <c r="CG162" s="719"/>
      <c r="CH162" s="719"/>
      <c r="CI162" s="719"/>
      <c r="CJ162" s="719"/>
      <c r="CK162" s="719"/>
      <c r="CL162" s="719"/>
      <c r="CM162" s="719"/>
      <c r="CN162" s="719"/>
      <c r="CO162" s="719"/>
      <c r="CP162" s="719"/>
      <c r="CQ162" s="719"/>
      <c r="CR162" s="719"/>
      <c r="CS162" s="719"/>
      <c r="CT162" s="719"/>
      <c r="CU162" s="719"/>
      <c r="CV162" s="719"/>
      <c r="CW162" s="719"/>
      <c r="CX162" s="719"/>
      <c r="CY162" s="719"/>
      <c r="CZ162" s="719"/>
      <c r="DA162" s="719"/>
      <c r="DB162" s="719"/>
      <c r="DC162" s="719"/>
      <c r="DD162" s="719"/>
      <c r="DE162" s="719"/>
      <c r="DF162" s="719"/>
      <c r="DG162" s="719"/>
      <c r="DH162" s="719"/>
      <c r="DI162" s="719"/>
      <c r="DJ162" s="719"/>
      <c r="DK162" s="719"/>
      <c r="DL162" s="719"/>
      <c r="DM162" s="719"/>
      <c r="DN162" s="719"/>
      <c r="DO162" s="719"/>
      <c r="DP162" s="719"/>
      <c r="DQ162" s="719"/>
      <c r="DR162" s="719"/>
    </row>
    <row r="163" spans="1:122" s="275" customFormat="1">
      <c r="A163" s="719"/>
      <c r="B163" s="719"/>
      <c r="C163" s="719"/>
      <c r="D163" s="719"/>
      <c r="E163" s="719"/>
      <c r="F163" s="719"/>
      <c r="G163" s="719"/>
      <c r="H163" s="719"/>
      <c r="I163" s="719"/>
      <c r="J163" s="719"/>
      <c r="K163" s="719"/>
      <c r="L163" s="719"/>
      <c r="M163" s="719"/>
      <c r="N163" s="721"/>
      <c r="O163" s="721"/>
      <c r="P163" s="719"/>
      <c r="Q163" s="719"/>
      <c r="R163" s="719"/>
      <c r="S163" s="721"/>
      <c r="T163" s="721"/>
      <c r="U163" s="719"/>
      <c r="V163" s="719"/>
      <c r="W163" s="719"/>
      <c r="X163" s="721"/>
      <c r="Y163" s="721"/>
      <c r="Z163" s="719"/>
      <c r="AA163" s="719"/>
      <c r="AB163" s="719"/>
      <c r="AC163" s="721"/>
      <c r="AD163" s="721"/>
      <c r="AE163" s="719"/>
      <c r="AF163" s="719"/>
      <c r="AG163" s="719"/>
      <c r="AH163" s="721"/>
      <c r="AI163" s="721"/>
      <c r="AJ163" s="719"/>
      <c r="AK163" s="719"/>
      <c r="AL163" s="719"/>
      <c r="AM163" s="719"/>
      <c r="AN163" s="719"/>
      <c r="AO163" s="719"/>
      <c r="AP163" s="719"/>
      <c r="AQ163" s="719"/>
      <c r="AR163" s="719"/>
      <c r="AS163" s="719"/>
      <c r="AT163" s="719"/>
      <c r="AU163" s="719"/>
      <c r="AV163" s="719"/>
      <c r="AW163" s="719"/>
      <c r="AX163" s="719"/>
      <c r="AY163" s="719"/>
      <c r="AZ163" s="719"/>
      <c r="BA163" s="719"/>
      <c r="BB163" s="719"/>
      <c r="BC163" s="719"/>
      <c r="BD163" s="719"/>
      <c r="BE163" s="719"/>
      <c r="BF163" s="719"/>
      <c r="BG163" s="719"/>
      <c r="BH163" s="719"/>
      <c r="BI163" s="719"/>
      <c r="BJ163" s="719"/>
      <c r="BK163" s="719"/>
      <c r="BL163" s="719"/>
      <c r="BM163" s="719"/>
      <c r="BN163" s="719"/>
      <c r="BO163" s="719"/>
      <c r="BP163" s="719"/>
      <c r="BQ163" s="719"/>
      <c r="BR163" s="719"/>
      <c r="BS163" s="719"/>
      <c r="BT163" s="719"/>
      <c r="BU163" s="719"/>
      <c r="BV163" s="719"/>
      <c r="BW163" s="719"/>
      <c r="BX163" s="719"/>
      <c r="BY163" s="719"/>
      <c r="BZ163" s="719"/>
      <c r="CA163" s="719"/>
      <c r="CB163" s="719"/>
      <c r="CC163" s="719"/>
      <c r="CD163" s="719"/>
      <c r="CE163" s="719"/>
      <c r="CF163" s="719"/>
      <c r="CG163" s="719"/>
      <c r="CH163" s="719"/>
      <c r="CI163" s="719"/>
      <c r="CJ163" s="719"/>
      <c r="CK163" s="719"/>
      <c r="CL163" s="719"/>
      <c r="CM163" s="719"/>
      <c r="CN163" s="719"/>
      <c r="CO163" s="719"/>
      <c r="CP163" s="719"/>
      <c r="CQ163" s="719"/>
      <c r="CR163" s="719"/>
      <c r="CS163" s="719"/>
      <c r="CT163" s="719"/>
      <c r="CU163" s="719"/>
      <c r="CV163" s="719"/>
      <c r="CW163" s="719"/>
      <c r="CX163" s="719"/>
      <c r="CY163" s="719"/>
      <c r="CZ163" s="719"/>
      <c r="DA163" s="719"/>
      <c r="DB163" s="719"/>
      <c r="DC163" s="719"/>
      <c r="DD163" s="719"/>
      <c r="DE163" s="719"/>
      <c r="DF163" s="719"/>
      <c r="DG163" s="719"/>
      <c r="DH163" s="719"/>
      <c r="DI163" s="719"/>
      <c r="DJ163" s="719"/>
      <c r="DK163" s="719"/>
      <c r="DL163" s="719"/>
      <c r="DM163" s="719"/>
      <c r="DN163" s="719"/>
      <c r="DO163" s="719"/>
      <c r="DP163" s="719"/>
      <c r="DQ163" s="719"/>
      <c r="DR163" s="719"/>
    </row>
    <row r="164" spans="1:122" s="275" customFormat="1">
      <c r="A164" s="719"/>
      <c r="B164" s="719"/>
      <c r="C164" s="719"/>
      <c r="D164" s="719"/>
      <c r="E164" s="719"/>
      <c r="F164" s="719"/>
      <c r="G164" s="719"/>
      <c r="H164" s="719"/>
      <c r="I164" s="719"/>
      <c r="J164" s="719"/>
      <c r="K164" s="719"/>
      <c r="L164" s="719"/>
      <c r="M164" s="719"/>
      <c r="N164" s="721"/>
      <c r="O164" s="721"/>
      <c r="P164" s="719"/>
      <c r="Q164" s="719"/>
      <c r="R164" s="719"/>
      <c r="S164" s="721"/>
      <c r="T164" s="721"/>
      <c r="U164" s="719"/>
      <c r="V164" s="719"/>
      <c r="W164" s="719"/>
      <c r="X164" s="721"/>
      <c r="Y164" s="721"/>
      <c r="Z164" s="719"/>
      <c r="AA164" s="719"/>
      <c r="AB164" s="719"/>
      <c r="AC164" s="721"/>
      <c r="AD164" s="721"/>
      <c r="AE164" s="719"/>
      <c r="AF164" s="719"/>
      <c r="AG164" s="719"/>
      <c r="AH164" s="721"/>
      <c r="AI164" s="721"/>
      <c r="AJ164" s="719"/>
      <c r="AK164" s="719"/>
      <c r="AL164" s="719"/>
      <c r="AM164" s="719"/>
      <c r="AN164" s="719"/>
      <c r="AO164" s="719"/>
      <c r="AP164" s="719"/>
      <c r="AQ164" s="719"/>
      <c r="AR164" s="719"/>
      <c r="AS164" s="719"/>
      <c r="AT164" s="719"/>
      <c r="AU164" s="719"/>
      <c r="AV164" s="719"/>
      <c r="AW164" s="719"/>
      <c r="AX164" s="719"/>
      <c r="AY164" s="719"/>
      <c r="AZ164" s="719"/>
      <c r="BA164" s="719"/>
      <c r="BB164" s="719"/>
      <c r="BC164" s="719"/>
      <c r="BD164" s="719"/>
      <c r="BE164" s="719"/>
      <c r="BF164" s="719"/>
      <c r="BG164" s="719"/>
      <c r="BH164" s="719"/>
      <c r="BI164" s="719"/>
      <c r="BJ164" s="719"/>
      <c r="BK164" s="719"/>
      <c r="BL164" s="719"/>
      <c r="BM164" s="719"/>
      <c r="BN164" s="719"/>
      <c r="BO164" s="719"/>
      <c r="BP164" s="719"/>
      <c r="BQ164" s="719"/>
      <c r="BR164" s="719"/>
      <c r="BS164" s="719"/>
      <c r="BT164" s="719"/>
      <c r="BU164" s="719"/>
      <c r="BV164" s="719"/>
      <c r="BW164" s="719"/>
      <c r="BX164" s="719"/>
      <c r="BY164" s="719"/>
      <c r="BZ164" s="719"/>
      <c r="CA164" s="719"/>
      <c r="CB164" s="719"/>
      <c r="CC164" s="719"/>
      <c r="CD164" s="719"/>
      <c r="CE164" s="719"/>
      <c r="CF164" s="719"/>
      <c r="CG164" s="719"/>
      <c r="CH164" s="719"/>
      <c r="CI164" s="719"/>
      <c r="CJ164" s="719"/>
      <c r="CK164" s="719"/>
      <c r="CL164" s="719"/>
      <c r="CM164" s="719"/>
      <c r="CN164" s="719"/>
      <c r="CO164" s="719"/>
      <c r="CP164" s="719"/>
      <c r="CQ164" s="719"/>
      <c r="CR164" s="719"/>
      <c r="CS164" s="719"/>
      <c r="CT164" s="719"/>
      <c r="CU164" s="719"/>
      <c r="CV164" s="719"/>
      <c r="CW164" s="719"/>
      <c r="CX164" s="719"/>
      <c r="CY164" s="719"/>
      <c r="CZ164" s="719"/>
      <c r="DA164" s="719"/>
      <c r="DB164" s="719"/>
      <c r="DC164" s="719"/>
      <c r="DD164" s="719"/>
      <c r="DE164" s="719"/>
      <c r="DF164" s="719"/>
      <c r="DG164" s="719"/>
      <c r="DH164" s="719"/>
      <c r="DI164" s="719"/>
      <c r="DJ164" s="719"/>
      <c r="DK164" s="719"/>
      <c r="DL164" s="719"/>
      <c r="DM164" s="719"/>
      <c r="DN164" s="719"/>
      <c r="DO164" s="719"/>
      <c r="DP164" s="719"/>
      <c r="DQ164" s="719"/>
      <c r="DR164" s="719"/>
    </row>
    <row r="165" spans="1:122" s="275" customFormat="1">
      <c r="A165" s="719"/>
      <c r="B165" s="719"/>
      <c r="C165" s="719"/>
      <c r="D165" s="719"/>
      <c r="E165" s="719"/>
      <c r="F165" s="719"/>
      <c r="G165" s="719"/>
      <c r="H165" s="719"/>
      <c r="I165" s="719"/>
      <c r="J165" s="719"/>
      <c r="K165" s="719"/>
      <c r="L165" s="719"/>
      <c r="M165" s="719"/>
      <c r="N165" s="721"/>
      <c r="O165" s="721"/>
      <c r="P165" s="719"/>
      <c r="Q165" s="719"/>
      <c r="R165" s="719"/>
      <c r="S165" s="721"/>
      <c r="T165" s="721"/>
      <c r="U165" s="719"/>
      <c r="V165" s="719"/>
      <c r="W165" s="719"/>
      <c r="X165" s="721"/>
      <c r="Y165" s="721"/>
      <c r="Z165" s="719"/>
      <c r="AA165" s="719"/>
      <c r="AB165" s="719"/>
      <c r="AC165" s="721"/>
      <c r="AD165" s="721"/>
      <c r="AE165" s="719"/>
      <c r="AF165" s="719"/>
      <c r="AG165" s="719"/>
      <c r="AH165" s="721"/>
      <c r="AI165" s="721"/>
      <c r="AJ165" s="719"/>
      <c r="AK165" s="719"/>
      <c r="AL165" s="719"/>
      <c r="AM165" s="719"/>
      <c r="AN165" s="719"/>
      <c r="AO165" s="719"/>
      <c r="AP165" s="719"/>
      <c r="AQ165" s="719"/>
      <c r="AR165" s="719"/>
      <c r="AS165" s="719"/>
      <c r="AT165" s="719"/>
      <c r="AU165" s="719"/>
      <c r="AV165" s="719"/>
      <c r="AW165" s="719"/>
      <c r="AX165" s="719"/>
      <c r="AY165" s="719"/>
      <c r="AZ165" s="719"/>
      <c r="BA165" s="719"/>
      <c r="BB165" s="719"/>
      <c r="BC165" s="719"/>
      <c r="BD165" s="719"/>
      <c r="BE165" s="719"/>
      <c r="BF165" s="719"/>
      <c r="BG165" s="719"/>
      <c r="BH165" s="719"/>
      <c r="BI165" s="719"/>
      <c r="BJ165" s="719"/>
      <c r="BK165" s="719"/>
      <c r="BL165" s="719"/>
      <c r="BM165" s="719"/>
      <c r="BN165" s="719"/>
      <c r="BO165" s="719"/>
      <c r="BP165" s="719"/>
      <c r="BQ165" s="719"/>
      <c r="BR165" s="719"/>
      <c r="BS165" s="719"/>
      <c r="BT165" s="719"/>
      <c r="BU165" s="719"/>
      <c r="BV165" s="719"/>
      <c r="BW165" s="719"/>
      <c r="BX165" s="719"/>
      <c r="BY165" s="719"/>
      <c r="BZ165" s="719"/>
      <c r="CA165" s="719"/>
      <c r="CB165" s="719"/>
      <c r="CC165" s="719"/>
      <c r="CD165" s="719"/>
      <c r="CE165" s="719"/>
      <c r="CF165" s="719"/>
      <c r="CG165" s="719"/>
      <c r="CH165" s="719"/>
      <c r="CI165" s="719"/>
      <c r="CJ165" s="719"/>
      <c r="CK165" s="719"/>
      <c r="CL165" s="719"/>
      <c r="CM165" s="719"/>
      <c r="CN165" s="719"/>
      <c r="CO165" s="719"/>
      <c r="CP165" s="719"/>
      <c r="CQ165" s="719"/>
      <c r="CR165" s="719"/>
      <c r="CS165" s="719"/>
      <c r="CT165" s="719"/>
      <c r="CU165" s="719"/>
      <c r="CV165" s="719"/>
      <c r="CW165" s="719"/>
      <c r="CX165" s="719"/>
      <c r="CY165" s="719"/>
      <c r="CZ165" s="719"/>
      <c r="DA165" s="719"/>
      <c r="DB165" s="719"/>
      <c r="DC165" s="719"/>
      <c r="DD165" s="719"/>
      <c r="DE165" s="719"/>
      <c r="DF165" s="719"/>
      <c r="DG165" s="719"/>
      <c r="DH165" s="719"/>
      <c r="DI165" s="719"/>
      <c r="DJ165" s="719"/>
      <c r="DK165" s="719"/>
      <c r="DL165" s="719"/>
      <c r="DM165" s="719"/>
      <c r="DN165" s="719"/>
      <c r="DO165" s="719"/>
      <c r="DP165" s="719"/>
      <c r="DQ165" s="719"/>
      <c r="DR165" s="719"/>
    </row>
    <row r="166" spans="1:122" s="275" customFormat="1">
      <c r="A166" s="719"/>
      <c r="B166" s="719"/>
      <c r="C166" s="719"/>
      <c r="D166" s="719"/>
      <c r="E166" s="719"/>
      <c r="F166" s="719"/>
      <c r="G166" s="719"/>
      <c r="H166" s="719"/>
      <c r="I166" s="719"/>
      <c r="J166" s="719"/>
      <c r="K166" s="719"/>
      <c r="L166" s="719"/>
      <c r="M166" s="719"/>
      <c r="N166" s="721"/>
      <c r="O166" s="721"/>
      <c r="P166" s="719"/>
      <c r="Q166" s="719"/>
      <c r="R166" s="719"/>
      <c r="S166" s="721"/>
      <c r="T166" s="721"/>
      <c r="U166" s="719"/>
      <c r="V166" s="719"/>
      <c r="W166" s="719"/>
      <c r="X166" s="721"/>
      <c r="Y166" s="721"/>
      <c r="Z166" s="719"/>
      <c r="AA166" s="719"/>
      <c r="AB166" s="719"/>
      <c r="AC166" s="721"/>
      <c r="AD166" s="721"/>
      <c r="AE166" s="719"/>
      <c r="AF166" s="719"/>
      <c r="AG166" s="719"/>
      <c r="AH166" s="721"/>
      <c r="AI166" s="721"/>
      <c r="AJ166" s="719"/>
      <c r="AK166" s="719"/>
      <c r="AL166" s="719"/>
      <c r="AM166" s="719"/>
      <c r="AN166" s="719"/>
      <c r="AO166" s="719"/>
      <c r="AP166" s="719"/>
      <c r="AQ166" s="719"/>
      <c r="AR166" s="719"/>
      <c r="AS166" s="719"/>
      <c r="AT166" s="719"/>
      <c r="AU166" s="719"/>
      <c r="AV166" s="719"/>
      <c r="AW166" s="719"/>
      <c r="AX166" s="719"/>
      <c r="AY166" s="719"/>
      <c r="AZ166" s="719"/>
      <c r="BA166" s="719"/>
      <c r="BB166" s="719"/>
      <c r="BC166" s="719"/>
      <c r="BD166" s="719"/>
      <c r="BE166" s="719"/>
      <c r="BF166" s="719"/>
      <c r="BG166" s="719"/>
      <c r="BH166" s="719"/>
      <c r="BI166" s="719"/>
      <c r="BJ166" s="719"/>
      <c r="BK166" s="719"/>
      <c r="BL166" s="719"/>
      <c r="BM166" s="719"/>
      <c r="BN166" s="719"/>
      <c r="BO166" s="719"/>
      <c r="BP166" s="719"/>
      <c r="BQ166" s="719"/>
      <c r="BR166" s="719"/>
      <c r="BS166" s="719"/>
      <c r="BT166" s="719"/>
      <c r="BU166" s="719"/>
      <c r="BV166" s="719"/>
      <c r="BW166" s="719"/>
      <c r="BX166" s="719"/>
      <c r="BY166" s="719"/>
      <c r="BZ166" s="719"/>
      <c r="CA166" s="719"/>
      <c r="CB166" s="719"/>
      <c r="CC166" s="719"/>
      <c r="CD166" s="719"/>
      <c r="CE166" s="719"/>
      <c r="CF166" s="719"/>
      <c r="CG166" s="719"/>
      <c r="CH166" s="719"/>
      <c r="CI166" s="719"/>
      <c r="CJ166" s="719"/>
      <c r="CK166" s="719"/>
      <c r="CL166" s="719"/>
      <c r="CM166" s="719"/>
      <c r="CN166" s="719"/>
      <c r="CO166" s="719"/>
      <c r="CP166" s="719"/>
      <c r="CQ166" s="719"/>
      <c r="CR166" s="719"/>
      <c r="CS166" s="719"/>
      <c r="CT166" s="719"/>
      <c r="CU166" s="719"/>
      <c r="CV166" s="719"/>
      <c r="CW166" s="719"/>
      <c r="CX166" s="719"/>
      <c r="CY166" s="719"/>
      <c r="CZ166" s="719"/>
      <c r="DA166" s="719"/>
      <c r="DB166" s="719"/>
      <c r="DC166" s="719"/>
      <c r="DD166" s="719"/>
      <c r="DE166" s="719"/>
      <c r="DF166" s="719"/>
      <c r="DG166" s="719"/>
      <c r="DH166" s="719"/>
      <c r="DI166" s="719"/>
      <c r="DJ166" s="719"/>
      <c r="DK166" s="719"/>
      <c r="DL166" s="719"/>
      <c r="DM166" s="719"/>
      <c r="DN166" s="719"/>
      <c r="DO166" s="719"/>
      <c r="DP166" s="719"/>
      <c r="DQ166" s="719"/>
      <c r="DR166" s="719"/>
    </row>
    <row r="167" spans="1:122" s="275" customFormat="1">
      <c r="A167" s="719"/>
      <c r="B167" s="719"/>
      <c r="C167" s="719"/>
      <c r="D167" s="719"/>
      <c r="E167" s="719"/>
      <c r="F167" s="719"/>
      <c r="G167" s="719"/>
      <c r="H167" s="719"/>
      <c r="I167" s="719"/>
      <c r="J167" s="719"/>
      <c r="K167" s="719"/>
      <c r="L167" s="719"/>
      <c r="M167" s="719"/>
      <c r="N167" s="721"/>
      <c r="O167" s="721"/>
      <c r="P167" s="719"/>
      <c r="Q167" s="719"/>
      <c r="R167" s="719"/>
      <c r="S167" s="721"/>
      <c r="T167" s="721"/>
      <c r="U167" s="719"/>
      <c r="V167" s="719"/>
      <c r="W167" s="719"/>
      <c r="X167" s="721"/>
      <c r="Y167" s="721"/>
      <c r="Z167" s="719"/>
      <c r="AA167" s="719"/>
      <c r="AB167" s="719"/>
      <c r="AC167" s="721"/>
      <c r="AD167" s="721"/>
      <c r="AE167" s="719"/>
      <c r="AF167" s="719"/>
      <c r="AG167" s="719"/>
      <c r="AH167" s="721"/>
      <c r="AI167" s="721"/>
      <c r="AJ167" s="719"/>
      <c r="AK167" s="719"/>
      <c r="AL167" s="719"/>
      <c r="AM167" s="719"/>
      <c r="AN167" s="719"/>
      <c r="AO167" s="719"/>
      <c r="AP167" s="719"/>
      <c r="AQ167" s="719"/>
      <c r="AR167" s="719"/>
      <c r="AS167" s="719"/>
      <c r="AT167" s="719"/>
      <c r="AU167" s="719"/>
      <c r="AV167" s="719"/>
      <c r="AW167" s="719"/>
      <c r="AX167" s="719"/>
      <c r="AY167" s="719"/>
      <c r="AZ167" s="719"/>
      <c r="BA167" s="719"/>
      <c r="BB167" s="719"/>
      <c r="BC167" s="719"/>
      <c r="BD167" s="719"/>
      <c r="BE167" s="719"/>
      <c r="BF167" s="719"/>
      <c r="BG167" s="719"/>
      <c r="BH167" s="719"/>
      <c r="BI167" s="719"/>
      <c r="BJ167" s="719"/>
      <c r="BK167" s="719"/>
      <c r="BL167" s="719"/>
      <c r="BM167" s="719"/>
      <c r="BN167" s="719"/>
      <c r="BO167" s="719"/>
      <c r="BP167" s="719"/>
      <c r="BQ167" s="719"/>
      <c r="BR167" s="719"/>
      <c r="BS167" s="719"/>
      <c r="BT167" s="719"/>
      <c r="BU167" s="719"/>
      <c r="BV167" s="719"/>
      <c r="BW167" s="719"/>
      <c r="BX167" s="719"/>
      <c r="BY167" s="719"/>
      <c r="BZ167" s="719"/>
      <c r="CA167" s="719"/>
      <c r="CB167" s="719"/>
      <c r="CC167" s="719"/>
      <c r="CD167" s="719"/>
      <c r="CE167" s="719"/>
      <c r="CF167" s="719"/>
      <c r="CG167" s="719"/>
      <c r="CH167" s="719"/>
      <c r="CI167" s="719"/>
      <c r="CJ167" s="719"/>
      <c r="CK167" s="719"/>
      <c r="CL167" s="719"/>
      <c r="CM167" s="719"/>
      <c r="CN167" s="719"/>
      <c r="CO167" s="719"/>
      <c r="CP167" s="719"/>
      <c r="CQ167" s="719"/>
      <c r="CR167" s="719"/>
      <c r="CS167" s="719"/>
      <c r="CT167" s="719"/>
      <c r="CU167" s="719"/>
      <c r="CV167" s="719"/>
      <c r="CW167" s="719"/>
      <c r="CX167" s="719"/>
      <c r="CY167" s="719"/>
      <c r="CZ167" s="719"/>
      <c r="DA167" s="719"/>
      <c r="DB167" s="719"/>
      <c r="DC167" s="719"/>
      <c r="DD167" s="719"/>
      <c r="DE167" s="719"/>
      <c r="DF167" s="719"/>
      <c r="DG167" s="719"/>
      <c r="DH167" s="719"/>
      <c r="DI167" s="719"/>
      <c r="DJ167" s="719"/>
      <c r="DK167" s="719"/>
      <c r="DL167" s="719"/>
      <c r="DM167" s="719"/>
      <c r="DN167" s="719"/>
      <c r="DO167" s="719"/>
      <c r="DP167" s="719"/>
      <c r="DQ167" s="719"/>
      <c r="DR167" s="719"/>
    </row>
    <row r="168" spans="1:122" s="275" customFormat="1">
      <c r="A168" s="719"/>
      <c r="B168" s="719"/>
      <c r="C168" s="719"/>
      <c r="D168" s="719"/>
      <c r="E168" s="719"/>
      <c r="F168" s="719"/>
      <c r="G168" s="719"/>
      <c r="H168" s="719"/>
      <c r="I168" s="719"/>
      <c r="J168" s="719"/>
      <c r="K168" s="719"/>
      <c r="L168" s="719"/>
      <c r="M168" s="719"/>
      <c r="N168" s="721"/>
      <c r="O168" s="721"/>
      <c r="P168" s="719"/>
      <c r="Q168" s="719"/>
      <c r="R168" s="719"/>
      <c r="S168" s="721"/>
      <c r="T168" s="721"/>
      <c r="U168" s="719"/>
      <c r="V168" s="719"/>
      <c r="W168" s="719"/>
      <c r="X168" s="721"/>
      <c r="Y168" s="721"/>
      <c r="Z168" s="719"/>
      <c r="AA168" s="719"/>
      <c r="AB168" s="719"/>
      <c r="AC168" s="721"/>
      <c r="AD168" s="721"/>
      <c r="AE168" s="719"/>
      <c r="AF168" s="719"/>
      <c r="AG168" s="719"/>
      <c r="AH168" s="721"/>
      <c r="AI168" s="721"/>
      <c r="AJ168" s="719"/>
      <c r="AK168" s="719"/>
      <c r="AL168" s="719"/>
      <c r="AM168" s="719"/>
      <c r="AN168" s="719"/>
      <c r="AO168" s="719"/>
      <c r="AP168" s="719"/>
      <c r="AQ168" s="719"/>
      <c r="AR168" s="719"/>
      <c r="AS168" s="719"/>
      <c r="AT168" s="719"/>
      <c r="AU168" s="719"/>
      <c r="AV168" s="719"/>
      <c r="AW168" s="719"/>
      <c r="AX168" s="719"/>
      <c r="AY168" s="719"/>
      <c r="AZ168" s="719"/>
      <c r="BA168" s="719"/>
      <c r="BB168" s="719"/>
      <c r="BC168" s="719"/>
      <c r="BD168" s="719"/>
      <c r="BE168" s="719"/>
      <c r="BF168" s="719"/>
      <c r="BG168" s="719"/>
      <c r="BH168" s="719"/>
      <c r="BI168" s="719"/>
      <c r="BJ168" s="719"/>
      <c r="BK168" s="719"/>
      <c r="BL168" s="719"/>
      <c r="BM168" s="719"/>
      <c r="BN168" s="719"/>
      <c r="BO168" s="719"/>
      <c r="BP168" s="719"/>
      <c r="BQ168" s="719"/>
      <c r="BR168" s="719"/>
      <c r="BS168" s="719"/>
      <c r="BT168" s="719"/>
      <c r="BU168" s="719"/>
      <c r="BV168" s="719"/>
      <c r="BW168" s="719"/>
      <c r="BX168" s="719"/>
      <c r="BY168" s="719"/>
      <c r="BZ168" s="719"/>
      <c r="CA168" s="719"/>
      <c r="CB168" s="719"/>
      <c r="CC168" s="719"/>
      <c r="CD168" s="719"/>
      <c r="CE168" s="719"/>
      <c r="CF168" s="719"/>
      <c r="CG168" s="719"/>
      <c r="CH168" s="719"/>
      <c r="CI168" s="719"/>
      <c r="CJ168" s="719"/>
      <c r="CK168" s="719"/>
      <c r="CL168" s="719"/>
      <c r="CM168" s="719"/>
      <c r="CN168" s="719"/>
      <c r="CO168" s="719"/>
      <c r="CP168" s="719"/>
      <c r="CQ168" s="719"/>
      <c r="CR168" s="719"/>
      <c r="CS168" s="719"/>
      <c r="CT168" s="719"/>
      <c r="CU168" s="719"/>
      <c r="CV168" s="719"/>
      <c r="CW168" s="719"/>
      <c r="CX168" s="719"/>
      <c r="CY168" s="719"/>
      <c r="CZ168" s="719"/>
      <c r="DA168" s="719"/>
      <c r="DB168" s="719"/>
      <c r="DC168" s="719"/>
      <c r="DD168" s="719"/>
      <c r="DE168" s="719"/>
      <c r="DF168" s="719"/>
      <c r="DG168" s="719"/>
      <c r="DH168" s="719"/>
      <c r="DI168" s="719"/>
      <c r="DJ168" s="719"/>
      <c r="DK168" s="719"/>
      <c r="DL168" s="719"/>
      <c r="DM168" s="719"/>
      <c r="DN168" s="719"/>
      <c r="DO168" s="719"/>
      <c r="DP168" s="719"/>
      <c r="DQ168" s="719"/>
      <c r="DR168" s="719"/>
    </row>
    <row r="169" spans="1:122" s="275" customFormat="1">
      <c r="A169" s="719"/>
      <c r="B169" s="719"/>
      <c r="C169" s="719"/>
      <c r="D169" s="719"/>
      <c r="E169" s="719"/>
      <c r="F169" s="719"/>
      <c r="G169" s="719"/>
      <c r="H169" s="719"/>
      <c r="I169" s="719"/>
      <c r="J169" s="719"/>
      <c r="K169" s="719"/>
      <c r="L169" s="719"/>
      <c r="M169" s="719"/>
      <c r="N169" s="721"/>
      <c r="O169" s="721"/>
      <c r="P169" s="719"/>
      <c r="Q169" s="719"/>
      <c r="R169" s="719"/>
      <c r="S169" s="721"/>
      <c r="T169" s="721"/>
      <c r="U169" s="719"/>
      <c r="V169" s="719"/>
      <c r="W169" s="719"/>
      <c r="X169" s="721"/>
      <c r="Y169" s="721"/>
      <c r="Z169" s="719"/>
      <c r="AA169" s="719"/>
      <c r="AB169" s="719"/>
      <c r="AC169" s="721"/>
      <c r="AD169" s="721"/>
      <c r="AE169" s="719"/>
      <c r="AF169" s="719"/>
      <c r="AG169" s="719"/>
      <c r="AH169" s="721"/>
      <c r="AI169" s="721"/>
      <c r="AJ169" s="719"/>
      <c r="AK169" s="719"/>
      <c r="AL169" s="719"/>
      <c r="AM169" s="719"/>
      <c r="AN169" s="719"/>
      <c r="AO169" s="719"/>
      <c r="AP169" s="719"/>
      <c r="AQ169" s="719"/>
      <c r="AR169" s="719"/>
      <c r="AS169" s="719"/>
      <c r="AT169" s="719"/>
      <c r="AU169" s="719"/>
      <c r="AV169" s="719"/>
      <c r="AW169" s="719"/>
      <c r="AX169" s="719"/>
      <c r="AY169" s="719"/>
      <c r="AZ169" s="719"/>
      <c r="BA169" s="719"/>
      <c r="BB169" s="719"/>
      <c r="BC169" s="719"/>
      <c r="BD169" s="719"/>
      <c r="BE169" s="719"/>
      <c r="BF169" s="719"/>
      <c r="BG169" s="719"/>
      <c r="BH169" s="719"/>
      <c r="BI169" s="719"/>
      <c r="BJ169" s="719"/>
      <c r="BK169" s="719"/>
      <c r="BL169" s="719"/>
      <c r="BM169" s="719"/>
      <c r="BN169" s="719"/>
      <c r="BO169" s="719"/>
      <c r="BP169" s="719"/>
      <c r="BQ169" s="719"/>
      <c r="BR169" s="719"/>
      <c r="BS169" s="719"/>
      <c r="BT169" s="719"/>
      <c r="BU169" s="719"/>
      <c r="BV169" s="719"/>
      <c r="BW169" s="719"/>
      <c r="BX169" s="719"/>
      <c r="BY169" s="719"/>
      <c r="BZ169" s="719"/>
      <c r="CA169" s="719"/>
      <c r="CB169" s="719"/>
      <c r="CC169" s="719"/>
      <c r="CD169" s="719"/>
      <c r="CE169" s="719"/>
      <c r="CF169" s="719"/>
      <c r="CG169" s="719"/>
      <c r="CH169" s="719"/>
      <c r="CI169" s="719"/>
      <c r="CJ169" s="719"/>
      <c r="CK169" s="719"/>
      <c r="CL169" s="719"/>
      <c r="CM169" s="719"/>
      <c r="CN169" s="719"/>
      <c r="CO169" s="719"/>
      <c r="CP169" s="719"/>
      <c r="CQ169" s="719"/>
      <c r="CR169" s="719"/>
      <c r="CS169" s="719"/>
      <c r="CT169" s="719"/>
      <c r="CU169" s="719"/>
      <c r="CV169" s="719"/>
      <c r="CW169" s="719"/>
      <c r="CX169" s="719"/>
      <c r="CY169" s="719"/>
      <c r="CZ169" s="719"/>
      <c r="DA169" s="719"/>
      <c r="DB169" s="719"/>
      <c r="DC169" s="719"/>
      <c r="DD169" s="719"/>
      <c r="DE169" s="719"/>
      <c r="DF169" s="719"/>
      <c r="DG169" s="719"/>
      <c r="DH169" s="719"/>
      <c r="DI169" s="719"/>
      <c r="DJ169" s="719"/>
      <c r="DK169" s="719"/>
      <c r="DL169" s="719"/>
      <c r="DM169" s="719"/>
      <c r="DN169" s="719"/>
      <c r="DO169" s="719"/>
      <c r="DP169" s="719"/>
      <c r="DQ169" s="719"/>
      <c r="DR169" s="719"/>
    </row>
    <row r="170" spans="1:122" s="275" customFormat="1">
      <c r="A170" s="719"/>
      <c r="B170" s="719"/>
      <c r="C170" s="719"/>
      <c r="D170" s="719"/>
      <c r="E170" s="719"/>
      <c r="F170" s="719"/>
      <c r="G170" s="719"/>
      <c r="H170" s="719"/>
      <c r="I170" s="719"/>
      <c r="J170" s="719"/>
      <c r="K170" s="719"/>
      <c r="L170" s="719"/>
      <c r="M170" s="719"/>
      <c r="N170" s="721"/>
      <c r="O170" s="721"/>
      <c r="P170" s="719"/>
      <c r="Q170" s="719"/>
      <c r="R170" s="719"/>
      <c r="S170" s="721"/>
      <c r="T170" s="721"/>
      <c r="U170" s="719"/>
      <c r="V170" s="719"/>
      <c r="W170" s="719"/>
      <c r="X170" s="721"/>
      <c r="Y170" s="721"/>
      <c r="Z170" s="719"/>
      <c r="AA170" s="719"/>
      <c r="AB170" s="719"/>
      <c r="AC170" s="721"/>
      <c r="AD170" s="721"/>
      <c r="AE170" s="719"/>
      <c r="AF170" s="719"/>
      <c r="AG170" s="719"/>
      <c r="AH170" s="721"/>
      <c r="AI170" s="721"/>
      <c r="AJ170" s="719"/>
      <c r="AK170" s="719"/>
      <c r="AL170" s="719"/>
      <c r="AM170" s="719"/>
      <c r="AN170" s="719"/>
      <c r="AO170" s="719"/>
      <c r="AP170" s="719"/>
      <c r="AQ170" s="719"/>
      <c r="AR170" s="719"/>
      <c r="AS170" s="719"/>
      <c r="AT170" s="719"/>
      <c r="AU170" s="719"/>
      <c r="AV170" s="719"/>
      <c r="AW170" s="719"/>
      <c r="AX170" s="719"/>
      <c r="AY170" s="719"/>
      <c r="AZ170" s="719"/>
      <c r="BA170" s="719"/>
      <c r="BB170" s="719"/>
      <c r="BC170" s="719"/>
      <c r="BD170" s="719"/>
      <c r="BE170" s="719"/>
      <c r="BF170" s="719"/>
      <c r="BG170" s="719"/>
      <c r="BH170" s="719"/>
      <c r="BI170" s="719"/>
      <c r="BJ170" s="719"/>
      <c r="BK170" s="719"/>
      <c r="BL170" s="719"/>
      <c r="BM170" s="719"/>
      <c r="BN170" s="719"/>
      <c r="BO170" s="719"/>
      <c r="BP170" s="719"/>
      <c r="BQ170" s="719"/>
      <c r="BR170" s="719"/>
      <c r="BS170" s="719"/>
      <c r="BT170" s="719"/>
      <c r="BU170" s="719"/>
      <c r="BV170" s="719"/>
      <c r="BW170" s="719"/>
      <c r="BX170" s="719"/>
      <c r="BY170" s="719"/>
      <c r="BZ170" s="719"/>
      <c r="CA170" s="719"/>
      <c r="CB170" s="719"/>
      <c r="CC170" s="719"/>
      <c r="CD170" s="719"/>
      <c r="CE170" s="719"/>
      <c r="CF170" s="719"/>
      <c r="CG170" s="719"/>
      <c r="CH170" s="719"/>
      <c r="CI170" s="719"/>
      <c r="CJ170" s="719"/>
      <c r="CK170" s="719"/>
      <c r="CL170" s="719"/>
      <c r="CM170" s="719"/>
      <c r="CN170" s="719"/>
      <c r="CO170" s="719"/>
      <c r="CP170" s="719"/>
      <c r="CQ170" s="719"/>
      <c r="CR170" s="719"/>
      <c r="CS170" s="719"/>
      <c r="CT170" s="719"/>
      <c r="CU170" s="719"/>
      <c r="CV170" s="719"/>
      <c r="CW170" s="719"/>
      <c r="CX170" s="719"/>
      <c r="CY170" s="719"/>
      <c r="CZ170" s="719"/>
      <c r="DA170" s="719"/>
      <c r="DB170" s="719"/>
      <c r="DC170" s="719"/>
      <c r="DD170" s="719"/>
      <c r="DE170" s="719"/>
      <c r="DF170" s="719"/>
      <c r="DG170" s="719"/>
      <c r="DH170" s="719"/>
      <c r="DI170" s="719"/>
      <c r="DJ170" s="719"/>
      <c r="DK170" s="719"/>
      <c r="DL170" s="719"/>
      <c r="DM170" s="719"/>
      <c r="DN170" s="719"/>
      <c r="DO170" s="719"/>
      <c r="DP170" s="719"/>
      <c r="DQ170" s="719"/>
      <c r="DR170" s="719"/>
    </row>
    <row r="171" spans="1:122" s="275" customFormat="1">
      <c r="A171" s="719"/>
      <c r="B171" s="719"/>
      <c r="C171" s="719"/>
      <c r="D171" s="719"/>
      <c r="E171" s="719"/>
      <c r="F171" s="719"/>
      <c r="G171" s="719"/>
      <c r="H171" s="719"/>
      <c r="I171" s="719"/>
      <c r="J171" s="719"/>
      <c r="K171" s="719"/>
      <c r="L171" s="719"/>
      <c r="M171" s="719"/>
      <c r="N171" s="721"/>
      <c r="O171" s="721"/>
      <c r="P171" s="719"/>
      <c r="Q171" s="719"/>
      <c r="R171" s="719"/>
      <c r="S171" s="721"/>
      <c r="T171" s="721"/>
      <c r="U171" s="719"/>
      <c r="V171" s="719"/>
      <c r="W171" s="719"/>
      <c r="X171" s="721"/>
      <c r="Y171" s="721"/>
      <c r="Z171" s="719"/>
      <c r="AA171" s="719"/>
      <c r="AB171" s="719"/>
      <c r="AC171" s="721"/>
      <c r="AD171" s="721"/>
      <c r="AE171" s="719"/>
      <c r="AF171" s="719"/>
      <c r="AG171" s="719"/>
      <c r="AH171" s="721"/>
      <c r="AI171" s="721"/>
      <c r="AJ171" s="719"/>
      <c r="AK171" s="719"/>
      <c r="AL171" s="719"/>
      <c r="AM171" s="719"/>
      <c r="AN171" s="719"/>
      <c r="AO171" s="719"/>
      <c r="AP171" s="719"/>
      <c r="AQ171" s="719"/>
      <c r="AR171" s="719"/>
      <c r="AS171" s="719"/>
      <c r="AT171" s="719"/>
      <c r="AU171" s="719"/>
      <c r="AV171" s="719"/>
      <c r="AW171" s="719"/>
      <c r="AX171" s="719"/>
      <c r="AY171" s="719"/>
      <c r="AZ171" s="719"/>
      <c r="BA171" s="719"/>
      <c r="BB171" s="719"/>
      <c r="BC171" s="719"/>
      <c r="BD171" s="719"/>
      <c r="BE171" s="719"/>
      <c r="BF171" s="719"/>
      <c r="BG171" s="719"/>
      <c r="BH171" s="719"/>
      <c r="BI171" s="719"/>
      <c r="BJ171" s="719"/>
      <c r="BK171" s="719"/>
      <c r="BL171" s="719"/>
      <c r="BM171" s="719"/>
      <c r="BN171" s="719"/>
      <c r="BO171" s="719"/>
      <c r="BP171" s="719"/>
      <c r="BQ171" s="719"/>
      <c r="BR171" s="719"/>
      <c r="BS171" s="719"/>
      <c r="BT171" s="719"/>
      <c r="BU171" s="719"/>
      <c r="BV171" s="719"/>
      <c r="BW171" s="719"/>
      <c r="BX171" s="719"/>
      <c r="BY171" s="719"/>
      <c r="BZ171" s="719"/>
      <c r="CA171" s="719"/>
      <c r="CB171" s="719"/>
      <c r="CC171" s="719"/>
      <c r="CD171" s="719"/>
      <c r="CE171" s="719"/>
      <c r="CF171" s="719"/>
      <c r="CG171" s="719"/>
      <c r="CH171" s="719"/>
      <c r="CI171" s="719"/>
      <c r="CJ171" s="719"/>
      <c r="CK171" s="719"/>
      <c r="CL171" s="719"/>
      <c r="CM171" s="719"/>
      <c r="CN171" s="719"/>
      <c r="CO171" s="719"/>
      <c r="CP171" s="719"/>
      <c r="CQ171" s="719"/>
      <c r="CR171" s="719"/>
      <c r="CS171" s="719"/>
      <c r="CT171" s="719"/>
      <c r="CU171" s="719"/>
      <c r="CV171" s="719"/>
      <c r="CW171" s="719"/>
      <c r="CX171" s="719"/>
      <c r="CY171" s="719"/>
      <c r="CZ171" s="719"/>
      <c r="DA171" s="719"/>
      <c r="DB171" s="719"/>
      <c r="DC171" s="719"/>
      <c r="DD171" s="719"/>
      <c r="DE171" s="719"/>
      <c r="DF171" s="719"/>
      <c r="DG171" s="719"/>
      <c r="DH171" s="719"/>
      <c r="DI171" s="719"/>
      <c r="DJ171" s="719"/>
      <c r="DK171" s="719"/>
      <c r="DL171" s="719"/>
      <c r="DM171" s="719"/>
      <c r="DN171" s="719"/>
      <c r="DO171" s="719"/>
      <c r="DP171" s="719"/>
      <c r="DQ171" s="719"/>
      <c r="DR171" s="719"/>
    </row>
    <row r="172" spans="1:122" s="275" customFormat="1">
      <c r="A172" s="719"/>
      <c r="B172" s="719"/>
      <c r="C172" s="719"/>
      <c r="D172" s="719"/>
      <c r="E172" s="719"/>
      <c r="F172" s="719"/>
      <c r="G172" s="719"/>
      <c r="H172" s="719"/>
      <c r="I172" s="719"/>
      <c r="J172" s="719"/>
      <c r="K172" s="719"/>
      <c r="L172" s="719"/>
      <c r="M172" s="719"/>
      <c r="N172" s="721"/>
      <c r="O172" s="721"/>
      <c r="P172" s="719"/>
      <c r="Q172" s="719"/>
      <c r="R172" s="719"/>
      <c r="S172" s="721"/>
      <c r="T172" s="721"/>
      <c r="U172" s="719"/>
      <c r="V172" s="719"/>
      <c r="W172" s="719"/>
      <c r="X172" s="721"/>
      <c r="Y172" s="721"/>
      <c r="Z172" s="719"/>
      <c r="AA172" s="719"/>
      <c r="AB172" s="719"/>
      <c r="AC172" s="721"/>
      <c r="AD172" s="721"/>
      <c r="AE172" s="719"/>
      <c r="AF172" s="719"/>
      <c r="AG172" s="719"/>
      <c r="AH172" s="721"/>
      <c r="AI172" s="721"/>
      <c r="AJ172" s="719"/>
      <c r="AK172" s="719"/>
      <c r="AL172" s="719"/>
      <c r="AM172" s="719"/>
      <c r="AN172" s="719"/>
      <c r="AO172" s="719"/>
      <c r="AP172" s="719"/>
      <c r="AQ172" s="719"/>
      <c r="AR172" s="719"/>
      <c r="AS172" s="719"/>
      <c r="AT172" s="719"/>
      <c r="AU172" s="719"/>
      <c r="AV172" s="719"/>
      <c r="AW172" s="719"/>
      <c r="AX172" s="719"/>
      <c r="AY172" s="719"/>
      <c r="AZ172" s="719"/>
      <c r="BA172" s="719"/>
      <c r="BB172" s="719"/>
      <c r="BC172" s="719"/>
      <c r="BD172" s="719"/>
      <c r="BE172" s="719"/>
      <c r="BF172" s="719"/>
      <c r="BG172" s="719"/>
      <c r="BH172" s="719"/>
      <c r="BI172" s="719"/>
      <c r="BJ172" s="719"/>
      <c r="BK172" s="719"/>
      <c r="BL172" s="719"/>
      <c r="BM172" s="719"/>
      <c r="BN172" s="719"/>
      <c r="BO172" s="719"/>
      <c r="BP172" s="719"/>
      <c r="BQ172" s="719"/>
      <c r="BR172" s="719"/>
      <c r="BS172" s="719"/>
      <c r="BT172" s="719"/>
      <c r="BU172" s="719"/>
      <c r="BV172" s="719"/>
      <c r="BW172" s="719"/>
      <c r="BX172" s="719"/>
      <c r="BY172" s="719"/>
      <c r="BZ172" s="719"/>
      <c r="CA172" s="719"/>
      <c r="CB172" s="719"/>
      <c r="CC172" s="719"/>
      <c r="CD172" s="719"/>
      <c r="CE172" s="719"/>
      <c r="CF172" s="719"/>
      <c r="CG172" s="719"/>
      <c r="CH172" s="719"/>
      <c r="CI172" s="719"/>
      <c r="CJ172" s="719"/>
      <c r="CK172" s="719"/>
      <c r="CL172" s="719"/>
      <c r="CM172" s="719"/>
      <c r="CN172" s="719"/>
      <c r="CO172" s="719"/>
      <c r="CP172" s="719"/>
      <c r="CQ172" s="719"/>
      <c r="CR172" s="719"/>
      <c r="CS172" s="719"/>
      <c r="CT172" s="719"/>
      <c r="CU172" s="719"/>
      <c r="CV172" s="719"/>
      <c r="CW172" s="719"/>
      <c r="CX172" s="719"/>
      <c r="CY172" s="719"/>
      <c r="CZ172" s="719"/>
      <c r="DA172" s="719"/>
      <c r="DB172" s="719"/>
      <c r="DC172" s="719"/>
      <c r="DD172" s="719"/>
      <c r="DE172" s="719"/>
      <c r="DF172" s="719"/>
      <c r="DG172" s="719"/>
      <c r="DH172" s="719"/>
      <c r="DI172" s="719"/>
      <c r="DJ172" s="719"/>
      <c r="DK172" s="719"/>
      <c r="DL172" s="719"/>
      <c r="DM172" s="719"/>
      <c r="DN172" s="719"/>
      <c r="DO172" s="719"/>
      <c r="DP172" s="719"/>
      <c r="DQ172" s="719"/>
      <c r="DR172" s="719"/>
    </row>
    <row r="173" spans="1:122" s="275" customFormat="1">
      <c r="A173" s="719"/>
      <c r="B173" s="719"/>
      <c r="C173" s="719"/>
      <c r="D173" s="719"/>
      <c r="E173" s="719"/>
      <c r="F173" s="719"/>
      <c r="G173" s="719"/>
      <c r="H173" s="719"/>
      <c r="I173" s="719"/>
      <c r="J173" s="719"/>
      <c r="K173" s="719"/>
      <c r="L173" s="719"/>
      <c r="M173" s="719"/>
      <c r="N173" s="721"/>
      <c r="O173" s="721"/>
      <c r="P173" s="719"/>
      <c r="Q173" s="719"/>
      <c r="R173" s="719"/>
      <c r="S173" s="721"/>
      <c r="T173" s="721"/>
      <c r="U173" s="719"/>
      <c r="V173" s="719"/>
      <c r="W173" s="719"/>
      <c r="X173" s="721"/>
      <c r="Y173" s="721"/>
      <c r="Z173" s="719"/>
      <c r="AA173" s="719"/>
      <c r="AB173" s="719"/>
      <c r="AC173" s="721"/>
      <c r="AD173" s="721"/>
      <c r="AE173" s="719"/>
      <c r="AF173" s="719"/>
      <c r="AG173" s="719"/>
      <c r="AH173" s="721"/>
      <c r="AI173" s="721"/>
      <c r="AJ173" s="719"/>
      <c r="AK173" s="719"/>
      <c r="AL173" s="719"/>
      <c r="AM173" s="719"/>
      <c r="AN173" s="719"/>
      <c r="AO173" s="719"/>
      <c r="AP173" s="719"/>
      <c r="AQ173" s="719"/>
      <c r="AR173" s="719"/>
      <c r="AS173" s="719"/>
      <c r="AT173" s="719"/>
      <c r="AU173" s="719"/>
      <c r="AV173" s="719"/>
      <c r="AW173" s="719"/>
      <c r="AX173" s="719"/>
      <c r="AY173" s="719"/>
      <c r="AZ173" s="719"/>
      <c r="BA173" s="719"/>
      <c r="BB173" s="719"/>
      <c r="BC173" s="719"/>
      <c r="BD173" s="719"/>
      <c r="BE173" s="719"/>
      <c r="BF173" s="719"/>
      <c r="BG173" s="719"/>
      <c r="BH173" s="719"/>
      <c r="BI173" s="719"/>
      <c r="BJ173" s="719"/>
      <c r="BK173" s="719"/>
      <c r="BL173" s="719"/>
      <c r="BM173" s="719"/>
      <c r="BN173" s="719"/>
      <c r="BO173" s="719"/>
      <c r="BP173" s="719"/>
      <c r="BQ173" s="719"/>
      <c r="BR173" s="719"/>
      <c r="BS173" s="719"/>
      <c r="BT173" s="719"/>
      <c r="BU173" s="719"/>
      <c r="BV173" s="719"/>
      <c r="BW173" s="719"/>
      <c r="BX173" s="719"/>
      <c r="BY173" s="719"/>
      <c r="BZ173" s="719"/>
      <c r="CA173" s="719"/>
      <c r="CB173" s="719"/>
      <c r="CC173" s="719"/>
      <c r="CD173" s="719"/>
      <c r="CE173" s="719"/>
      <c r="CF173" s="719"/>
      <c r="CG173" s="719"/>
      <c r="CH173" s="719"/>
      <c r="CI173" s="719"/>
      <c r="CJ173" s="719"/>
      <c r="CK173" s="719"/>
      <c r="CL173" s="719"/>
      <c r="CM173" s="719"/>
      <c r="CN173" s="719"/>
      <c r="CO173" s="719"/>
      <c r="CP173" s="719"/>
      <c r="CQ173" s="719"/>
      <c r="CR173" s="719"/>
      <c r="CS173" s="719"/>
      <c r="CT173" s="719"/>
      <c r="CU173" s="719"/>
      <c r="CV173" s="719"/>
      <c r="CW173" s="719"/>
      <c r="CX173" s="719"/>
      <c r="CY173" s="719"/>
      <c r="CZ173" s="719"/>
      <c r="DA173" s="719"/>
      <c r="DB173" s="719"/>
      <c r="DC173" s="719"/>
      <c r="DD173" s="719"/>
      <c r="DE173" s="719"/>
      <c r="DF173" s="719"/>
      <c r="DG173" s="719"/>
      <c r="DH173" s="719"/>
      <c r="DI173" s="719"/>
      <c r="DJ173" s="719"/>
      <c r="DK173" s="719"/>
      <c r="DL173" s="719"/>
      <c r="DM173" s="719"/>
      <c r="DN173" s="719"/>
      <c r="DO173" s="719"/>
      <c r="DP173" s="719"/>
      <c r="DQ173" s="719"/>
      <c r="DR173" s="719"/>
    </row>
    <row r="174" spans="1:122" s="275" customFormat="1">
      <c r="A174" s="719"/>
      <c r="B174" s="719"/>
      <c r="C174" s="719"/>
      <c r="D174" s="719"/>
      <c r="E174" s="719"/>
      <c r="F174" s="719"/>
      <c r="G174" s="719"/>
      <c r="H174" s="719"/>
      <c r="I174" s="719"/>
      <c r="J174" s="719"/>
      <c r="K174" s="719"/>
      <c r="L174" s="719"/>
      <c r="M174" s="719"/>
      <c r="N174" s="721"/>
      <c r="O174" s="721"/>
      <c r="P174" s="719"/>
      <c r="Q174" s="719"/>
      <c r="R174" s="719"/>
      <c r="S174" s="721"/>
      <c r="T174" s="721"/>
      <c r="U174" s="719"/>
      <c r="V174" s="719"/>
      <c r="W174" s="719"/>
      <c r="X174" s="721"/>
      <c r="Y174" s="721"/>
      <c r="Z174" s="719"/>
      <c r="AA174" s="719"/>
      <c r="AB174" s="719"/>
      <c r="AC174" s="721"/>
      <c r="AD174" s="721"/>
      <c r="AE174" s="719"/>
      <c r="AF174" s="719"/>
      <c r="AG174" s="719"/>
      <c r="AH174" s="721"/>
      <c r="AI174" s="721"/>
      <c r="AJ174" s="719"/>
      <c r="AK174" s="719"/>
      <c r="AL174" s="719"/>
      <c r="AM174" s="719"/>
      <c r="AN174" s="719"/>
      <c r="AO174" s="719"/>
      <c r="AP174" s="719"/>
      <c r="AQ174" s="719"/>
      <c r="AR174" s="719"/>
      <c r="AS174" s="719"/>
      <c r="AT174" s="719"/>
      <c r="AU174" s="719"/>
      <c r="AV174" s="719"/>
      <c r="AW174" s="719"/>
      <c r="AX174" s="719"/>
      <c r="AY174" s="719"/>
      <c r="AZ174" s="719"/>
      <c r="BA174" s="719"/>
      <c r="BB174" s="719"/>
      <c r="BC174" s="719"/>
      <c r="BD174" s="719"/>
      <c r="BE174" s="719"/>
      <c r="BF174" s="719"/>
      <c r="BG174" s="719"/>
      <c r="BH174" s="719"/>
      <c r="BI174" s="719"/>
      <c r="BJ174" s="719"/>
      <c r="BK174" s="719"/>
      <c r="BL174" s="719"/>
      <c r="BM174" s="719"/>
      <c r="BN174" s="719"/>
      <c r="BO174" s="719"/>
      <c r="BP174" s="719"/>
      <c r="BQ174" s="719"/>
      <c r="BR174" s="719"/>
      <c r="BS174" s="719"/>
      <c r="BT174" s="719"/>
      <c r="BU174" s="719"/>
      <c r="BV174" s="719"/>
      <c r="BW174" s="719"/>
      <c r="BX174" s="719"/>
      <c r="BY174" s="719"/>
      <c r="BZ174" s="719"/>
      <c r="CA174" s="719"/>
      <c r="CB174" s="719"/>
      <c r="CC174" s="719"/>
      <c r="CD174" s="719"/>
      <c r="CE174" s="719"/>
      <c r="CF174" s="719"/>
      <c r="CG174" s="719"/>
      <c r="CH174" s="719"/>
      <c r="CI174" s="719"/>
      <c r="CJ174" s="719"/>
      <c r="CK174" s="719"/>
      <c r="CL174" s="719"/>
      <c r="CM174" s="719"/>
      <c r="CN174" s="719"/>
      <c r="CO174" s="719"/>
      <c r="CP174" s="719"/>
      <c r="CQ174" s="719"/>
      <c r="CR174" s="719"/>
      <c r="CS174" s="719"/>
      <c r="CT174" s="719"/>
      <c r="CU174" s="719"/>
      <c r="CV174" s="719"/>
      <c r="CW174" s="719"/>
      <c r="CX174" s="719"/>
      <c r="CY174" s="719"/>
      <c r="CZ174" s="719"/>
      <c r="DA174" s="719"/>
      <c r="DB174" s="719"/>
      <c r="DC174" s="719"/>
      <c r="DD174" s="719"/>
      <c r="DE174" s="719"/>
      <c r="DF174" s="719"/>
      <c r="DG174" s="719"/>
      <c r="DH174" s="719"/>
      <c r="DI174" s="719"/>
      <c r="DJ174" s="719"/>
      <c r="DK174" s="719"/>
      <c r="DL174" s="719"/>
      <c r="DM174" s="719"/>
      <c r="DN174" s="719"/>
      <c r="DO174" s="719"/>
      <c r="DP174" s="719"/>
      <c r="DQ174" s="719"/>
      <c r="DR174" s="719"/>
    </row>
    <row r="175" spans="1:122" s="275" customFormat="1">
      <c r="A175" s="719"/>
      <c r="B175" s="719"/>
      <c r="C175" s="719"/>
      <c r="D175" s="719"/>
      <c r="E175" s="719"/>
      <c r="F175" s="719"/>
      <c r="G175" s="719"/>
      <c r="H175" s="719"/>
      <c r="I175" s="719"/>
      <c r="J175" s="719"/>
      <c r="K175" s="719"/>
      <c r="L175" s="719"/>
      <c r="M175" s="719"/>
      <c r="N175" s="721"/>
      <c r="O175" s="721"/>
      <c r="P175" s="719"/>
      <c r="Q175" s="719"/>
      <c r="R175" s="719"/>
      <c r="S175" s="721"/>
      <c r="T175" s="721"/>
      <c r="U175" s="719"/>
      <c r="V175" s="719"/>
      <c r="W175" s="719"/>
      <c r="X175" s="721"/>
      <c r="Y175" s="721"/>
      <c r="Z175" s="719"/>
      <c r="AA175" s="719"/>
      <c r="AB175" s="719"/>
      <c r="AC175" s="721"/>
      <c r="AD175" s="721"/>
      <c r="AE175" s="719"/>
      <c r="AF175" s="719"/>
      <c r="AG175" s="719"/>
      <c r="AH175" s="721"/>
      <c r="AI175" s="721"/>
      <c r="AJ175" s="719"/>
      <c r="AK175" s="719"/>
      <c r="AL175" s="719"/>
      <c r="AM175" s="719"/>
      <c r="AN175" s="719"/>
      <c r="AO175" s="719"/>
      <c r="AP175" s="719"/>
      <c r="AQ175" s="719"/>
      <c r="AR175" s="719"/>
      <c r="AS175" s="719"/>
      <c r="AT175" s="719"/>
      <c r="AU175" s="719"/>
      <c r="AV175" s="719"/>
      <c r="AW175" s="719"/>
      <c r="AX175" s="719"/>
      <c r="AY175" s="719"/>
      <c r="AZ175" s="719"/>
      <c r="BA175" s="719"/>
      <c r="BB175" s="719"/>
      <c r="BC175" s="719"/>
      <c r="BD175" s="719"/>
      <c r="BE175" s="719"/>
      <c r="BF175" s="719"/>
      <c r="BG175" s="719"/>
      <c r="BH175" s="719"/>
      <c r="BI175" s="719"/>
      <c r="BJ175" s="719"/>
      <c r="BK175" s="719"/>
      <c r="BL175" s="719"/>
      <c r="BM175" s="719"/>
      <c r="BN175" s="719"/>
      <c r="BO175" s="719"/>
      <c r="BP175" s="719"/>
      <c r="BQ175" s="719"/>
      <c r="BR175" s="719"/>
      <c r="BS175" s="719"/>
      <c r="BT175" s="719"/>
      <c r="BU175" s="719"/>
      <c r="BV175" s="719"/>
      <c r="BW175" s="719"/>
      <c r="BX175" s="719"/>
      <c r="BY175" s="719"/>
      <c r="BZ175" s="719"/>
      <c r="CA175" s="719"/>
      <c r="CB175" s="719"/>
      <c r="CC175" s="719"/>
      <c r="CD175" s="719"/>
      <c r="CE175" s="719"/>
      <c r="CF175" s="719"/>
      <c r="CG175" s="719"/>
      <c r="CH175" s="719"/>
      <c r="CI175" s="719"/>
      <c r="CJ175" s="719"/>
      <c r="CK175" s="719"/>
      <c r="CL175" s="719"/>
      <c r="CM175" s="719"/>
      <c r="CN175" s="719"/>
      <c r="CO175" s="719"/>
      <c r="CP175" s="719"/>
      <c r="CQ175" s="719"/>
      <c r="CR175" s="719"/>
      <c r="CS175" s="719"/>
      <c r="CT175" s="719"/>
      <c r="CU175" s="719"/>
      <c r="CV175" s="719"/>
      <c r="CW175" s="719"/>
      <c r="CX175" s="719"/>
      <c r="CY175" s="719"/>
      <c r="CZ175" s="719"/>
      <c r="DA175" s="719"/>
      <c r="DB175" s="719"/>
      <c r="DC175" s="719"/>
      <c r="DD175" s="719"/>
      <c r="DE175" s="719"/>
      <c r="DF175" s="719"/>
      <c r="DG175" s="719"/>
      <c r="DH175" s="719"/>
      <c r="DI175" s="719"/>
      <c r="DJ175" s="719"/>
      <c r="DK175" s="719"/>
      <c r="DL175" s="719"/>
      <c r="DM175" s="719"/>
      <c r="DN175" s="719"/>
      <c r="DO175" s="719"/>
      <c r="DP175" s="719"/>
      <c r="DQ175" s="719"/>
      <c r="DR175" s="719"/>
    </row>
    <row r="176" spans="1:122" s="275" customFormat="1">
      <c r="A176" s="719"/>
      <c r="B176" s="719"/>
      <c r="C176" s="719"/>
      <c r="D176" s="719"/>
      <c r="E176" s="719"/>
      <c r="F176" s="719"/>
      <c r="G176" s="719"/>
      <c r="H176" s="719"/>
      <c r="I176" s="719"/>
      <c r="J176" s="719"/>
      <c r="K176" s="719"/>
      <c r="L176" s="719"/>
      <c r="M176" s="719"/>
      <c r="N176" s="721"/>
      <c r="O176" s="721"/>
      <c r="P176" s="719"/>
      <c r="Q176" s="719"/>
      <c r="R176" s="719"/>
      <c r="S176" s="721"/>
      <c r="T176" s="721"/>
      <c r="U176" s="719"/>
      <c r="V176" s="719"/>
      <c r="W176" s="719"/>
      <c r="X176" s="721"/>
      <c r="Y176" s="721"/>
      <c r="Z176" s="719"/>
      <c r="AA176" s="719"/>
      <c r="AB176" s="719"/>
      <c r="AC176" s="721"/>
      <c r="AD176" s="721"/>
      <c r="AE176" s="719"/>
      <c r="AF176" s="719"/>
      <c r="AG176" s="719"/>
      <c r="AH176" s="721"/>
      <c r="AI176" s="721"/>
      <c r="AJ176" s="719"/>
      <c r="AK176" s="719"/>
      <c r="AL176" s="719"/>
      <c r="AM176" s="719"/>
      <c r="AN176" s="719"/>
      <c r="AO176" s="719"/>
      <c r="AP176" s="719"/>
      <c r="AQ176" s="719"/>
      <c r="AR176" s="719"/>
      <c r="AS176" s="719"/>
      <c r="AT176" s="719"/>
      <c r="AU176" s="719"/>
      <c r="AV176" s="719"/>
      <c r="AW176" s="719"/>
      <c r="AX176" s="719"/>
      <c r="AY176" s="719"/>
      <c r="AZ176" s="719"/>
      <c r="BA176" s="719"/>
      <c r="BB176" s="719"/>
      <c r="BC176" s="719"/>
      <c r="BD176" s="719"/>
      <c r="BE176" s="719"/>
      <c r="BF176" s="719"/>
      <c r="BG176" s="719"/>
      <c r="BH176" s="719"/>
      <c r="BI176" s="719"/>
      <c r="BJ176" s="719"/>
      <c r="BK176" s="719"/>
      <c r="BL176" s="719"/>
      <c r="BM176" s="719"/>
      <c r="BN176" s="719"/>
      <c r="BO176" s="719"/>
      <c r="BP176" s="719"/>
      <c r="BQ176" s="719"/>
      <c r="BR176" s="719"/>
      <c r="BS176" s="719"/>
      <c r="BT176" s="719"/>
      <c r="BU176" s="719"/>
      <c r="BV176" s="719"/>
      <c r="BW176" s="719"/>
      <c r="BX176" s="719"/>
      <c r="BY176" s="719"/>
      <c r="BZ176" s="719"/>
      <c r="CA176" s="719"/>
      <c r="CB176" s="719"/>
      <c r="CC176" s="719"/>
      <c r="CD176" s="719"/>
      <c r="CE176" s="719"/>
      <c r="CF176" s="719"/>
      <c r="CG176" s="719"/>
      <c r="CH176" s="719"/>
      <c r="CI176" s="719"/>
      <c r="CJ176" s="719"/>
      <c r="CK176" s="719"/>
      <c r="CL176" s="719"/>
      <c r="CM176" s="719"/>
      <c r="CN176" s="719"/>
      <c r="CO176" s="719"/>
      <c r="CP176" s="719"/>
      <c r="CQ176" s="719"/>
      <c r="CR176" s="719"/>
      <c r="CS176" s="719"/>
      <c r="CT176" s="719"/>
      <c r="CU176" s="719"/>
      <c r="CV176" s="719"/>
      <c r="CW176" s="719"/>
      <c r="CX176" s="719"/>
      <c r="CY176" s="719"/>
      <c r="CZ176" s="719"/>
      <c r="DA176" s="719"/>
      <c r="DB176" s="719"/>
      <c r="DC176" s="719"/>
      <c r="DD176" s="719"/>
      <c r="DE176" s="719"/>
      <c r="DF176" s="719"/>
      <c r="DG176" s="719"/>
      <c r="DH176" s="719"/>
      <c r="DI176" s="719"/>
      <c r="DJ176" s="719"/>
      <c r="DK176" s="719"/>
      <c r="DL176" s="719"/>
      <c r="DM176" s="719"/>
      <c r="DN176" s="719"/>
      <c r="DO176" s="719"/>
      <c r="DP176" s="719"/>
      <c r="DQ176" s="719"/>
      <c r="DR176" s="719"/>
    </row>
    <row r="177" spans="1:122" s="275" customFormat="1">
      <c r="A177" s="719"/>
      <c r="B177" s="719"/>
      <c r="C177" s="719"/>
      <c r="D177" s="719"/>
      <c r="E177" s="719"/>
      <c r="F177" s="719"/>
      <c r="G177" s="719"/>
      <c r="H177" s="719"/>
      <c r="I177" s="719"/>
      <c r="J177" s="719"/>
      <c r="K177" s="719"/>
      <c r="L177" s="719"/>
      <c r="M177" s="719"/>
      <c r="N177" s="721"/>
      <c r="O177" s="721"/>
      <c r="P177" s="719"/>
      <c r="Q177" s="719"/>
      <c r="R177" s="719"/>
      <c r="S177" s="721"/>
      <c r="T177" s="721"/>
      <c r="U177" s="719"/>
      <c r="V177" s="719"/>
      <c r="W177" s="719"/>
      <c r="X177" s="721"/>
      <c r="Y177" s="721"/>
      <c r="Z177" s="719"/>
      <c r="AA177" s="719"/>
      <c r="AB177" s="719"/>
      <c r="AC177" s="721"/>
      <c r="AD177" s="721"/>
      <c r="AE177" s="719"/>
      <c r="AF177" s="719"/>
      <c r="AG177" s="719"/>
      <c r="AH177" s="721"/>
      <c r="AI177" s="721"/>
      <c r="AJ177" s="719"/>
      <c r="AK177" s="719"/>
      <c r="AL177" s="719"/>
      <c r="AM177" s="719"/>
      <c r="AN177" s="719"/>
      <c r="AO177" s="719"/>
      <c r="AP177" s="719"/>
      <c r="AQ177" s="719"/>
      <c r="AR177" s="719"/>
      <c r="AS177" s="719"/>
      <c r="AT177" s="719"/>
      <c r="AU177" s="719"/>
      <c r="AV177" s="719"/>
      <c r="AW177" s="719"/>
      <c r="AX177" s="719"/>
      <c r="AY177" s="719"/>
      <c r="AZ177" s="719"/>
      <c r="BA177" s="719"/>
      <c r="BB177" s="719"/>
      <c r="BC177" s="719"/>
      <c r="BD177" s="719"/>
      <c r="BE177" s="719"/>
      <c r="BF177" s="719"/>
      <c r="BG177" s="719"/>
      <c r="BH177" s="719"/>
      <c r="BI177" s="719"/>
      <c r="BJ177" s="719"/>
      <c r="BK177" s="719"/>
      <c r="BL177" s="719"/>
      <c r="BM177" s="719"/>
      <c r="BN177" s="719"/>
      <c r="BO177" s="719"/>
      <c r="BP177" s="719"/>
      <c r="BQ177" s="719"/>
      <c r="BR177" s="719"/>
      <c r="BS177" s="719"/>
      <c r="BT177" s="719"/>
      <c r="BU177" s="719"/>
      <c r="BV177" s="719"/>
      <c r="BW177" s="719"/>
      <c r="BX177" s="719"/>
      <c r="BY177" s="719"/>
      <c r="BZ177" s="719"/>
      <c r="CA177" s="719"/>
      <c r="CB177" s="719"/>
      <c r="CC177" s="719"/>
      <c r="CD177" s="719"/>
      <c r="CE177" s="719"/>
      <c r="CF177" s="719"/>
      <c r="CG177" s="719"/>
      <c r="CH177" s="719"/>
      <c r="CI177" s="719"/>
      <c r="CJ177" s="719"/>
      <c r="CK177" s="719"/>
      <c r="CL177" s="719"/>
      <c r="CM177" s="719"/>
      <c r="CN177" s="719"/>
      <c r="CO177" s="719"/>
      <c r="CP177" s="719"/>
      <c r="CQ177" s="719"/>
      <c r="CR177" s="719"/>
      <c r="CS177" s="719"/>
      <c r="CT177" s="719"/>
      <c r="CU177" s="719"/>
      <c r="CV177" s="719"/>
      <c r="CW177" s="719"/>
      <c r="CX177" s="719"/>
      <c r="CY177" s="719"/>
      <c r="CZ177" s="719"/>
      <c r="DA177" s="719"/>
      <c r="DB177" s="719"/>
      <c r="DC177" s="719"/>
      <c r="DD177" s="719"/>
      <c r="DE177" s="719"/>
      <c r="DF177" s="719"/>
      <c r="DG177" s="719"/>
      <c r="DH177" s="719"/>
      <c r="DI177" s="719"/>
      <c r="DJ177" s="719"/>
      <c r="DK177" s="719"/>
      <c r="DL177" s="719"/>
      <c r="DM177" s="719"/>
      <c r="DN177" s="719"/>
      <c r="DO177" s="719"/>
      <c r="DP177" s="719"/>
      <c r="DQ177" s="719"/>
      <c r="DR177" s="719"/>
    </row>
    <row r="178" spans="1:122" s="275" customFormat="1">
      <c r="A178" s="719"/>
      <c r="B178" s="719"/>
      <c r="C178" s="719"/>
      <c r="D178" s="719"/>
      <c r="E178" s="719"/>
      <c r="F178" s="719"/>
      <c r="G178" s="719"/>
      <c r="H178" s="719"/>
      <c r="I178" s="719"/>
      <c r="J178" s="719"/>
      <c r="K178" s="719"/>
      <c r="L178" s="719"/>
      <c r="M178" s="719"/>
      <c r="N178" s="721"/>
      <c r="O178" s="721"/>
      <c r="P178" s="719"/>
      <c r="Q178" s="719"/>
      <c r="R178" s="719"/>
      <c r="S178" s="721"/>
      <c r="T178" s="721"/>
      <c r="U178" s="719"/>
      <c r="V178" s="719"/>
      <c r="W178" s="719"/>
      <c r="X178" s="721"/>
      <c r="Y178" s="721"/>
      <c r="Z178" s="719"/>
      <c r="AA178" s="719"/>
      <c r="AB178" s="719"/>
      <c r="AC178" s="721"/>
      <c r="AD178" s="721"/>
      <c r="AE178" s="719"/>
      <c r="AF178" s="719"/>
      <c r="AG178" s="719"/>
      <c r="AH178" s="721"/>
      <c r="AI178" s="721"/>
      <c r="AJ178" s="719"/>
      <c r="AK178" s="719"/>
      <c r="AL178" s="719"/>
      <c r="AM178" s="719"/>
      <c r="AN178" s="719"/>
      <c r="AO178" s="719"/>
      <c r="AP178" s="719"/>
      <c r="AQ178" s="719"/>
      <c r="AR178" s="719"/>
      <c r="AS178" s="719"/>
      <c r="AT178" s="719"/>
      <c r="AU178" s="719"/>
      <c r="AV178" s="719"/>
      <c r="AW178" s="719"/>
      <c r="AX178" s="719"/>
      <c r="AY178" s="719"/>
      <c r="AZ178" s="719"/>
      <c r="BA178" s="719"/>
      <c r="BB178" s="719"/>
      <c r="BC178" s="719"/>
      <c r="BD178" s="719"/>
      <c r="BE178" s="719"/>
      <c r="BF178" s="719"/>
      <c r="BG178" s="719"/>
      <c r="BH178" s="719"/>
      <c r="BI178" s="719"/>
      <c r="BJ178" s="719"/>
      <c r="BK178" s="719"/>
      <c r="BL178" s="719"/>
      <c r="BM178" s="719"/>
      <c r="BN178" s="719"/>
      <c r="BO178" s="719"/>
      <c r="BP178" s="719"/>
      <c r="BQ178" s="719"/>
      <c r="BR178" s="719"/>
      <c r="BS178" s="719"/>
      <c r="BT178" s="719"/>
      <c r="BU178" s="719"/>
      <c r="BV178" s="719"/>
      <c r="BW178" s="719"/>
      <c r="BX178" s="719"/>
      <c r="BY178" s="719"/>
      <c r="BZ178" s="719"/>
      <c r="CA178" s="719"/>
      <c r="CB178" s="719"/>
      <c r="CC178" s="719"/>
      <c r="CD178" s="719"/>
      <c r="CE178" s="719"/>
      <c r="CF178" s="719"/>
      <c r="CG178" s="719"/>
      <c r="CH178" s="719"/>
      <c r="CI178" s="719"/>
      <c r="CJ178" s="719"/>
      <c r="CK178" s="719"/>
      <c r="CL178" s="719"/>
      <c r="CM178" s="719"/>
      <c r="CN178" s="719"/>
      <c r="CO178" s="719"/>
      <c r="CP178" s="719"/>
      <c r="CQ178" s="719"/>
      <c r="CR178" s="719"/>
      <c r="CS178" s="719"/>
      <c r="CT178" s="719"/>
      <c r="CU178" s="719"/>
      <c r="CV178" s="719"/>
      <c r="CW178" s="719"/>
      <c r="CX178" s="719"/>
      <c r="CY178" s="719"/>
      <c r="CZ178" s="719"/>
      <c r="DA178" s="719"/>
      <c r="DB178" s="719"/>
      <c r="DC178" s="719"/>
      <c r="DD178" s="719"/>
      <c r="DE178" s="719"/>
      <c r="DF178" s="719"/>
      <c r="DG178" s="719"/>
      <c r="DH178" s="719"/>
      <c r="DI178" s="719"/>
      <c r="DJ178" s="719"/>
      <c r="DK178" s="719"/>
      <c r="DL178" s="719"/>
      <c r="DM178" s="719"/>
      <c r="DN178" s="719"/>
      <c r="DO178" s="719"/>
      <c r="DP178" s="719"/>
      <c r="DQ178" s="719"/>
      <c r="DR178" s="719"/>
    </row>
    <row r="179" spans="1:122" s="275" customFormat="1">
      <c r="A179" s="719"/>
      <c r="B179" s="719"/>
      <c r="C179" s="719"/>
      <c r="D179" s="719"/>
      <c r="E179" s="719"/>
      <c r="F179" s="719"/>
      <c r="G179" s="719"/>
      <c r="H179" s="719"/>
      <c r="I179" s="719"/>
      <c r="J179" s="719"/>
      <c r="K179" s="719"/>
      <c r="L179" s="719"/>
      <c r="M179" s="719"/>
      <c r="N179" s="721"/>
      <c r="O179" s="721"/>
      <c r="P179" s="719"/>
      <c r="Q179" s="719"/>
      <c r="R179" s="719"/>
      <c r="S179" s="721"/>
      <c r="T179" s="721"/>
      <c r="U179" s="719"/>
      <c r="V179" s="719"/>
      <c r="W179" s="719"/>
      <c r="X179" s="721"/>
      <c r="Y179" s="721"/>
      <c r="Z179" s="719"/>
      <c r="AA179" s="719"/>
      <c r="AB179" s="719"/>
      <c r="AC179" s="721"/>
      <c r="AD179" s="721"/>
      <c r="AE179" s="719"/>
      <c r="AF179" s="719"/>
      <c r="AG179" s="719"/>
      <c r="AH179" s="721"/>
      <c r="AI179" s="721"/>
      <c r="AJ179" s="719"/>
      <c r="AK179" s="719"/>
      <c r="AL179" s="719"/>
      <c r="AM179" s="719"/>
      <c r="AN179" s="719"/>
      <c r="AO179" s="719"/>
      <c r="AP179" s="719"/>
      <c r="AQ179" s="719"/>
      <c r="AR179" s="719"/>
      <c r="AS179" s="719"/>
      <c r="AT179" s="719"/>
      <c r="AU179" s="719"/>
      <c r="AV179" s="719"/>
      <c r="AW179" s="719"/>
      <c r="AX179" s="719"/>
      <c r="AY179" s="719"/>
      <c r="AZ179" s="719"/>
      <c r="BA179" s="719"/>
      <c r="BB179" s="719"/>
      <c r="BC179" s="719"/>
      <c r="BD179" s="719"/>
      <c r="BE179" s="719"/>
      <c r="BF179" s="719"/>
      <c r="BG179" s="719"/>
      <c r="BH179" s="719"/>
      <c r="BI179" s="719"/>
      <c r="BJ179" s="719"/>
      <c r="BK179" s="719"/>
      <c r="BL179" s="719"/>
      <c r="BM179" s="719"/>
      <c r="BN179" s="719"/>
      <c r="BO179" s="719"/>
      <c r="BP179" s="719"/>
      <c r="BQ179" s="719"/>
      <c r="BR179" s="719"/>
      <c r="BS179" s="719"/>
      <c r="BT179" s="719"/>
      <c r="BU179" s="719"/>
      <c r="BV179" s="719"/>
      <c r="BW179" s="719"/>
      <c r="BX179" s="719"/>
      <c r="BY179" s="719"/>
      <c r="BZ179" s="719"/>
      <c r="CA179" s="719"/>
      <c r="CB179" s="719"/>
      <c r="CC179" s="719"/>
      <c r="CD179" s="719"/>
      <c r="CE179" s="719"/>
      <c r="CF179" s="719"/>
      <c r="CG179" s="719"/>
      <c r="CH179" s="719"/>
      <c r="CI179" s="719"/>
      <c r="CJ179" s="719"/>
      <c r="CK179" s="719"/>
      <c r="CL179" s="719"/>
      <c r="CM179" s="719"/>
      <c r="CN179" s="719"/>
      <c r="CO179" s="719"/>
      <c r="CP179" s="719"/>
      <c r="CQ179" s="719"/>
      <c r="CR179" s="719"/>
      <c r="CS179" s="719"/>
      <c r="CT179" s="719"/>
      <c r="CU179" s="719"/>
      <c r="CV179" s="719"/>
      <c r="CW179" s="719"/>
      <c r="CX179" s="719"/>
      <c r="CY179" s="719"/>
      <c r="CZ179" s="719"/>
      <c r="DA179" s="719"/>
      <c r="DB179" s="719"/>
      <c r="DC179" s="719"/>
      <c r="DD179" s="719"/>
      <c r="DE179" s="719"/>
      <c r="DF179" s="719"/>
      <c r="DG179" s="719"/>
      <c r="DH179" s="719"/>
      <c r="DI179" s="719"/>
      <c r="DJ179" s="719"/>
      <c r="DK179" s="719"/>
      <c r="DL179" s="719"/>
      <c r="DM179" s="719"/>
      <c r="DN179" s="719"/>
      <c r="DO179" s="719"/>
      <c r="DP179" s="719"/>
      <c r="DQ179" s="719"/>
      <c r="DR179" s="719"/>
    </row>
    <row r="180" spans="1:122" s="275" customFormat="1">
      <c r="A180" s="719"/>
      <c r="B180" s="719"/>
      <c r="C180" s="719"/>
      <c r="D180" s="719"/>
      <c r="E180" s="719"/>
      <c r="F180" s="719"/>
      <c r="G180" s="719"/>
      <c r="H180" s="719"/>
      <c r="I180" s="719"/>
      <c r="J180" s="719"/>
      <c r="K180" s="719"/>
      <c r="L180" s="719"/>
      <c r="M180" s="719"/>
      <c r="N180" s="721"/>
      <c r="O180" s="721"/>
      <c r="P180" s="719"/>
      <c r="Q180" s="719"/>
      <c r="R180" s="719"/>
      <c r="S180" s="721"/>
      <c r="T180" s="721"/>
      <c r="U180" s="719"/>
      <c r="V180" s="719"/>
      <c r="W180" s="719"/>
      <c r="X180" s="721"/>
      <c r="Y180" s="721"/>
      <c r="Z180" s="719"/>
      <c r="AA180" s="719"/>
      <c r="AB180" s="719"/>
      <c r="AC180" s="721"/>
      <c r="AD180" s="721"/>
      <c r="AE180" s="719"/>
      <c r="AF180" s="719"/>
      <c r="AG180" s="719"/>
      <c r="AH180" s="721"/>
      <c r="AI180" s="721"/>
      <c r="AJ180" s="719"/>
      <c r="AK180" s="719"/>
      <c r="AL180" s="719"/>
      <c r="AM180" s="719"/>
      <c r="AN180" s="719"/>
      <c r="AO180" s="719"/>
      <c r="AP180" s="719"/>
      <c r="AQ180" s="719"/>
      <c r="AR180" s="719"/>
      <c r="AS180" s="719"/>
      <c r="AT180" s="719"/>
      <c r="AU180" s="719"/>
      <c r="AV180" s="719"/>
      <c r="AW180" s="719"/>
      <c r="AX180" s="719"/>
      <c r="AY180" s="719"/>
      <c r="AZ180" s="719"/>
      <c r="BA180" s="719"/>
      <c r="BB180" s="719"/>
      <c r="BC180" s="719"/>
      <c r="BD180" s="719"/>
      <c r="BE180" s="719"/>
      <c r="BF180" s="719"/>
      <c r="BG180" s="719"/>
      <c r="BH180" s="719"/>
      <c r="BI180" s="719"/>
      <c r="BJ180" s="719"/>
      <c r="BK180" s="719"/>
      <c r="BL180" s="719"/>
      <c r="BM180" s="719"/>
      <c r="BN180" s="719"/>
      <c r="BO180" s="719"/>
      <c r="BP180" s="719"/>
      <c r="BQ180" s="719"/>
      <c r="BR180" s="719"/>
      <c r="BS180" s="719"/>
      <c r="BT180" s="719"/>
      <c r="BU180" s="719"/>
      <c r="BV180" s="719"/>
      <c r="BW180" s="719"/>
      <c r="BX180" s="719"/>
      <c r="BY180" s="719"/>
      <c r="BZ180" s="719"/>
      <c r="CA180" s="719"/>
      <c r="CB180" s="719"/>
      <c r="CC180" s="719"/>
      <c r="CD180" s="719"/>
      <c r="CE180" s="719"/>
      <c r="CF180" s="719"/>
      <c r="CG180" s="719"/>
      <c r="CH180" s="719"/>
      <c r="CI180" s="719"/>
      <c r="CJ180" s="719"/>
      <c r="CK180" s="719"/>
      <c r="CL180" s="719"/>
      <c r="CM180" s="719"/>
      <c r="CN180" s="719"/>
      <c r="CO180" s="719"/>
      <c r="CP180" s="719"/>
      <c r="CQ180" s="719"/>
      <c r="CR180" s="719"/>
      <c r="CS180" s="719"/>
      <c r="CT180" s="719"/>
      <c r="CU180" s="719"/>
      <c r="CV180" s="719"/>
      <c r="CW180" s="719"/>
      <c r="CX180" s="719"/>
      <c r="CY180" s="719"/>
      <c r="CZ180" s="719"/>
      <c r="DA180" s="719"/>
      <c r="DB180" s="719"/>
      <c r="DC180" s="719"/>
      <c r="DD180" s="719"/>
      <c r="DE180" s="719"/>
      <c r="DF180" s="719"/>
      <c r="DG180" s="719"/>
      <c r="DH180" s="719"/>
      <c r="DI180" s="719"/>
      <c r="DJ180" s="719"/>
      <c r="DK180" s="719"/>
      <c r="DL180" s="719"/>
      <c r="DM180" s="719"/>
      <c r="DN180" s="719"/>
      <c r="DO180" s="719"/>
      <c r="DP180" s="719"/>
      <c r="DQ180" s="719"/>
      <c r="DR180" s="719"/>
    </row>
    <row r="181" spans="1:122" s="275" customFormat="1">
      <c r="A181" s="719"/>
      <c r="B181" s="719"/>
      <c r="C181" s="719"/>
      <c r="D181" s="719"/>
      <c r="E181" s="719"/>
      <c r="F181" s="719"/>
      <c r="G181" s="719"/>
      <c r="H181" s="719"/>
      <c r="I181" s="719"/>
      <c r="J181" s="719"/>
      <c r="K181" s="719"/>
      <c r="L181" s="719"/>
      <c r="M181" s="719"/>
      <c r="N181" s="721"/>
      <c r="O181" s="721"/>
      <c r="P181" s="719"/>
      <c r="Q181" s="719"/>
      <c r="R181" s="719"/>
      <c r="S181" s="721"/>
      <c r="T181" s="721"/>
      <c r="U181" s="719"/>
      <c r="V181" s="719"/>
      <c r="W181" s="719"/>
      <c r="X181" s="721"/>
      <c r="Y181" s="721"/>
      <c r="Z181" s="719"/>
      <c r="AA181" s="719"/>
      <c r="AB181" s="719"/>
      <c r="AC181" s="721"/>
      <c r="AD181" s="721"/>
      <c r="AE181" s="719"/>
      <c r="AF181" s="719"/>
      <c r="AG181" s="719"/>
      <c r="AH181" s="721"/>
      <c r="AI181" s="721"/>
      <c r="AJ181" s="719"/>
      <c r="AK181" s="719"/>
      <c r="AL181" s="719"/>
      <c r="AM181" s="719"/>
      <c r="AN181" s="719"/>
      <c r="AO181" s="719"/>
      <c r="AP181" s="719"/>
      <c r="AQ181" s="719"/>
      <c r="AR181" s="719"/>
      <c r="AS181" s="719"/>
      <c r="AT181" s="719"/>
      <c r="AU181" s="719"/>
      <c r="AV181" s="719"/>
      <c r="AW181" s="719"/>
      <c r="AX181" s="719"/>
      <c r="AY181" s="719"/>
      <c r="AZ181" s="719"/>
      <c r="BA181" s="719"/>
      <c r="BB181" s="719"/>
      <c r="BC181" s="719"/>
      <c r="BD181" s="719"/>
      <c r="BE181" s="719"/>
      <c r="BF181" s="719"/>
      <c r="BG181" s="719"/>
      <c r="BH181" s="719"/>
      <c r="BI181" s="719"/>
      <c r="BJ181" s="719"/>
      <c r="BK181" s="719"/>
      <c r="BL181" s="719"/>
      <c r="BM181" s="719"/>
      <c r="BN181" s="719"/>
      <c r="BO181" s="719"/>
      <c r="BP181" s="719"/>
      <c r="BQ181" s="719"/>
      <c r="BR181" s="719"/>
      <c r="BS181" s="719"/>
      <c r="BT181" s="719"/>
      <c r="BU181" s="719"/>
      <c r="BV181" s="719"/>
      <c r="BW181" s="719"/>
      <c r="BX181" s="719"/>
      <c r="BY181" s="719"/>
      <c r="BZ181" s="719"/>
      <c r="CA181" s="719"/>
      <c r="CB181" s="719"/>
      <c r="CC181" s="719"/>
      <c r="CD181" s="719"/>
      <c r="CE181" s="719"/>
      <c r="CF181" s="719"/>
      <c r="CG181" s="719"/>
      <c r="CH181" s="719"/>
      <c r="CI181" s="719"/>
      <c r="CJ181" s="719"/>
      <c r="CK181" s="719"/>
      <c r="CL181" s="719"/>
      <c r="CM181" s="719"/>
      <c r="CN181" s="719"/>
      <c r="CO181" s="719"/>
      <c r="CP181" s="719"/>
      <c r="CQ181" s="719"/>
      <c r="CR181" s="719"/>
      <c r="CS181" s="719"/>
      <c r="CT181" s="719"/>
      <c r="CU181" s="719"/>
      <c r="CV181" s="719"/>
      <c r="CW181" s="719"/>
      <c r="CX181" s="719"/>
      <c r="CY181" s="719"/>
      <c r="CZ181" s="719"/>
      <c r="DA181" s="719"/>
      <c r="DB181" s="719"/>
      <c r="DC181" s="719"/>
      <c r="DD181" s="719"/>
      <c r="DE181" s="719"/>
      <c r="DF181" s="719"/>
      <c r="DG181" s="719"/>
      <c r="DH181" s="719"/>
      <c r="DI181" s="719"/>
      <c r="DJ181" s="719"/>
      <c r="DK181" s="719"/>
      <c r="DL181" s="719"/>
      <c r="DM181" s="719"/>
      <c r="DN181" s="719"/>
      <c r="DO181" s="719"/>
      <c r="DP181" s="719"/>
      <c r="DQ181" s="719"/>
      <c r="DR181" s="719"/>
    </row>
    <row r="182" spans="1:122" s="275" customFormat="1">
      <c r="A182" s="719"/>
      <c r="B182" s="719"/>
      <c r="C182" s="719"/>
      <c r="D182" s="719"/>
      <c r="E182" s="719"/>
      <c r="F182" s="719"/>
      <c r="G182" s="719"/>
      <c r="H182" s="719"/>
      <c r="I182" s="719"/>
      <c r="J182" s="719"/>
      <c r="K182" s="719"/>
      <c r="L182" s="719"/>
      <c r="M182" s="719"/>
      <c r="N182" s="721"/>
      <c r="O182" s="721"/>
      <c r="P182" s="719"/>
      <c r="Q182" s="719"/>
      <c r="R182" s="719"/>
      <c r="S182" s="721"/>
      <c r="T182" s="721"/>
      <c r="U182" s="719"/>
      <c r="V182" s="719"/>
      <c r="W182" s="719"/>
      <c r="X182" s="721"/>
      <c r="Y182" s="721"/>
      <c r="Z182" s="719"/>
      <c r="AA182" s="719"/>
      <c r="AB182" s="719"/>
      <c r="AC182" s="721"/>
      <c r="AD182" s="721"/>
      <c r="AE182" s="719"/>
      <c r="AF182" s="719"/>
      <c r="AG182" s="719"/>
      <c r="AH182" s="721"/>
      <c r="AI182" s="721"/>
      <c r="AJ182" s="719"/>
      <c r="AK182" s="719"/>
      <c r="AL182" s="719"/>
      <c r="AM182" s="719"/>
      <c r="AN182" s="719"/>
      <c r="AO182" s="719"/>
      <c r="AP182" s="719"/>
      <c r="AQ182" s="719"/>
      <c r="AR182" s="719"/>
      <c r="AS182" s="719"/>
      <c r="AT182" s="719"/>
      <c r="AU182" s="719"/>
      <c r="AV182" s="719"/>
      <c r="AW182" s="719"/>
      <c r="AX182" s="719"/>
      <c r="AY182" s="719"/>
      <c r="AZ182" s="719"/>
      <c r="BA182" s="719"/>
      <c r="BB182" s="719"/>
      <c r="BC182" s="719"/>
      <c r="BD182" s="719"/>
      <c r="BE182" s="719"/>
      <c r="BF182" s="719"/>
      <c r="BG182" s="719"/>
      <c r="BH182" s="719"/>
      <c r="BI182" s="719"/>
      <c r="BJ182" s="719"/>
      <c r="BK182" s="719"/>
      <c r="BL182" s="719"/>
      <c r="BM182" s="719"/>
      <c r="BN182" s="719"/>
      <c r="BO182" s="719"/>
      <c r="BP182" s="719"/>
      <c r="BQ182" s="719"/>
      <c r="BR182" s="719"/>
      <c r="BS182" s="719"/>
      <c r="BT182" s="719"/>
      <c r="BU182" s="719"/>
      <c r="BV182" s="719"/>
      <c r="BW182" s="719"/>
      <c r="BX182" s="719"/>
      <c r="BY182" s="719"/>
      <c r="BZ182" s="719"/>
      <c r="CA182" s="719"/>
      <c r="CB182" s="719"/>
      <c r="CC182" s="719"/>
      <c r="CD182" s="719"/>
      <c r="CE182" s="719"/>
      <c r="CF182" s="719"/>
      <c r="CG182" s="719"/>
      <c r="CH182" s="719"/>
      <c r="CI182" s="719"/>
      <c r="CJ182" s="719"/>
      <c r="CK182" s="719"/>
      <c r="CL182" s="719"/>
      <c r="CM182" s="719"/>
      <c r="CN182" s="719"/>
      <c r="CO182" s="719"/>
      <c r="CP182" s="719"/>
      <c r="CQ182" s="719"/>
      <c r="CR182" s="719"/>
      <c r="CS182" s="719"/>
      <c r="CT182" s="719"/>
      <c r="CU182" s="719"/>
      <c r="CV182" s="719"/>
      <c r="CW182" s="719"/>
      <c r="CX182" s="719"/>
      <c r="CY182" s="719"/>
      <c r="CZ182" s="719"/>
      <c r="DA182" s="719"/>
      <c r="DB182" s="719"/>
      <c r="DC182" s="719"/>
      <c r="DD182" s="719"/>
      <c r="DE182" s="719"/>
      <c r="DF182" s="719"/>
      <c r="DG182" s="719"/>
      <c r="DH182" s="719"/>
      <c r="DI182" s="719"/>
      <c r="DJ182" s="719"/>
      <c r="DK182" s="719"/>
      <c r="DL182" s="719"/>
      <c r="DM182" s="719"/>
      <c r="DN182" s="719"/>
      <c r="DO182" s="719"/>
      <c r="DP182" s="719"/>
      <c r="DQ182" s="719"/>
      <c r="DR182" s="719"/>
    </row>
    <row r="183" spans="1:122" s="275" customFormat="1">
      <c r="A183" s="719"/>
      <c r="B183" s="719"/>
      <c r="C183" s="719"/>
      <c r="D183" s="719"/>
      <c r="E183" s="719"/>
      <c r="F183" s="719"/>
      <c r="G183" s="719"/>
      <c r="H183" s="719"/>
      <c r="I183" s="719"/>
      <c r="J183" s="719"/>
      <c r="K183" s="719"/>
      <c r="L183" s="719"/>
      <c r="M183" s="719"/>
      <c r="N183" s="721"/>
      <c r="O183" s="721"/>
      <c r="P183" s="719"/>
      <c r="Q183" s="719"/>
      <c r="R183" s="719"/>
      <c r="S183" s="721"/>
      <c r="T183" s="721"/>
      <c r="U183" s="719"/>
      <c r="V183" s="719"/>
      <c r="W183" s="719"/>
      <c r="X183" s="721"/>
      <c r="Y183" s="721"/>
      <c r="Z183" s="719"/>
      <c r="AA183" s="719"/>
      <c r="AB183" s="719"/>
      <c r="AC183" s="721"/>
      <c r="AD183" s="721"/>
      <c r="AE183" s="719"/>
      <c r="AF183" s="719"/>
      <c r="AG183" s="719"/>
      <c r="AH183" s="721"/>
      <c r="AI183" s="721"/>
      <c r="AJ183" s="719"/>
      <c r="AK183" s="719"/>
      <c r="AL183" s="719"/>
      <c r="AM183" s="719"/>
      <c r="AN183" s="719"/>
      <c r="AO183" s="719"/>
      <c r="AP183" s="719"/>
      <c r="AQ183" s="719"/>
      <c r="AR183" s="719"/>
      <c r="AS183" s="719"/>
      <c r="AT183" s="719"/>
      <c r="AU183" s="719"/>
      <c r="AV183" s="719"/>
      <c r="AW183" s="719"/>
      <c r="AX183" s="719"/>
      <c r="AY183" s="719"/>
      <c r="AZ183" s="719"/>
      <c r="BA183" s="719"/>
      <c r="BB183" s="719"/>
      <c r="BC183" s="719"/>
      <c r="BD183" s="719"/>
      <c r="BE183" s="719"/>
      <c r="BF183" s="719"/>
      <c r="BG183" s="719"/>
      <c r="BH183" s="719"/>
      <c r="BI183" s="719"/>
      <c r="BJ183" s="719"/>
      <c r="BK183" s="719"/>
      <c r="BL183" s="719"/>
      <c r="BM183" s="719"/>
      <c r="BN183" s="719"/>
      <c r="BO183" s="719"/>
      <c r="BP183" s="719"/>
      <c r="BQ183" s="719"/>
      <c r="BR183" s="719"/>
      <c r="BS183" s="719"/>
      <c r="BT183" s="719"/>
      <c r="BU183" s="719"/>
      <c r="BV183" s="719"/>
      <c r="BW183" s="719"/>
      <c r="BX183" s="719"/>
      <c r="BY183" s="719"/>
      <c r="BZ183" s="719"/>
      <c r="CA183" s="719"/>
      <c r="CB183" s="719"/>
      <c r="CC183" s="719"/>
      <c r="CD183" s="719"/>
      <c r="CE183" s="719"/>
      <c r="CF183" s="719"/>
      <c r="CG183" s="719"/>
      <c r="CH183" s="719"/>
      <c r="CI183" s="719"/>
      <c r="CJ183" s="719"/>
      <c r="CK183" s="719"/>
      <c r="CL183" s="719"/>
      <c r="CM183" s="719"/>
      <c r="CN183" s="719"/>
      <c r="CO183" s="719"/>
      <c r="CP183" s="719"/>
      <c r="CQ183" s="719"/>
      <c r="CR183" s="719"/>
      <c r="CS183" s="719"/>
      <c r="CT183" s="719"/>
      <c r="CU183" s="719"/>
      <c r="CV183" s="719"/>
      <c r="CW183" s="719"/>
      <c r="CX183" s="719"/>
      <c r="CY183" s="719"/>
      <c r="CZ183" s="719"/>
      <c r="DA183" s="719"/>
      <c r="DB183" s="719"/>
      <c r="DC183" s="719"/>
      <c r="DD183" s="719"/>
      <c r="DE183" s="719"/>
      <c r="DF183" s="719"/>
      <c r="DG183" s="719"/>
      <c r="DH183" s="719"/>
      <c r="DI183" s="719"/>
      <c r="DJ183" s="719"/>
      <c r="DK183" s="719"/>
      <c r="DL183" s="719"/>
      <c r="DM183" s="719"/>
      <c r="DN183" s="719"/>
      <c r="DO183" s="719"/>
      <c r="DP183" s="719"/>
      <c r="DQ183" s="719"/>
      <c r="DR183" s="719"/>
    </row>
    <row r="184" spans="1:122" s="275" customFormat="1">
      <c r="A184" s="719"/>
      <c r="B184" s="719"/>
      <c r="C184" s="719"/>
      <c r="D184" s="719"/>
      <c r="E184" s="719"/>
      <c r="F184" s="719"/>
      <c r="G184" s="719"/>
      <c r="H184" s="719"/>
      <c r="I184" s="719"/>
      <c r="J184" s="719"/>
      <c r="K184" s="719"/>
      <c r="L184" s="719"/>
      <c r="M184" s="719"/>
      <c r="N184" s="721"/>
      <c r="O184" s="721"/>
      <c r="P184" s="719"/>
      <c r="Q184" s="719"/>
      <c r="R184" s="719"/>
      <c r="S184" s="721"/>
      <c r="T184" s="721"/>
      <c r="U184" s="719"/>
      <c r="V184" s="719"/>
      <c r="W184" s="719"/>
      <c r="X184" s="721"/>
      <c r="Y184" s="721"/>
      <c r="Z184" s="719"/>
      <c r="AA184" s="719"/>
      <c r="AB184" s="719"/>
      <c r="AC184" s="721"/>
      <c r="AD184" s="721"/>
      <c r="AE184" s="719"/>
      <c r="AF184" s="719"/>
      <c r="AG184" s="719"/>
      <c r="AH184" s="721"/>
      <c r="AI184" s="721"/>
      <c r="AJ184" s="719"/>
      <c r="AK184" s="719"/>
      <c r="AL184" s="719"/>
      <c r="AM184" s="719"/>
      <c r="AN184" s="719"/>
      <c r="AO184" s="719"/>
      <c r="AP184" s="719"/>
      <c r="AQ184" s="719"/>
      <c r="AR184" s="719"/>
      <c r="AS184" s="719"/>
      <c r="AT184" s="719"/>
      <c r="AU184" s="719"/>
      <c r="AV184" s="719"/>
      <c r="AW184" s="719"/>
      <c r="AX184" s="719"/>
      <c r="AY184" s="719"/>
      <c r="AZ184" s="719"/>
      <c r="BA184" s="719"/>
      <c r="BB184" s="719"/>
      <c r="BC184" s="719"/>
      <c r="BD184" s="719"/>
      <c r="BE184" s="719"/>
      <c r="BF184" s="719"/>
      <c r="BG184" s="719"/>
      <c r="BH184" s="719"/>
      <c r="BI184" s="719"/>
      <c r="BJ184" s="719"/>
      <c r="BK184" s="719"/>
      <c r="BL184" s="719"/>
      <c r="BM184" s="719"/>
      <c r="BN184" s="719"/>
      <c r="BO184" s="719"/>
      <c r="BP184" s="719"/>
      <c r="BQ184" s="719"/>
      <c r="BR184" s="719"/>
      <c r="BS184" s="719"/>
      <c r="BT184" s="719"/>
      <c r="BU184" s="719"/>
      <c r="BV184" s="719"/>
      <c r="BW184" s="719"/>
      <c r="BX184" s="719"/>
      <c r="BY184" s="719"/>
      <c r="BZ184" s="719"/>
      <c r="CA184" s="719"/>
      <c r="CB184" s="719"/>
      <c r="CC184" s="719"/>
      <c r="CD184" s="719"/>
      <c r="CE184" s="719"/>
      <c r="CF184" s="719"/>
      <c r="CG184" s="719"/>
      <c r="CH184" s="719"/>
      <c r="CI184" s="719"/>
      <c r="CJ184" s="719"/>
      <c r="CK184" s="719"/>
      <c r="CL184" s="719"/>
      <c r="CM184" s="719"/>
      <c r="CN184" s="719"/>
      <c r="CO184" s="719"/>
      <c r="CP184" s="719"/>
      <c r="CQ184" s="719"/>
      <c r="CR184" s="719"/>
      <c r="CS184" s="719"/>
      <c r="CT184" s="719"/>
      <c r="CU184" s="719"/>
      <c r="CV184" s="719"/>
      <c r="CW184" s="719"/>
      <c r="CX184" s="719"/>
      <c r="CY184" s="719"/>
      <c r="CZ184" s="719"/>
      <c r="DA184" s="719"/>
      <c r="DB184" s="719"/>
      <c r="DC184" s="719"/>
      <c r="DD184" s="719"/>
      <c r="DE184" s="719"/>
      <c r="DF184" s="719"/>
      <c r="DG184" s="719"/>
      <c r="DH184" s="719"/>
      <c r="DI184" s="719"/>
      <c r="DJ184" s="719"/>
      <c r="DK184" s="719"/>
      <c r="DL184" s="719"/>
      <c r="DM184" s="719"/>
      <c r="DN184" s="719"/>
      <c r="DO184" s="719"/>
      <c r="DP184" s="719"/>
      <c r="DQ184" s="719"/>
      <c r="DR184" s="719"/>
    </row>
    <row r="185" spans="1:122" s="275" customFormat="1">
      <c r="A185" s="719"/>
      <c r="B185" s="719"/>
      <c r="C185" s="719"/>
      <c r="D185" s="719"/>
      <c r="E185" s="719"/>
      <c r="F185" s="719"/>
      <c r="G185" s="719"/>
      <c r="H185" s="719"/>
      <c r="I185" s="719"/>
      <c r="J185" s="719"/>
      <c r="K185" s="719"/>
      <c r="L185" s="719"/>
      <c r="M185" s="719"/>
      <c r="N185" s="721"/>
      <c r="O185" s="721"/>
      <c r="P185" s="719"/>
      <c r="Q185" s="719"/>
      <c r="R185" s="719"/>
      <c r="S185" s="721"/>
      <c r="T185" s="721"/>
      <c r="U185" s="719"/>
      <c r="V185" s="719"/>
      <c r="W185" s="719"/>
      <c r="X185" s="721"/>
      <c r="Y185" s="721"/>
      <c r="Z185" s="719"/>
      <c r="AA185" s="719"/>
      <c r="AB185" s="719"/>
      <c r="AC185" s="721"/>
      <c r="AD185" s="721"/>
      <c r="AE185" s="719"/>
      <c r="AF185" s="719"/>
      <c r="AG185" s="719"/>
      <c r="AH185" s="721"/>
      <c r="AI185" s="721"/>
      <c r="AJ185" s="719"/>
      <c r="AK185" s="719"/>
      <c r="AL185" s="719"/>
      <c r="AM185" s="719"/>
      <c r="AN185" s="719"/>
      <c r="AO185" s="719"/>
      <c r="AP185" s="719"/>
      <c r="AQ185" s="719"/>
      <c r="AR185" s="719"/>
      <c r="AS185" s="719"/>
      <c r="AT185" s="719"/>
      <c r="AU185" s="719"/>
      <c r="AV185" s="719"/>
      <c r="AW185" s="719"/>
      <c r="AX185" s="719"/>
      <c r="AY185" s="719"/>
      <c r="AZ185" s="719"/>
      <c r="BA185" s="719"/>
      <c r="BB185" s="719"/>
      <c r="BC185" s="719"/>
      <c r="BD185" s="719"/>
      <c r="BE185" s="719"/>
      <c r="BF185" s="719"/>
      <c r="BG185" s="719"/>
      <c r="BH185" s="719"/>
      <c r="BI185" s="719"/>
      <c r="BJ185" s="719"/>
      <c r="BK185" s="719"/>
      <c r="BL185" s="719"/>
      <c r="BM185" s="719"/>
      <c r="BN185" s="719"/>
      <c r="BO185" s="719"/>
      <c r="BP185" s="719"/>
      <c r="BQ185" s="719"/>
      <c r="BR185" s="719"/>
      <c r="BS185" s="719"/>
      <c r="BT185" s="719"/>
      <c r="BU185" s="719"/>
      <c r="BV185" s="719"/>
      <c r="BW185" s="719"/>
      <c r="BX185" s="719"/>
      <c r="BY185" s="719"/>
      <c r="BZ185" s="719"/>
      <c r="CA185" s="719"/>
      <c r="CB185" s="719"/>
      <c r="CC185" s="719"/>
      <c r="CD185" s="719"/>
      <c r="CE185" s="719"/>
      <c r="CF185" s="719"/>
      <c r="CG185" s="719"/>
      <c r="CH185" s="719"/>
      <c r="CI185" s="719"/>
      <c r="CJ185" s="719"/>
      <c r="CK185" s="719"/>
      <c r="CL185" s="719"/>
      <c r="CM185" s="719"/>
      <c r="CN185" s="719"/>
      <c r="CO185" s="719"/>
      <c r="CP185" s="719"/>
      <c r="CQ185" s="719"/>
      <c r="CR185" s="719"/>
      <c r="CS185" s="719"/>
      <c r="CT185" s="719"/>
      <c r="CU185" s="719"/>
      <c r="CV185" s="719"/>
      <c r="CW185" s="719"/>
      <c r="CX185" s="719"/>
      <c r="CY185" s="719"/>
      <c r="CZ185" s="719"/>
      <c r="DA185" s="719"/>
      <c r="DB185" s="719"/>
      <c r="DC185" s="719"/>
      <c r="DD185" s="719"/>
      <c r="DE185" s="719"/>
      <c r="DF185" s="719"/>
      <c r="DG185" s="719"/>
      <c r="DH185" s="719"/>
      <c r="DI185" s="719"/>
      <c r="DJ185" s="719"/>
      <c r="DK185" s="719"/>
      <c r="DL185" s="719"/>
      <c r="DM185" s="719"/>
      <c r="DN185" s="719"/>
      <c r="DO185" s="719"/>
      <c r="DP185" s="719"/>
      <c r="DQ185" s="719"/>
      <c r="DR185" s="719"/>
    </row>
    <row r="186" spans="1:122" s="275" customFormat="1">
      <c r="A186" s="719"/>
      <c r="B186" s="719"/>
      <c r="C186" s="719"/>
      <c r="D186" s="719"/>
      <c r="E186" s="719"/>
      <c r="F186" s="719"/>
      <c r="G186" s="719"/>
      <c r="H186" s="719"/>
      <c r="I186" s="719"/>
      <c r="J186" s="719"/>
      <c r="K186" s="719"/>
      <c r="L186" s="719"/>
      <c r="M186" s="719"/>
      <c r="N186" s="721"/>
      <c r="O186" s="721"/>
      <c r="P186" s="719"/>
      <c r="Q186" s="719"/>
      <c r="R186" s="719"/>
      <c r="S186" s="721"/>
      <c r="T186" s="721"/>
      <c r="U186" s="719"/>
      <c r="V186" s="719"/>
      <c r="W186" s="719"/>
      <c r="X186" s="721"/>
      <c r="Y186" s="721"/>
      <c r="Z186" s="719"/>
      <c r="AA186" s="719"/>
      <c r="AB186" s="719"/>
      <c r="AC186" s="721"/>
      <c r="AD186" s="721"/>
      <c r="AE186" s="719"/>
      <c r="AF186" s="719"/>
      <c r="AG186" s="719"/>
      <c r="AH186" s="721"/>
      <c r="AI186" s="721"/>
      <c r="AJ186" s="719"/>
      <c r="AK186" s="719"/>
      <c r="AL186" s="719"/>
      <c r="AM186" s="719"/>
      <c r="AN186" s="719"/>
      <c r="AO186" s="719"/>
      <c r="AP186" s="719"/>
      <c r="AQ186" s="719"/>
      <c r="AR186" s="719"/>
      <c r="AS186" s="719"/>
      <c r="AT186" s="719"/>
      <c r="AU186" s="719"/>
      <c r="AV186" s="719"/>
      <c r="AW186" s="719"/>
      <c r="AX186" s="719"/>
      <c r="AY186" s="719"/>
      <c r="AZ186" s="719"/>
      <c r="BA186" s="719"/>
      <c r="BB186" s="719"/>
      <c r="BC186" s="719"/>
      <c r="BD186" s="719"/>
      <c r="BE186" s="719"/>
      <c r="BF186" s="719"/>
      <c r="BG186" s="719"/>
      <c r="BH186" s="719"/>
      <c r="BI186" s="719"/>
      <c r="BJ186" s="719"/>
      <c r="BK186" s="719"/>
      <c r="BL186" s="719"/>
      <c r="BM186" s="719"/>
      <c r="BN186" s="719"/>
      <c r="BO186" s="719"/>
      <c r="BP186" s="719"/>
      <c r="BQ186" s="719"/>
      <c r="BR186" s="719"/>
      <c r="BS186" s="719"/>
      <c r="BT186" s="719"/>
      <c r="BU186" s="719"/>
      <c r="BV186" s="719"/>
      <c r="BW186" s="719"/>
      <c r="BX186" s="719"/>
      <c r="BY186" s="719"/>
      <c r="BZ186" s="719"/>
      <c r="CA186" s="719"/>
      <c r="CB186" s="719"/>
      <c r="CC186" s="719"/>
      <c r="CD186" s="719"/>
      <c r="CE186" s="719"/>
      <c r="CF186" s="719"/>
      <c r="CG186" s="719"/>
      <c r="CH186" s="719"/>
      <c r="CI186" s="719"/>
      <c r="CJ186" s="719"/>
      <c r="CK186" s="719"/>
      <c r="CL186" s="719"/>
      <c r="CM186" s="719"/>
      <c r="CN186" s="719"/>
      <c r="CO186" s="719"/>
      <c r="CP186" s="719"/>
      <c r="CQ186" s="719"/>
      <c r="CR186" s="719"/>
      <c r="CS186" s="719"/>
      <c r="CT186" s="719"/>
      <c r="CU186" s="719"/>
      <c r="CV186" s="719"/>
      <c r="CW186" s="719"/>
      <c r="CX186" s="719"/>
      <c r="CY186" s="719"/>
      <c r="CZ186" s="719"/>
      <c r="DA186" s="719"/>
      <c r="DB186" s="719"/>
      <c r="DC186" s="719"/>
      <c r="DD186" s="719"/>
      <c r="DE186" s="719"/>
      <c r="DF186" s="719"/>
      <c r="DG186" s="719"/>
      <c r="DH186" s="719"/>
      <c r="DI186" s="719"/>
      <c r="DJ186" s="719"/>
      <c r="DK186" s="719"/>
      <c r="DL186" s="719"/>
      <c r="DM186" s="719"/>
      <c r="DN186" s="719"/>
      <c r="DO186" s="719"/>
      <c r="DP186" s="719"/>
      <c r="DQ186" s="719"/>
      <c r="DR186" s="719"/>
    </row>
    <row r="187" spans="1:122" s="275" customFormat="1">
      <c r="A187" s="719"/>
      <c r="B187" s="719"/>
      <c r="C187" s="719"/>
      <c r="D187" s="719"/>
      <c r="E187" s="719"/>
      <c r="F187" s="719"/>
      <c r="G187" s="719"/>
      <c r="H187" s="719"/>
      <c r="I187" s="719"/>
      <c r="J187" s="719"/>
      <c r="K187" s="719"/>
      <c r="L187" s="719"/>
      <c r="M187" s="719"/>
      <c r="N187" s="721"/>
      <c r="O187" s="721"/>
      <c r="P187" s="719"/>
      <c r="Q187" s="719"/>
      <c r="R187" s="719"/>
      <c r="S187" s="721"/>
      <c r="T187" s="721"/>
      <c r="U187" s="719"/>
      <c r="V187" s="719"/>
      <c r="W187" s="719"/>
      <c r="X187" s="721"/>
      <c r="Y187" s="721"/>
      <c r="Z187" s="719"/>
      <c r="AA187" s="719"/>
      <c r="AB187" s="719"/>
      <c r="AC187" s="721"/>
      <c r="AD187" s="721"/>
      <c r="AE187" s="719"/>
      <c r="AF187" s="719"/>
      <c r="AG187" s="719"/>
      <c r="AH187" s="721"/>
      <c r="AI187" s="721"/>
      <c r="AJ187" s="719"/>
      <c r="AK187" s="719"/>
      <c r="AL187" s="719"/>
      <c r="AM187" s="719"/>
      <c r="AN187" s="719"/>
      <c r="AO187" s="719"/>
      <c r="AP187" s="719"/>
      <c r="AQ187" s="719"/>
      <c r="AR187" s="719"/>
      <c r="AS187" s="719"/>
      <c r="AT187" s="719"/>
      <c r="AU187" s="719"/>
      <c r="AV187" s="719"/>
      <c r="AW187" s="719"/>
      <c r="AX187" s="719"/>
      <c r="AY187" s="719"/>
      <c r="AZ187" s="719"/>
      <c r="BA187" s="719"/>
      <c r="BB187" s="719"/>
      <c r="BC187" s="719"/>
      <c r="BD187" s="719"/>
      <c r="BE187" s="719"/>
      <c r="BF187" s="719"/>
      <c r="BG187" s="719"/>
      <c r="BH187" s="719"/>
      <c r="BI187" s="719"/>
      <c r="BJ187" s="719"/>
      <c r="BK187" s="719"/>
      <c r="BL187" s="719"/>
      <c r="BM187" s="719"/>
      <c r="BN187" s="719"/>
      <c r="BO187" s="719"/>
      <c r="BP187" s="719"/>
      <c r="BQ187" s="719"/>
      <c r="BR187" s="719"/>
      <c r="BS187" s="719"/>
      <c r="BT187" s="719"/>
      <c r="BU187" s="719"/>
      <c r="BV187" s="719"/>
      <c r="BW187" s="719"/>
      <c r="BX187" s="719"/>
      <c r="BY187" s="719"/>
      <c r="BZ187" s="719"/>
      <c r="CA187" s="719"/>
      <c r="CB187" s="719"/>
      <c r="CC187" s="719"/>
      <c r="CD187" s="719"/>
      <c r="CE187" s="719"/>
      <c r="CF187" s="719"/>
      <c r="CG187" s="719"/>
      <c r="CH187" s="719"/>
      <c r="CI187" s="719"/>
      <c r="CJ187" s="719"/>
      <c r="CK187" s="719"/>
      <c r="CL187" s="719"/>
      <c r="CM187" s="719"/>
      <c r="CN187" s="719"/>
      <c r="CO187" s="719"/>
      <c r="CP187" s="719"/>
      <c r="CQ187" s="719"/>
      <c r="CR187" s="719"/>
      <c r="CS187" s="719"/>
      <c r="CT187" s="719"/>
      <c r="CU187" s="719"/>
      <c r="CV187" s="719"/>
      <c r="CW187" s="719"/>
      <c r="CX187" s="719"/>
      <c r="CY187" s="719"/>
      <c r="CZ187" s="719"/>
      <c r="DA187" s="719"/>
      <c r="DB187" s="719"/>
      <c r="DC187" s="719"/>
      <c r="DD187" s="719"/>
      <c r="DE187" s="719"/>
      <c r="DF187" s="719"/>
      <c r="DG187" s="719"/>
      <c r="DH187" s="719"/>
      <c r="DI187" s="719"/>
      <c r="DJ187" s="719"/>
      <c r="DK187" s="719"/>
      <c r="DL187" s="719"/>
      <c r="DM187" s="719"/>
      <c r="DN187" s="719"/>
      <c r="DO187" s="719"/>
      <c r="DP187" s="719"/>
      <c r="DQ187" s="719"/>
      <c r="DR187" s="719"/>
    </row>
    <row r="188" spans="1:122" s="275" customFormat="1">
      <c r="A188" s="719"/>
      <c r="B188" s="719"/>
      <c r="C188" s="719"/>
      <c r="D188" s="719"/>
      <c r="E188" s="719"/>
      <c r="F188" s="719"/>
      <c r="G188" s="719"/>
      <c r="H188" s="719"/>
      <c r="I188" s="719"/>
      <c r="J188" s="719"/>
      <c r="K188" s="719"/>
      <c r="L188" s="719"/>
      <c r="M188" s="719"/>
      <c r="N188" s="721"/>
      <c r="O188" s="721"/>
      <c r="P188" s="719"/>
      <c r="Q188" s="719"/>
      <c r="R188" s="719"/>
      <c r="S188" s="721"/>
      <c r="T188" s="721"/>
      <c r="U188" s="719"/>
      <c r="V188" s="719"/>
      <c r="W188" s="719"/>
      <c r="X188" s="721"/>
      <c r="Y188" s="721"/>
      <c r="Z188" s="719"/>
      <c r="AA188" s="719"/>
      <c r="AB188" s="719"/>
      <c r="AC188" s="721"/>
      <c r="AD188" s="721"/>
      <c r="AE188" s="719"/>
      <c r="AF188" s="719"/>
      <c r="AG188" s="719"/>
      <c r="AH188" s="721"/>
      <c r="AI188" s="721"/>
      <c r="AJ188" s="719"/>
      <c r="AK188" s="719"/>
      <c r="AL188" s="719"/>
      <c r="AM188" s="719"/>
      <c r="AN188" s="719"/>
      <c r="AO188" s="719"/>
      <c r="AP188" s="719"/>
      <c r="AQ188" s="719"/>
      <c r="AR188" s="719"/>
      <c r="AS188" s="719"/>
      <c r="AT188" s="719"/>
      <c r="AU188" s="719"/>
      <c r="AV188" s="719"/>
      <c r="AW188" s="719"/>
      <c r="AX188" s="719"/>
      <c r="AY188" s="719"/>
      <c r="AZ188" s="719"/>
      <c r="BA188" s="719"/>
      <c r="BB188" s="719"/>
      <c r="BC188" s="719"/>
      <c r="BD188" s="719"/>
      <c r="BE188" s="719"/>
      <c r="BF188" s="719"/>
      <c r="BG188" s="719"/>
      <c r="BH188" s="719"/>
      <c r="BI188" s="719"/>
      <c r="BJ188" s="719"/>
      <c r="BK188" s="719"/>
      <c r="BL188" s="719"/>
      <c r="BM188" s="719"/>
      <c r="BN188" s="719"/>
      <c r="BO188" s="719"/>
      <c r="BP188" s="719"/>
      <c r="BQ188" s="719"/>
      <c r="BR188" s="719"/>
      <c r="BS188" s="719"/>
      <c r="BT188" s="719"/>
      <c r="BU188" s="719"/>
      <c r="BV188" s="719"/>
      <c r="BW188" s="719"/>
      <c r="BX188" s="719"/>
      <c r="BY188" s="719"/>
      <c r="BZ188" s="719"/>
      <c r="CA188" s="719"/>
      <c r="CB188" s="719"/>
      <c r="CC188" s="719"/>
      <c r="CD188" s="719"/>
      <c r="CE188" s="719"/>
      <c r="CF188" s="719"/>
      <c r="CG188" s="719"/>
      <c r="CH188" s="719"/>
      <c r="CI188" s="719"/>
      <c r="CJ188" s="719"/>
      <c r="CK188" s="719"/>
      <c r="CL188" s="719"/>
      <c r="CM188" s="719"/>
      <c r="CN188" s="719"/>
      <c r="CO188" s="719"/>
      <c r="CP188" s="719"/>
      <c r="CQ188" s="719"/>
      <c r="CR188" s="719"/>
      <c r="CS188" s="719"/>
      <c r="CT188" s="719"/>
      <c r="CU188" s="719"/>
      <c r="CV188" s="719"/>
      <c r="CW188" s="719"/>
      <c r="CX188" s="719"/>
      <c r="CY188" s="719"/>
      <c r="CZ188" s="719"/>
      <c r="DA188" s="719"/>
      <c r="DB188" s="719"/>
      <c r="DC188" s="719"/>
      <c r="DD188" s="719"/>
      <c r="DE188" s="719"/>
      <c r="DF188" s="719"/>
      <c r="DG188" s="719"/>
      <c r="DH188" s="719"/>
      <c r="DI188" s="719"/>
      <c r="DJ188" s="719"/>
      <c r="DK188" s="719"/>
      <c r="DL188" s="719"/>
      <c r="DM188" s="719"/>
      <c r="DN188" s="719"/>
      <c r="DO188" s="719"/>
      <c r="DP188" s="719"/>
      <c r="DQ188" s="719"/>
      <c r="DR188" s="719"/>
    </row>
    <row r="189" spans="1:122" s="275" customFormat="1">
      <c r="A189" s="719"/>
      <c r="B189" s="719"/>
      <c r="C189" s="719"/>
      <c r="D189" s="719"/>
      <c r="E189" s="719"/>
      <c r="F189" s="719"/>
      <c r="G189" s="719"/>
      <c r="H189" s="719"/>
      <c r="I189" s="719"/>
      <c r="J189" s="719"/>
      <c r="K189" s="719"/>
      <c r="L189" s="719"/>
      <c r="M189" s="719"/>
      <c r="N189" s="721"/>
      <c r="O189" s="721"/>
      <c r="P189" s="719"/>
      <c r="Q189" s="719"/>
      <c r="R189" s="719"/>
      <c r="S189" s="721"/>
      <c r="T189" s="721"/>
      <c r="U189" s="719"/>
      <c r="V189" s="719"/>
      <c r="W189" s="719"/>
      <c r="X189" s="721"/>
      <c r="Y189" s="721"/>
      <c r="Z189" s="719"/>
      <c r="AA189" s="719"/>
      <c r="AB189" s="719"/>
      <c r="AC189" s="721"/>
      <c r="AD189" s="721"/>
      <c r="AE189" s="719"/>
      <c r="AF189" s="719"/>
      <c r="AG189" s="719"/>
      <c r="AH189" s="721"/>
      <c r="AI189" s="721"/>
      <c r="AJ189" s="719"/>
      <c r="AK189" s="719"/>
      <c r="AL189" s="719"/>
      <c r="AM189" s="719"/>
      <c r="AN189" s="719"/>
      <c r="AO189" s="719"/>
      <c r="AP189" s="719"/>
      <c r="AQ189" s="719"/>
      <c r="AR189" s="719"/>
      <c r="AS189" s="719"/>
      <c r="AT189" s="719"/>
      <c r="AU189" s="719"/>
      <c r="AV189" s="719"/>
      <c r="AW189" s="719"/>
      <c r="AX189" s="719"/>
      <c r="AY189" s="719"/>
      <c r="AZ189" s="719"/>
      <c r="BA189" s="719"/>
      <c r="BB189" s="719"/>
      <c r="BC189" s="719"/>
      <c r="BD189" s="719"/>
      <c r="BE189" s="719"/>
      <c r="BF189" s="719"/>
      <c r="BG189" s="719"/>
      <c r="BH189" s="719"/>
      <c r="BI189" s="719"/>
      <c r="BJ189" s="719"/>
      <c r="BK189" s="719"/>
      <c r="BL189" s="719"/>
      <c r="BM189" s="719"/>
      <c r="BN189" s="719"/>
      <c r="BO189" s="719"/>
      <c r="BP189" s="719"/>
      <c r="BQ189" s="719"/>
      <c r="BR189" s="719"/>
      <c r="BS189" s="719"/>
      <c r="BT189" s="719"/>
      <c r="BU189" s="719"/>
      <c r="BV189" s="719"/>
      <c r="BW189" s="719"/>
      <c r="BX189" s="719"/>
      <c r="BY189" s="719"/>
      <c r="BZ189" s="719"/>
      <c r="CA189" s="719"/>
      <c r="CB189" s="719"/>
      <c r="CC189" s="719"/>
      <c r="CD189" s="719"/>
      <c r="CE189" s="719"/>
      <c r="CF189" s="719"/>
      <c r="CG189" s="719"/>
      <c r="CH189" s="719"/>
      <c r="CI189" s="719"/>
      <c r="CJ189" s="719"/>
      <c r="CK189" s="719"/>
      <c r="CL189" s="719"/>
      <c r="CM189" s="719"/>
      <c r="CN189" s="719"/>
      <c r="CO189" s="719"/>
      <c r="CP189" s="719"/>
      <c r="CQ189" s="719"/>
      <c r="CR189" s="719"/>
      <c r="CS189" s="719"/>
      <c r="CT189" s="719"/>
      <c r="CU189" s="719"/>
      <c r="CV189" s="719"/>
      <c r="CW189" s="719"/>
      <c r="CX189" s="719"/>
      <c r="CY189" s="719"/>
      <c r="CZ189" s="719"/>
      <c r="DA189" s="719"/>
      <c r="DB189" s="719"/>
      <c r="DC189" s="719"/>
      <c r="DD189" s="719"/>
      <c r="DE189" s="719"/>
      <c r="DF189" s="719"/>
      <c r="DG189" s="719"/>
      <c r="DH189" s="719"/>
      <c r="DI189" s="719"/>
      <c r="DJ189" s="719"/>
      <c r="DK189" s="719"/>
      <c r="DL189" s="719"/>
      <c r="DM189" s="719"/>
      <c r="DN189" s="719"/>
      <c r="DO189" s="719"/>
      <c r="DP189" s="719"/>
      <c r="DQ189" s="719"/>
      <c r="DR189" s="719"/>
    </row>
    <row r="190" spans="1:122" s="275" customFormat="1">
      <c r="A190" s="719"/>
      <c r="B190" s="719"/>
      <c r="C190" s="719"/>
      <c r="D190" s="719"/>
      <c r="E190" s="719"/>
      <c r="F190" s="719"/>
      <c r="G190" s="719"/>
      <c r="H190" s="719"/>
      <c r="I190" s="719"/>
      <c r="J190" s="719"/>
      <c r="K190" s="719"/>
      <c r="L190" s="719"/>
      <c r="M190" s="719"/>
      <c r="N190" s="721"/>
      <c r="O190" s="721"/>
      <c r="P190" s="719"/>
      <c r="Q190" s="719"/>
      <c r="R190" s="719"/>
      <c r="S190" s="721"/>
      <c r="T190" s="721"/>
      <c r="U190" s="719"/>
      <c r="V190" s="719"/>
      <c r="W190" s="719"/>
      <c r="X190" s="721"/>
      <c r="Y190" s="721"/>
      <c r="Z190" s="719"/>
      <c r="AA190" s="719"/>
      <c r="AB190" s="719"/>
      <c r="AC190" s="721"/>
      <c r="AD190" s="721"/>
      <c r="AE190" s="719"/>
      <c r="AF190" s="719"/>
      <c r="AG190" s="719"/>
      <c r="AH190" s="721"/>
      <c r="AI190" s="721"/>
      <c r="AJ190" s="719"/>
      <c r="AK190" s="719"/>
      <c r="AL190" s="719"/>
      <c r="AM190" s="719"/>
      <c r="AN190" s="719"/>
      <c r="AO190" s="719"/>
      <c r="AP190" s="719"/>
      <c r="AQ190" s="719"/>
      <c r="AR190" s="719"/>
      <c r="AS190" s="719"/>
      <c r="AT190" s="719"/>
      <c r="AU190" s="719"/>
      <c r="AV190" s="719"/>
      <c r="AW190" s="719"/>
      <c r="AX190" s="719"/>
      <c r="AY190" s="719"/>
      <c r="AZ190" s="719"/>
      <c r="BA190" s="719"/>
      <c r="BB190" s="719"/>
      <c r="BC190" s="719"/>
      <c r="BD190" s="719"/>
      <c r="BE190" s="719"/>
      <c r="BF190" s="719"/>
      <c r="BG190" s="719"/>
      <c r="BH190" s="719"/>
      <c r="BI190" s="719"/>
      <c r="BJ190" s="719"/>
      <c r="BK190" s="719"/>
      <c r="BL190" s="719"/>
      <c r="BM190" s="719"/>
      <c r="BN190" s="719"/>
      <c r="BO190" s="719"/>
      <c r="BP190" s="719"/>
      <c r="BQ190" s="719"/>
      <c r="BR190" s="719"/>
      <c r="BS190" s="719"/>
      <c r="BT190" s="719"/>
      <c r="BU190" s="719"/>
      <c r="BV190" s="719"/>
      <c r="BW190" s="719"/>
      <c r="BX190" s="719"/>
      <c r="BY190" s="719"/>
      <c r="BZ190" s="719"/>
      <c r="CA190" s="719"/>
      <c r="CB190" s="719"/>
      <c r="CC190" s="719"/>
      <c r="CD190" s="719"/>
      <c r="CE190" s="719"/>
      <c r="CF190" s="719"/>
      <c r="CG190" s="719"/>
      <c r="CH190" s="719"/>
      <c r="CI190" s="719"/>
      <c r="CJ190" s="719"/>
      <c r="CK190" s="719"/>
      <c r="CL190" s="719"/>
      <c r="CM190" s="719"/>
      <c r="CN190" s="719"/>
      <c r="CO190" s="719"/>
      <c r="CP190" s="719"/>
      <c r="CQ190" s="719"/>
      <c r="CR190" s="719"/>
      <c r="CS190" s="719"/>
      <c r="CT190" s="719"/>
      <c r="CU190" s="719"/>
      <c r="CV190" s="719"/>
      <c r="CW190" s="719"/>
      <c r="CX190" s="719"/>
      <c r="CY190" s="719"/>
      <c r="CZ190" s="719"/>
      <c r="DA190" s="719"/>
      <c r="DB190" s="719"/>
      <c r="DC190" s="719"/>
      <c r="DD190" s="719"/>
      <c r="DE190" s="719"/>
      <c r="DF190" s="719"/>
      <c r="DG190" s="719"/>
      <c r="DH190" s="719"/>
      <c r="DI190" s="719"/>
      <c r="DJ190" s="719"/>
      <c r="DK190" s="719"/>
      <c r="DL190" s="719"/>
      <c r="DM190" s="719"/>
      <c r="DN190" s="719"/>
      <c r="DO190" s="719"/>
      <c r="DP190" s="719"/>
      <c r="DQ190" s="719"/>
      <c r="DR190" s="719"/>
    </row>
    <row r="191" spans="1:122" s="275" customFormat="1">
      <c r="A191" s="719"/>
      <c r="B191" s="719"/>
      <c r="C191" s="719"/>
      <c r="D191" s="719"/>
      <c r="E191" s="719"/>
      <c r="F191" s="719"/>
      <c r="G191" s="719"/>
      <c r="H191" s="719"/>
      <c r="I191" s="719"/>
      <c r="J191" s="719"/>
      <c r="K191" s="719"/>
      <c r="L191" s="719"/>
      <c r="M191" s="719"/>
      <c r="N191" s="721"/>
      <c r="O191" s="721"/>
      <c r="P191" s="719"/>
      <c r="Q191" s="719"/>
      <c r="R191" s="719"/>
      <c r="S191" s="721"/>
      <c r="T191" s="721"/>
      <c r="U191" s="719"/>
      <c r="V191" s="719"/>
      <c r="W191" s="719"/>
      <c r="X191" s="721"/>
      <c r="Y191" s="721"/>
      <c r="Z191" s="719"/>
      <c r="AA191" s="719"/>
      <c r="AB191" s="719"/>
      <c r="AC191" s="721"/>
      <c r="AD191" s="721"/>
      <c r="AE191" s="719"/>
      <c r="AF191" s="719"/>
      <c r="AG191" s="719"/>
      <c r="AH191" s="721"/>
      <c r="AI191" s="721"/>
      <c r="AJ191" s="719"/>
      <c r="AK191" s="719"/>
      <c r="AL191" s="719"/>
      <c r="AM191" s="719"/>
      <c r="AN191" s="719"/>
      <c r="AO191" s="719"/>
      <c r="AP191" s="719"/>
      <c r="AQ191" s="719"/>
      <c r="AR191" s="719"/>
      <c r="AS191" s="719"/>
      <c r="AT191" s="719"/>
      <c r="AU191" s="719"/>
      <c r="AV191" s="719"/>
      <c r="AW191" s="719"/>
      <c r="AX191" s="719"/>
      <c r="AY191" s="719"/>
      <c r="AZ191" s="719"/>
      <c r="BA191" s="719"/>
      <c r="BB191" s="719"/>
      <c r="BC191" s="719"/>
      <c r="BD191" s="719"/>
      <c r="BE191" s="719"/>
      <c r="BF191" s="719"/>
      <c r="BG191" s="719"/>
      <c r="BH191" s="719"/>
      <c r="BI191" s="719"/>
      <c r="BJ191" s="719"/>
      <c r="BK191" s="719"/>
      <c r="BL191" s="719"/>
      <c r="BM191" s="719"/>
      <c r="BN191" s="719"/>
      <c r="BO191" s="719"/>
      <c r="BP191" s="719"/>
      <c r="BQ191" s="719"/>
      <c r="BR191" s="719"/>
      <c r="BS191" s="719"/>
      <c r="BT191" s="719"/>
      <c r="BU191" s="719"/>
      <c r="BV191" s="719"/>
      <c r="BW191" s="719"/>
      <c r="BX191" s="719"/>
      <c r="BY191" s="719"/>
      <c r="BZ191" s="719"/>
      <c r="CA191" s="719"/>
      <c r="CB191" s="719"/>
      <c r="CC191" s="719"/>
      <c r="CD191" s="719"/>
      <c r="CE191" s="719"/>
      <c r="CF191" s="719"/>
      <c r="CG191" s="719"/>
      <c r="CH191" s="719"/>
      <c r="CI191" s="719"/>
      <c r="CJ191" s="719"/>
      <c r="CK191" s="719"/>
      <c r="CL191" s="719"/>
      <c r="CM191" s="719"/>
      <c r="CN191" s="719"/>
      <c r="CO191" s="719"/>
      <c r="CP191" s="719"/>
      <c r="CQ191" s="719"/>
      <c r="CR191" s="719"/>
      <c r="CS191" s="719"/>
      <c r="CT191" s="719"/>
      <c r="CU191" s="719"/>
      <c r="CV191" s="719"/>
      <c r="CW191" s="719"/>
      <c r="CX191" s="719"/>
      <c r="CY191" s="719"/>
      <c r="CZ191" s="719"/>
      <c r="DA191" s="719"/>
      <c r="DB191" s="719"/>
      <c r="DC191" s="719"/>
      <c r="DD191" s="719"/>
      <c r="DE191" s="719"/>
      <c r="DF191" s="719"/>
      <c r="DG191" s="719"/>
      <c r="DH191" s="719"/>
      <c r="DI191" s="719"/>
      <c r="DJ191" s="719"/>
      <c r="DK191" s="719"/>
      <c r="DL191" s="719"/>
      <c r="DM191" s="719"/>
      <c r="DN191" s="719"/>
      <c r="DO191" s="719"/>
      <c r="DP191" s="719"/>
      <c r="DQ191" s="719"/>
      <c r="DR191" s="719"/>
    </row>
    <row r="192" spans="1:122" s="275" customFormat="1">
      <c r="A192" s="719"/>
      <c r="B192" s="719"/>
      <c r="C192" s="719"/>
      <c r="D192" s="719"/>
      <c r="E192" s="719"/>
      <c r="F192" s="719"/>
      <c r="G192" s="719"/>
      <c r="H192" s="719"/>
      <c r="I192" s="719"/>
      <c r="J192" s="719"/>
      <c r="K192" s="719"/>
      <c r="L192" s="719"/>
      <c r="M192" s="719"/>
      <c r="N192" s="721"/>
      <c r="O192" s="721"/>
      <c r="P192" s="719"/>
      <c r="Q192" s="719"/>
      <c r="R192" s="719"/>
      <c r="S192" s="721"/>
      <c r="T192" s="721"/>
      <c r="U192" s="719"/>
      <c r="V192" s="719"/>
      <c r="W192" s="719"/>
      <c r="X192" s="721"/>
      <c r="Y192" s="721"/>
      <c r="Z192" s="719"/>
      <c r="AA192" s="719"/>
      <c r="AB192" s="719"/>
      <c r="AC192" s="721"/>
      <c r="AD192" s="721"/>
      <c r="AE192" s="719"/>
      <c r="AF192" s="719"/>
      <c r="AG192" s="719"/>
      <c r="AH192" s="721"/>
      <c r="AI192" s="721"/>
      <c r="AJ192" s="719"/>
      <c r="AK192" s="719"/>
      <c r="AL192" s="719"/>
      <c r="AM192" s="719"/>
      <c r="AN192" s="719"/>
      <c r="AO192" s="719"/>
      <c r="AP192" s="719"/>
      <c r="AQ192" s="719"/>
      <c r="AR192" s="719"/>
      <c r="AS192" s="719"/>
      <c r="AT192" s="719"/>
      <c r="AU192" s="719"/>
      <c r="AV192" s="719"/>
      <c r="AW192" s="719"/>
      <c r="AX192" s="719"/>
      <c r="AY192" s="719"/>
      <c r="AZ192" s="719"/>
      <c r="BA192" s="719"/>
      <c r="BB192" s="719"/>
      <c r="BC192" s="719"/>
      <c r="BD192" s="719"/>
      <c r="BE192" s="719"/>
      <c r="BF192" s="719"/>
      <c r="BG192" s="719"/>
      <c r="BH192" s="719"/>
      <c r="BI192" s="719"/>
      <c r="BJ192" s="719"/>
      <c r="BK192" s="719"/>
      <c r="BL192" s="719"/>
      <c r="BM192" s="719"/>
      <c r="BN192" s="719"/>
      <c r="BO192" s="719"/>
      <c r="BP192" s="719"/>
      <c r="BQ192" s="719"/>
      <c r="BR192" s="719"/>
      <c r="BS192" s="719"/>
      <c r="BT192" s="719"/>
      <c r="BU192" s="719"/>
      <c r="BV192" s="719"/>
      <c r="BW192" s="719"/>
      <c r="BX192" s="719"/>
      <c r="BY192" s="719"/>
      <c r="BZ192" s="719"/>
      <c r="CA192" s="719"/>
      <c r="CB192" s="719"/>
      <c r="CC192" s="719"/>
      <c r="CD192" s="719"/>
      <c r="CE192" s="719"/>
      <c r="CF192" s="719"/>
      <c r="CG192" s="719"/>
      <c r="CH192" s="719"/>
      <c r="CI192" s="719"/>
      <c r="CJ192" s="719"/>
      <c r="CK192" s="719"/>
      <c r="CL192" s="719"/>
      <c r="CM192" s="719"/>
      <c r="CN192" s="719"/>
      <c r="CO192" s="719"/>
      <c r="CP192" s="719"/>
      <c r="CQ192" s="719"/>
      <c r="CR192" s="719"/>
      <c r="CS192" s="719"/>
      <c r="CT192" s="719"/>
      <c r="CU192" s="719"/>
      <c r="CV192" s="719"/>
      <c r="CW192" s="719"/>
      <c r="CX192" s="719"/>
      <c r="CY192" s="719"/>
      <c r="CZ192" s="719"/>
      <c r="DA192" s="719"/>
      <c r="DB192" s="719"/>
      <c r="DC192" s="719"/>
      <c r="DD192" s="719"/>
      <c r="DE192" s="719"/>
      <c r="DF192" s="719"/>
      <c r="DG192" s="719"/>
      <c r="DH192" s="719"/>
      <c r="DI192" s="719"/>
      <c r="DJ192" s="719"/>
      <c r="DK192" s="719"/>
      <c r="DL192" s="719"/>
      <c r="DM192" s="719"/>
      <c r="DN192" s="719"/>
      <c r="DO192" s="719"/>
      <c r="DP192" s="719"/>
      <c r="DQ192" s="719"/>
      <c r="DR192" s="719"/>
    </row>
    <row r="193" spans="1:122" s="275" customFormat="1">
      <c r="A193" s="719"/>
      <c r="B193" s="719"/>
      <c r="C193" s="719"/>
      <c r="D193" s="719"/>
      <c r="E193" s="719"/>
      <c r="F193" s="719"/>
      <c r="G193" s="719"/>
      <c r="H193" s="719"/>
      <c r="I193" s="719"/>
      <c r="J193" s="719"/>
      <c r="K193" s="719"/>
      <c r="L193" s="719"/>
      <c r="M193" s="719"/>
      <c r="N193" s="721"/>
      <c r="O193" s="721"/>
      <c r="P193" s="719"/>
      <c r="Q193" s="719"/>
      <c r="R193" s="719"/>
      <c r="S193" s="721"/>
      <c r="T193" s="721"/>
      <c r="U193" s="719"/>
      <c r="V193" s="719"/>
      <c r="W193" s="719"/>
      <c r="X193" s="721"/>
      <c r="Y193" s="721"/>
      <c r="Z193" s="719"/>
      <c r="AA193" s="719"/>
      <c r="AB193" s="719"/>
      <c r="AC193" s="721"/>
      <c r="AD193" s="721"/>
      <c r="AE193" s="719"/>
      <c r="AF193" s="719"/>
      <c r="AG193" s="719"/>
      <c r="AH193" s="721"/>
      <c r="AI193" s="721"/>
      <c r="AJ193" s="719"/>
      <c r="AK193" s="719"/>
      <c r="AL193" s="719"/>
      <c r="AM193" s="719"/>
      <c r="AN193" s="719"/>
      <c r="AO193" s="719"/>
      <c r="AP193" s="719"/>
      <c r="AQ193" s="719"/>
      <c r="AR193" s="719"/>
      <c r="AS193" s="719"/>
      <c r="AT193" s="719"/>
      <c r="AU193" s="719"/>
      <c r="AV193" s="719"/>
      <c r="AW193" s="719"/>
      <c r="AX193" s="719"/>
      <c r="AY193" s="719"/>
      <c r="AZ193" s="719"/>
      <c r="BA193" s="719"/>
      <c r="BB193" s="719"/>
      <c r="BC193" s="719"/>
      <c r="BD193" s="719"/>
      <c r="BE193" s="719"/>
      <c r="BF193" s="719"/>
      <c r="BG193" s="719"/>
      <c r="BH193" s="719"/>
      <c r="BI193" s="719"/>
      <c r="BJ193" s="719"/>
      <c r="BK193" s="719"/>
      <c r="BL193" s="719"/>
      <c r="BM193" s="719"/>
      <c r="BN193" s="719"/>
      <c r="BO193" s="719"/>
      <c r="BP193" s="719"/>
      <c r="BQ193" s="719"/>
      <c r="BR193" s="719"/>
      <c r="BS193" s="719"/>
      <c r="BT193" s="719"/>
      <c r="BU193" s="719"/>
      <c r="BV193" s="719"/>
      <c r="BW193" s="719"/>
      <c r="BX193" s="719"/>
      <c r="BY193" s="719"/>
      <c r="BZ193" s="719"/>
      <c r="CA193" s="719"/>
      <c r="CB193" s="719"/>
      <c r="CC193" s="719"/>
      <c r="CD193" s="719"/>
      <c r="CE193" s="719"/>
      <c r="CF193" s="719"/>
      <c r="CG193" s="719"/>
      <c r="CH193" s="719"/>
      <c r="CI193" s="719"/>
      <c r="CJ193" s="719"/>
      <c r="CK193" s="719"/>
      <c r="CL193" s="719"/>
      <c r="CM193" s="719"/>
      <c r="CN193" s="719"/>
      <c r="CO193" s="719"/>
      <c r="CP193" s="719"/>
      <c r="CQ193" s="719"/>
      <c r="CR193" s="719"/>
      <c r="CS193" s="719"/>
      <c r="CT193" s="719"/>
      <c r="CU193" s="719"/>
      <c r="CV193" s="719"/>
      <c r="CW193" s="719"/>
      <c r="CX193" s="719"/>
      <c r="CY193" s="719"/>
      <c r="CZ193" s="719"/>
      <c r="DA193" s="719"/>
      <c r="DB193" s="719"/>
      <c r="DC193" s="719"/>
      <c r="DD193" s="719"/>
      <c r="DE193" s="719"/>
      <c r="DF193" s="719"/>
      <c r="DG193" s="719"/>
      <c r="DH193" s="719"/>
      <c r="DI193" s="719"/>
      <c r="DJ193" s="719"/>
      <c r="DK193" s="719"/>
      <c r="DL193" s="719"/>
      <c r="DM193" s="719"/>
      <c r="DN193" s="719"/>
      <c r="DO193" s="719"/>
      <c r="DP193" s="719"/>
      <c r="DQ193" s="719"/>
      <c r="DR193" s="719"/>
    </row>
    <row r="194" spans="1:122" s="275" customFormat="1">
      <c r="A194" s="719"/>
      <c r="B194" s="719"/>
      <c r="C194" s="719"/>
      <c r="D194" s="719"/>
      <c r="E194" s="719"/>
      <c r="F194" s="719"/>
      <c r="G194" s="719"/>
      <c r="H194" s="719"/>
      <c r="I194" s="719"/>
      <c r="J194" s="719"/>
      <c r="K194" s="719"/>
      <c r="L194" s="719"/>
      <c r="M194" s="719"/>
      <c r="N194" s="721"/>
      <c r="O194" s="721"/>
      <c r="P194" s="719"/>
      <c r="Q194" s="719"/>
      <c r="R194" s="719"/>
      <c r="S194" s="721"/>
      <c r="T194" s="721"/>
      <c r="U194" s="719"/>
      <c r="V194" s="719"/>
      <c r="W194" s="719"/>
      <c r="X194" s="721"/>
      <c r="Y194" s="721"/>
      <c r="Z194" s="719"/>
      <c r="AA194" s="719"/>
      <c r="AB194" s="719"/>
      <c r="AC194" s="721"/>
      <c r="AD194" s="721"/>
      <c r="AE194" s="719"/>
      <c r="AF194" s="719"/>
      <c r="AG194" s="719"/>
      <c r="AH194" s="721"/>
      <c r="AI194" s="721"/>
      <c r="AJ194" s="719"/>
      <c r="AK194" s="719"/>
      <c r="AL194" s="719"/>
      <c r="AM194" s="719"/>
      <c r="AN194" s="719"/>
      <c r="AO194" s="719"/>
      <c r="AP194" s="719"/>
      <c r="AQ194" s="719"/>
      <c r="AR194" s="719"/>
      <c r="AS194" s="719"/>
      <c r="AT194" s="719"/>
      <c r="AU194" s="719"/>
      <c r="AV194" s="719"/>
      <c r="AW194" s="719"/>
      <c r="AX194" s="719"/>
      <c r="AY194" s="719"/>
      <c r="AZ194" s="719"/>
      <c r="BA194" s="719"/>
      <c r="BB194" s="719"/>
      <c r="BC194" s="719"/>
      <c r="BD194" s="719"/>
      <c r="BE194" s="719"/>
      <c r="BF194" s="719"/>
      <c r="BG194" s="719"/>
      <c r="BH194" s="719"/>
      <c r="BI194" s="719"/>
      <c r="BJ194" s="719"/>
      <c r="BK194" s="719"/>
      <c r="BL194" s="719"/>
      <c r="BM194" s="719"/>
      <c r="BN194" s="719"/>
      <c r="BO194" s="719"/>
      <c r="BP194" s="719"/>
      <c r="BQ194" s="719"/>
      <c r="BR194" s="719"/>
      <c r="BS194" s="719"/>
      <c r="BT194" s="719"/>
      <c r="BU194" s="719"/>
      <c r="BV194" s="719"/>
      <c r="BW194" s="719"/>
      <c r="BX194" s="719"/>
      <c r="BY194" s="719"/>
      <c r="BZ194" s="719"/>
      <c r="CA194" s="719"/>
      <c r="CB194" s="719"/>
      <c r="CC194" s="719"/>
      <c r="CD194" s="719"/>
      <c r="CE194" s="719"/>
      <c r="CF194" s="719"/>
      <c r="CG194" s="719"/>
      <c r="CH194" s="719"/>
      <c r="CI194" s="719"/>
      <c r="CJ194" s="719"/>
      <c r="CK194" s="719"/>
      <c r="CL194" s="719"/>
      <c r="CM194" s="719"/>
      <c r="CN194" s="719"/>
      <c r="CO194" s="719"/>
      <c r="CP194" s="719"/>
      <c r="CQ194" s="719"/>
      <c r="CR194" s="719"/>
      <c r="CS194" s="719"/>
      <c r="CT194" s="719"/>
      <c r="CU194" s="719"/>
      <c r="CV194" s="719"/>
      <c r="CW194" s="719"/>
      <c r="CX194" s="719"/>
      <c r="CY194" s="719"/>
      <c r="CZ194" s="719"/>
      <c r="DA194" s="719"/>
      <c r="DB194" s="719"/>
      <c r="DC194" s="719"/>
      <c r="DD194" s="719"/>
      <c r="DE194" s="719"/>
      <c r="DF194" s="719"/>
      <c r="DG194" s="719"/>
      <c r="DH194" s="719"/>
      <c r="DI194" s="719"/>
      <c r="DJ194" s="719"/>
      <c r="DK194" s="719"/>
      <c r="DL194" s="719"/>
      <c r="DM194" s="719"/>
      <c r="DN194" s="719"/>
      <c r="DO194" s="719"/>
      <c r="DP194" s="719"/>
      <c r="DQ194" s="719"/>
      <c r="DR194" s="719"/>
    </row>
    <row r="195" spans="1:122" s="275" customFormat="1">
      <c r="A195" s="719"/>
      <c r="B195" s="719"/>
      <c r="C195" s="719"/>
      <c r="D195" s="719"/>
      <c r="E195" s="719"/>
      <c r="F195" s="719"/>
      <c r="G195" s="719"/>
      <c r="H195" s="719"/>
      <c r="I195" s="719"/>
      <c r="J195" s="719"/>
      <c r="K195" s="719"/>
      <c r="L195" s="719"/>
      <c r="M195" s="719"/>
      <c r="N195" s="721"/>
      <c r="O195" s="721"/>
      <c r="P195" s="719"/>
      <c r="Q195" s="719"/>
      <c r="R195" s="719"/>
      <c r="S195" s="721"/>
      <c r="T195" s="721"/>
      <c r="U195" s="719"/>
      <c r="V195" s="719"/>
      <c r="W195" s="719"/>
      <c r="X195" s="721"/>
      <c r="Y195" s="721"/>
      <c r="Z195" s="719"/>
      <c r="AA195" s="719"/>
      <c r="AB195" s="719"/>
      <c r="AC195" s="721"/>
      <c r="AD195" s="721"/>
      <c r="AE195" s="719"/>
      <c r="AF195" s="719"/>
      <c r="AG195" s="719"/>
      <c r="AH195" s="721"/>
      <c r="AI195" s="721"/>
      <c r="AJ195" s="719"/>
      <c r="AK195" s="719"/>
      <c r="AL195" s="719"/>
      <c r="AM195" s="719"/>
      <c r="AN195" s="719"/>
      <c r="AO195" s="719"/>
      <c r="AP195" s="719"/>
      <c r="AQ195" s="719"/>
      <c r="AR195" s="719"/>
      <c r="AS195" s="719"/>
      <c r="AT195" s="719"/>
      <c r="AU195" s="719"/>
      <c r="AV195" s="719"/>
      <c r="AW195" s="719"/>
      <c r="AX195" s="719"/>
      <c r="AY195" s="719"/>
      <c r="AZ195" s="719"/>
      <c r="BA195" s="719"/>
      <c r="BB195" s="719"/>
      <c r="BC195" s="719"/>
      <c r="BD195" s="719"/>
      <c r="BE195" s="719"/>
      <c r="BF195" s="719"/>
      <c r="BG195" s="719"/>
      <c r="BH195" s="719"/>
      <c r="BI195" s="719"/>
      <c r="BJ195" s="719"/>
      <c r="BK195" s="719"/>
      <c r="BL195" s="719"/>
      <c r="BM195" s="719"/>
      <c r="BN195" s="719"/>
      <c r="BO195" s="719"/>
      <c r="BP195" s="719"/>
      <c r="BQ195" s="719"/>
      <c r="BR195" s="719"/>
      <c r="BS195" s="719"/>
      <c r="BT195" s="719"/>
      <c r="BU195" s="719"/>
      <c r="BV195" s="719"/>
      <c r="BW195" s="719"/>
      <c r="BX195" s="719"/>
      <c r="BY195" s="719"/>
      <c r="BZ195" s="719"/>
      <c r="CA195" s="719"/>
      <c r="CB195" s="719"/>
      <c r="CC195" s="719"/>
      <c r="CD195" s="719"/>
      <c r="CE195" s="719"/>
      <c r="CF195" s="719"/>
      <c r="CG195" s="719"/>
      <c r="CH195" s="719"/>
      <c r="CI195" s="719"/>
      <c r="CJ195" s="719"/>
      <c r="CK195" s="719"/>
      <c r="CL195" s="719"/>
      <c r="CM195" s="719"/>
      <c r="CN195" s="719"/>
      <c r="CO195" s="719"/>
      <c r="CP195" s="719"/>
      <c r="CQ195" s="719"/>
      <c r="CR195" s="719"/>
      <c r="CS195" s="719"/>
      <c r="CT195" s="719"/>
      <c r="CU195" s="719"/>
      <c r="CV195" s="719"/>
      <c r="CW195" s="719"/>
      <c r="CX195" s="719"/>
      <c r="CY195" s="719"/>
      <c r="CZ195" s="719"/>
      <c r="DA195" s="719"/>
      <c r="DB195" s="719"/>
      <c r="DC195" s="719"/>
      <c r="DD195" s="719"/>
      <c r="DE195" s="719"/>
      <c r="DF195" s="719"/>
      <c r="DG195" s="719"/>
      <c r="DH195" s="719"/>
      <c r="DI195" s="719"/>
      <c r="DJ195" s="719"/>
      <c r="DK195" s="719"/>
      <c r="DL195" s="719"/>
      <c r="DM195" s="719"/>
      <c r="DN195" s="719"/>
      <c r="DO195" s="719"/>
      <c r="DP195" s="719"/>
      <c r="DQ195" s="719"/>
      <c r="DR195" s="719"/>
    </row>
    <row r="196" spans="1:122" s="275" customFormat="1">
      <c r="A196" s="719"/>
      <c r="B196" s="719"/>
      <c r="C196" s="719"/>
      <c r="D196" s="719"/>
      <c r="E196" s="719"/>
      <c r="F196" s="719"/>
      <c r="G196" s="719"/>
      <c r="H196" s="719"/>
      <c r="I196" s="719"/>
      <c r="J196" s="719"/>
      <c r="K196" s="719"/>
      <c r="L196" s="719"/>
      <c r="M196" s="719"/>
      <c r="N196" s="721"/>
      <c r="O196" s="721"/>
      <c r="P196" s="719"/>
      <c r="Q196" s="719"/>
      <c r="R196" s="719"/>
      <c r="S196" s="721"/>
      <c r="T196" s="721"/>
      <c r="U196" s="719"/>
      <c r="V196" s="719"/>
      <c r="W196" s="719"/>
      <c r="X196" s="721"/>
      <c r="Y196" s="721"/>
      <c r="Z196" s="719"/>
      <c r="AA196" s="719"/>
      <c r="AB196" s="719"/>
      <c r="AC196" s="721"/>
      <c r="AD196" s="721"/>
      <c r="AE196" s="719"/>
      <c r="AF196" s="719"/>
      <c r="AG196" s="719"/>
      <c r="AH196" s="721"/>
      <c r="AI196" s="721"/>
      <c r="AJ196" s="719"/>
      <c r="AK196" s="719"/>
      <c r="AL196" s="719"/>
      <c r="AM196" s="719"/>
      <c r="AN196" s="719"/>
      <c r="AO196" s="719"/>
      <c r="AP196" s="719"/>
      <c r="AQ196" s="719"/>
      <c r="AR196" s="719"/>
      <c r="AS196" s="719"/>
      <c r="AT196" s="719"/>
      <c r="AU196" s="719"/>
      <c r="AV196" s="719"/>
      <c r="AW196" s="719"/>
      <c r="AX196" s="719"/>
      <c r="AY196" s="719"/>
      <c r="AZ196" s="719"/>
      <c r="BA196" s="719"/>
      <c r="BB196" s="719"/>
      <c r="BC196" s="719"/>
      <c r="BD196" s="719"/>
      <c r="BE196" s="719"/>
      <c r="BF196" s="719"/>
      <c r="BG196" s="719"/>
      <c r="BH196" s="719"/>
      <c r="BI196" s="719"/>
      <c r="BJ196" s="719"/>
      <c r="BK196" s="719"/>
      <c r="BL196" s="719"/>
      <c r="BM196" s="719"/>
      <c r="BN196" s="719"/>
      <c r="BO196" s="719"/>
      <c r="BP196" s="719"/>
      <c r="BQ196" s="719"/>
      <c r="BR196" s="719"/>
      <c r="BS196" s="719"/>
      <c r="BT196" s="719"/>
      <c r="BU196" s="719"/>
      <c r="BV196" s="719"/>
      <c r="BW196" s="719"/>
      <c r="BX196" s="719"/>
      <c r="BY196" s="719"/>
      <c r="BZ196" s="719"/>
      <c r="CA196" s="719"/>
      <c r="CB196" s="719"/>
      <c r="CC196" s="719"/>
      <c r="CD196" s="719"/>
      <c r="CE196" s="719"/>
      <c r="CF196" s="719"/>
      <c r="CG196" s="719"/>
      <c r="CH196" s="719"/>
      <c r="CI196" s="719"/>
      <c r="CJ196" s="719"/>
      <c r="CK196" s="719"/>
      <c r="CL196" s="719"/>
      <c r="CM196" s="719"/>
      <c r="CN196" s="719"/>
      <c r="CO196" s="719"/>
      <c r="CP196" s="719"/>
      <c r="CQ196" s="719"/>
      <c r="CR196" s="719"/>
      <c r="CS196" s="719"/>
      <c r="CT196" s="719"/>
      <c r="CU196" s="719"/>
      <c r="CV196" s="719"/>
      <c r="CW196" s="719"/>
      <c r="CX196" s="719"/>
      <c r="CY196" s="719"/>
      <c r="CZ196" s="719"/>
      <c r="DA196" s="719"/>
      <c r="DB196" s="719"/>
      <c r="DC196" s="719"/>
      <c r="DD196" s="719"/>
      <c r="DE196" s="719"/>
      <c r="DF196" s="719"/>
      <c r="DG196" s="719"/>
      <c r="DH196" s="719"/>
      <c r="DI196" s="719"/>
      <c r="DJ196" s="719"/>
      <c r="DK196" s="719"/>
      <c r="DL196" s="719"/>
      <c r="DM196" s="719"/>
      <c r="DN196" s="719"/>
      <c r="DO196" s="719"/>
      <c r="DP196" s="719"/>
      <c r="DQ196" s="719"/>
      <c r="DR196" s="719"/>
    </row>
    <row r="197" spans="1:122" s="275" customFormat="1">
      <c r="A197" s="719"/>
      <c r="B197" s="719"/>
      <c r="C197" s="719"/>
      <c r="D197" s="719"/>
      <c r="E197" s="719"/>
      <c r="F197" s="719"/>
      <c r="G197" s="719"/>
      <c r="H197" s="719"/>
      <c r="I197" s="719"/>
      <c r="J197" s="719"/>
      <c r="K197" s="719"/>
      <c r="L197" s="719"/>
      <c r="M197" s="719"/>
      <c r="N197" s="721"/>
      <c r="O197" s="721"/>
      <c r="P197" s="719"/>
      <c r="Q197" s="719"/>
      <c r="R197" s="719"/>
      <c r="S197" s="721"/>
      <c r="T197" s="721"/>
      <c r="U197" s="719"/>
      <c r="V197" s="719"/>
      <c r="W197" s="719"/>
      <c r="X197" s="721"/>
      <c r="Y197" s="721"/>
      <c r="Z197" s="719"/>
      <c r="AA197" s="719"/>
      <c r="AB197" s="719"/>
      <c r="AC197" s="721"/>
      <c r="AD197" s="721"/>
      <c r="AE197" s="719"/>
      <c r="AF197" s="719"/>
      <c r="AG197" s="719"/>
      <c r="AH197" s="721"/>
      <c r="AI197" s="721"/>
      <c r="AJ197" s="719"/>
      <c r="AK197" s="719"/>
      <c r="AL197" s="719"/>
      <c r="AM197" s="719"/>
      <c r="AN197" s="719"/>
      <c r="AO197" s="719"/>
      <c r="AP197" s="719"/>
      <c r="AQ197" s="719"/>
      <c r="AR197" s="719"/>
      <c r="AS197" s="719"/>
      <c r="AT197" s="719"/>
      <c r="AU197" s="719"/>
      <c r="AV197" s="719"/>
      <c r="AW197" s="719"/>
      <c r="AX197" s="719"/>
      <c r="AY197" s="719"/>
      <c r="AZ197" s="719"/>
      <c r="BA197" s="719"/>
      <c r="BB197" s="719"/>
      <c r="BC197" s="719"/>
      <c r="BD197" s="719"/>
      <c r="BE197" s="719"/>
      <c r="BF197" s="719"/>
      <c r="BG197" s="719"/>
      <c r="BH197" s="719"/>
      <c r="BI197" s="719"/>
      <c r="BJ197" s="719"/>
      <c r="BK197" s="719"/>
      <c r="BL197" s="719"/>
      <c r="BM197" s="719"/>
      <c r="BN197" s="719"/>
      <c r="BO197" s="719"/>
      <c r="BP197" s="719"/>
      <c r="BQ197" s="719"/>
      <c r="BR197" s="719"/>
      <c r="BS197" s="719"/>
      <c r="BT197" s="719"/>
      <c r="BU197" s="719"/>
      <c r="BV197" s="719"/>
      <c r="BW197" s="719"/>
      <c r="BX197" s="719"/>
      <c r="BY197" s="719"/>
      <c r="BZ197" s="719"/>
      <c r="CA197" s="719"/>
      <c r="CB197" s="719"/>
      <c r="CC197" s="719"/>
      <c r="CD197" s="719"/>
      <c r="CE197" s="719"/>
      <c r="CF197" s="719"/>
      <c r="CG197" s="719"/>
      <c r="CH197" s="719"/>
      <c r="CI197" s="719"/>
      <c r="CJ197" s="719"/>
      <c r="CK197" s="719"/>
      <c r="CL197" s="719"/>
      <c r="CM197" s="719"/>
      <c r="CN197" s="719"/>
      <c r="CO197" s="719"/>
      <c r="CP197" s="719"/>
      <c r="CQ197" s="719"/>
      <c r="CR197" s="719"/>
      <c r="CS197" s="719"/>
      <c r="CT197" s="719"/>
      <c r="CU197" s="719"/>
      <c r="CV197" s="719"/>
      <c r="CW197" s="719"/>
      <c r="CX197" s="719"/>
      <c r="CY197" s="719"/>
      <c r="CZ197" s="719"/>
      <c r="DA197" s="719"/>
      <c r="DB197" s="719"/>
      <c r="DC197" s="719"/>
      <c r="DD197" s="719"/>
      <c r="DE197" s="719"/>
      <c r="DF197" s="719"/>
      <c r="DG197" s="719"/>
      <c r="DH197" s="719"/>
      <c r="DI197" s="719"/>
      <c r="DJ197" s="719"/>
      <c r="DK197" s="719"/>
      <c r="DL197" s="719"/>
      <c r="DM197" s="719"/>
      <c r="DN197" s="719"/>
      <c r="DO197" s="719"/>
      <c r="DP197" s="719"/>
      <c r="DQ197" s="719"/>
      <c r="DR197" s="719"/>
    </row>
    <row r="198" spans="1:122" s="275" customFormat="1">
      <c r="A198" s="719"/>
      <c r="B198" s="719"/>
      <c r="C198" s="719"/>
      <c r="D198" s="719"/>
      <c r="E198" s="719"/>
      <c r="F198" s="719"/>
      <c r="G198" s="719"/>
      <c r="H198" s="719"/>
      <c r="I198" s="719"/>
      <c r="J198" s="719"/>
      <c r="K198" s="719"/>
      <c r="L198" s="719"/>
      <c r="M198" s="719"/>
      <c r="N198" s="721"/>
      <c r="O198" s="721"/>
      <c r="P198" s="719"/>
      <c r="Q198" s="719"/>
      <c r="R198" s="719"/>
      <c r="S198" s="721"/>
      <c r="T198" s="721"/>
      <c r="U198" s="719"/>
      <c r="V198" s="719"/>
      <c r="W198" s="719"/>
      <c r="X198" s="721"/>
      <c r="Y198" s="721"/>
      <c r="Z198" s="719"/>
      <c r="AA198" s="719"/>
      <c r="AB198" s="719"/>
      <c r="AC198" s="721"/>
      <c r="AD198" s="721"/>
      <c r="AE198" s="719"/>
      <c r="AF198" s="719"/>
      <c r="AG198" s="719"/>
      <c r="AH198" s="721"/>
      <c r="AI198" s="721"/>
      <c r="AJ198" s="719"/>
      <c r="AK198" s="719"/>
      <c r="AL198" s="719"/>
      <c r="AM198" s="719"/>
      <c r="AN198" s="719"/>
      <c r="AO198" s="719"/>
      <c r="AP198" s="719"/>
      <c r="AQ198" s="719"/>
      <c r="AR198" s="719"/>
      <c r="AS198" s="719"/>
      <c r="AT198" s="719"/>
      <c r="AU198" s="719"/>
      <c r="AV198" s="719"/>
      <c r="AW198" s="719"/>
      <c r="AX198" s="719"/>
      <c r="AY198" s="719"/>
      <c r="AZ198" s="719"/>
      <c r="BA198" s="719"/>
      <c r="BB198" s="719"/>
      <c r="BC198" s="719"/>
      <c r="BD198" s="719"/>
      <c r="BE198" s="719"/>
      <c r="BF198" s="719"/>
      <c r="BG198" s="719"/>
      <c r="BH198" s="719"/>
      <c r="BI198" s="719"/>
      <c r="BJ198" s="719"/>
      <c r="BK198" s="719"/>
      <c r="BL198" s="719"/>
      <c r="BM198" s="719"/>
      <c r="BN198" s="719"/>
      <c r="BO198" s="719"/>
      <c r="BP198" s="719"/>
      <c r="BQ198" s="719"/>
      <c r="BR198" s="719"/>
      <c r="BS198" s="719"/>
      <c r="BT198" s="719"/>
      <c r="BU198" s="719"/>
      <c r="BV198" s="719"/>
      <c r="BW198" s="719"/>
      <c r="BX198" s="719"/>
      <c r="BY198" s="719"/>
      <c r="BZ198" s="719"/>
      <c r="CA198" s="719"/>
      <c r="CB198" s="719"/>
      <c r="CC198" s="719"/>
      <c r="CD198" s="719"/>
      <c r="CE198" s="719"/>
      <c r="CF198" s="719"/>
      <c r="CG198" s="719"/>
      <c r="CH198" s="719"/>
      <c r="CI198" s="719"/>
      <c r="CJ198" s="719"/>
      <c r="CK198" s="719"/>
      <c r="CL198" s="719"/>
      <c r="CM198" s="719"/>
      <c r="CN198" s="719"/>
      <c r="CO198" s="719"/>
      <c r="CP198" s="719"/>
      <c r="CQ198" s="719"/>
      <c r="CR198" s="719"/>
      <c r="CS198" s="719"/>
      <c r="CT198" s="719"/>
      <c r="CU198" s="719"/>
      <c r="CV198" s="719"/>
      <c r="CW198" s="719"/>
      <c r="CX198" s="719"/>
      <c r="CY198" s="719"/>
      <c r="CZ198" s="719"/>
      <c r="DA198" s="719"/>
      <c r="DB198" s="719"/>
      <c r="DC198" s="719"/>
      <c r="DD198" s="719"/>
      <c r="DE198" s="719"/>
      <c r="DF198" s="719"/>
      <c r="DG198" s="719"/>
      <c r="DH198" s="719"/>
      <c r="DI198" s="719"/>
      <c r="DJ198" s="719"/>
      <c r="DK198" s="719"/>
      <c r="DL198" s="719"/>
      <c r="DM198" s="719"/>
      <c r="DN198" s="719"/>
      <c r="DO198" s="719"/>
      <c r="DP198" s="719"/>
      <c r="DQ198" s="719"/>
      <c r="DR198" s="719"/>
    </row>
    <row r="199" spans="1:122" s="275" customFormat="1">
      <c r="A199" s="719"/>
      <c r="B199" s="719"/>
      <c r="C199" s="719"/>
      <c r="D199" s="719"/>
      <c r="E199" s="719"/>
      <c r="F199" s="719"/>
      <c r="G199" s="719"/>
      <c r="H199" s="719"/>
      <c r="I199" s="719"/>
      <c r="J199" s="719"/>
      <c r="K199" s="719"/>
      <c r="L199" s="719"/>
      <c r="M199" s="719"/>
      <c r="N199" s="721"/>
      <c r="O199" s="721"/>
      <c r="P199" s="719"/>
      <c r="Q199" s="719"/>
      <c r="R199" s="719"/>
      <c r="S199" s="721"/>
      <c r="T199" s="721"/>
      <c r="U199" s="719"/>
      <c r="V199" s="719"/>
      <c r="W199" s="719"/>
      <c r="X199" s="721"/>
      <c r="Y199" s="721"/>
      <c r="Z199" s="719"/>
      <c r="AA199" s="719"/>
      <c r="AB199" s="719"/>
      <c r="AC199" s="721"/>
      <c r="AD199" s="721"/>
      <c r="AE199" s="719"/>
      <c r="AF199" s="719"/>
      <c r="AG199" s="719"/>
      <c r="AH199" s="721"/>
      <c r="AI199" s="721"/>
      <c r="AJ199" s="719"/>
      <c r="AK199" s="719"/>
      <c r="AL199" s="719"/>
      <c r="AM199" s="719"/>
      <c r="AN199" s="719"/>
      <c r="AO199" s="719"/>
      <c r="AP199" s="719"/>
      <c r="AQ199" s="719"/>
      <c r="AR199" s="719"/>
      <c r="AS199" s="719"/>
      <c r="AT199" s="719"/>
      <c r="AU199" s="719"/>
      <c r="AV199" s="719"/>
      <c r="AW199" s="719"/>
      <c r="AX199" s="719"/>
      <c r="AY199" s="719"/>
      <c r="AZ199" s="719"/>
      <c r="BA199" s="719"/>
      <c r="BB199" s="719"/>
      <c r="BC199" s="719"/>
      <c r="BD199" s="719"/>
      <c r="BE199" s="719"/>
      <c r="BF199" s="719"/>
      <c r="BG199" s="719"/>
      <c r="BH199" s="719"/>
      <c r="BI199" s="719"/>
      <c r="BJ199" s="719"/>
      <c r="BK199" s="719"/>
      <c r="BL199" s="719"/>
      <c r="BM199" s="719"/>
      <c r="BN199" s="719"/>
      <c r="BO199" s="719"/>
      <c r="BP199" s="719"/>
      <c r="BQ199" s="719"/>
      <c r="BR199" s="719"/>
      <c r="BS199" s="719"/>
      <c r="BT199" s="719"/>
      <c r="BU199" s="719"/>
      <c r="BV199" s="719"/>
      <c r="BW199" s="719"/>
      <c r="BX199" s="719"/>
      <c r="BY199" s="719"/>
      <c r="BZ199" s="719"/>
      <c r="CA199" s="719"/>
      <c r="CB199" s="719"/>
      <c r="CC199" s="719"/>
      <c r="CD199" s="719"/>
      <c r="CE199" s="719"/>
      <c r="CF199" s="719"/>
      <c r="CG199" s="719"/>
      <c r="CH199" s="719"/>
      <c r="CI199" s="719"/>
      <c r="CJ199" s="719"/>
      <c r="CK199" s="719"/>
      <c r="CL199" s="719"/>
      <c r="CM199" s="719"/>
      <c r="CN199" s="719"/>
      <c r="CO199" s="719"/>
      <c r="CP199" s="719"/>
      <c r="CQ199" s="719"/>
      <c r="CR199" s="719"/>
      <c r="CS199" s="719"/>
      <c r="CT199" s="719"/>
      <c r="CU199" s="719"/>
      <c r="CV199" s="719"/>
      <c r="CW199" s="719"/>
      <c r="CX199" s="719"/>
      <c r="CY199" s="719"/>
      <c r="CZ199" s="719"/>
      <c r="DA199" s="719"/>
      <c r="DB199" s="719"/>
      <c r="DC199" s="719"/>
      <c r="DD199" s="719"/>
      <c r="DE199" s="719"/>
      <c r="DF199" s="719"/>
      <c r="DG199" s="719"/>
      <c r="DH199" s="719"/>
      <c r="DI199" s="719"/>
      <c r="DJ199" s="719"/>
      <c r="DK199" s="719"/>
      <c r="DL199" s="719"/>
      <c r="DM199" s="719"/>
      <c r="DN199" s="719"/>
      <c r="DO199" s="719"/>
      <c r="DP199" s="719"/>
      <c r="DQ199" s="719"/>
      <c r="DR199" s="719"/>
    </row>
    <row r="200" spans="1:122" s="275" customFormat="1">
      <c r="A200" s="719"/>
      <c r="B200" s="719"/>
      <c r="C200" s="719"/>
      <c r="D200" s="719"/>
      <c r="E200" s="719"/>
      <c r="F200" s="719"/>
      <c r="G200" s="719"/>
      <c r="H200" s="719"/>
      <c r="I200" s="719"/>
      <c r="J200" s="719"/>
      <c r="K200" s="719"/>
      <c r="L200" s="719"/>
      <c r="M200" s="719"/>
      <c r="N200" s="721"/>
      <c r="O200" s="721"/>
      <c r="P200" s="719"/>
      <c r="Q200" s="719"/>
      <c r="R200" s="719"/>
      <c r="S200" s="721"/>
      <c r="T200" s="721"/>
      <c r="U200" s="719"/>
      <c r="V200" s="719"/>
      <c r="W200" s="719"/>
      <c r="X200" s="721"/>
      <c r="Y200" s="721"/>
      <c r="Z200" s="719"/>
      <c r="AA200" s="719"/>
      <c r="AB200" s="719"/>
      <c r="AC200" s="721"/>
      <c r="AD200" s="721"/>
      <c r="AE200" s="719"/>
      <c r="AF200" s="719"/>
      <c r="AG200" s="719"/>
      <c r="AH200" s="721"/>
      <c r="AI200" s="721"/>
      <c r="AJ200" s="719"/>
      <c r="AK200" s="719"/>
      <c r="AL200" s="719"/>
      <c r="AM200" s="719"/>
      <c r="AN200" s="719"/>
      <c r="AO200" s="719"/>
      <c r="AP200" s="719"/>
      <c r="AQ200" s="719"/>
      <c r="AR200" s="719"/>
      <c r="AS200" s="719"/>
      <c r="AT200" s="719"/>
      <c r="AU200" s="719"/>
      <c r="AV200" s="719"/>
      <c r="AW200" s="719"/>
      <c r="AX200" s="719"/>
      <c r="AY200" s="719"/>
      <c r="AZ200" s="719"/>
      <c r="BA200" s="719"/>
      <c r="BB200" s="719"/>
      <c r="BC200" s="719"/>
      <c r="BD200" s="719"/>
      <c r="BE200" s="719"/>
      <c r="BF200" s="719"/>
      <c r="BG200" s="719"/>
      <c r="BH200" s="719"/>
      <c r="BI200" s="719"/>
      <c r="BJ200" s="719"/>
      <c r="BK200" s="719"/>
      <c r="BL200" s="719"/>
      <c r="BM200" s="719"/>
      <c r="BN200" s="719"/>
      <c r="BO200" s="719"/>
      <c r="BP200" s="719"/>
      <c r="BQ200" s="719"/>
      <c r="BR200" s="719"/>
      <c r="BS200" s="719"/>
      <c r="BT200" s="719"/>
      <c r="BU200" s="719"/>
      <c r="BV200" s="719"/>
      <c r="BW200" s="719"/>
      <c r="BX200" s="719"/>
      <c r="BY200" s="719"/>
      <c r="BZ200" s="719"/>
      <c r="CA200" s="719"/>
      <c r="CB200" s="719"/>
      <c r="CC200" s="719"/>
      <c r="CD200" s="719"/>
      <c r="CE200" s="719"/>
      <c r="CF200" s="719"/>
      <c r="CG200" s="719"/>
      <c r="CH200" s="719"/>
      <c r="CI200" s="719"/>
      <c r="CJ200" s="719"/>
      <c r="CK200" s="719"/>
      <c r="CL200" s="719"/>
      <c r="CM200" s="719"/>
      <c r="CN200" s="719"/>
      <c r="CO200" s="719"/>
      <c r="CP200" s="719"/>
      <c r="CQ200" s="719"/>
      <c r="CR200" s="719"/>
      <c r="CS200" s="719"/>
      <c r="CT200" s="719"/>
      <c r="CU200" s="719"/>
      <c r="CV200" s="719"/>
      <c r="CW200" s="719"/>
      <c r="CX200" s="719"/>
      <c r="CY200" s="719"/>
      <c r="CZ200" s="719"/>
      <c r="DA200" s="719"/>
      <c r="DB200" s="719"/>
      <c r="DC200" s="719"/>
      <c r="DD200" s="719"/>
      <c r="DE200" s="719"/>
      <c r="DF200" s="719"/>
      <c r="DG200" s="719"/>
      <c r="DH200" s="719"/>
      <c r="DI200" s="719"/>
      <c r="DJ200" s="719"/>
      <c r="DK200" s="719"/>
      <c r="DL200" s="719"/>
      <c r="DM200" s="719"/>
      <c r="DN200" s="719"/>
      <c r="DO200" s="719"/>
      <c r="DP200" s="719"/>
      <c r="DQ200" s="719"/>
      <c r="DR200" s="719"/>
    </row>
    <row r="201" spans="1:122" s="275" customFormat="1">
      <c r="A201" s="719"/>
      <c r="B201" s="719"/>
      <c r="C201" s="719"/>
      <c r="D201" s="719"/>
      <c r="E201" s="719"/>
      <c r="F201" s="719"/>
      <c r="G201" s="719"/>
      <c r="H201" s="719"/>
      <c r="I201" s="719"/>
      <c r="J201" s="719"/>
      <c r="K201" s="719"/>
      <c r="L201" s="719"/>
      <c r="M201" s="719"/>
      <c r="N201" s="721"/>
      <c r="O201" s="721"/>
      <c r="P201" s="719"/>
      <c r="Q201" s="719"/>
      <c r="R201" s="719"/>
      <c r="S201" s="721"/>
      <c r="T201" s="721"/>
      <c r="U201" s="719"/>
      <c r="V201" s="719"/>
      <c r="W201" s="719"/>
      <c r="X201" s="721"/>
      <c r="Y201" s="721"/>
      <c r="Z201" s="719"/>
      <c r="AA201" s="719"/>
      <c r="AB201" s="719"/>
      <c r="AC201" s="721"/>
      <c r="AD201" s="721"/>
      <c r="AE201" s="719"/>
      <c r="AF201" s="719"/>
      <c r="AG201" s="719"/>
      <c r="AH201" s="721"/>
      <c r="AI201" s="721"/>
      <c r="AJ201" s="719"/>
      <c r="AK201" s="719"/>
      <c r="AL201" s="719"/>
      <c r="AM201" s="719"/>
      <c r="AN201" s="719"/>
      <c r="AO201" s="719"/>
      <c r="AP201" s="719"/>
      <c r="AQ201" s="719"/>
      <c r="AR201" s="719"/>
      <c r="AS201" s="719"/>
      <c r="AT201" s="719"/>
      <c r="AU201" s="719"/>
      <c r="AV201" s="719"/>
      <c r="AW201" s="719"/>
      <c r="AX201" s="719"/>
      <c r="AY201" s="719"/>
      <c r="AZ201" s="719"/>
      <c r="BA201" s="719"/>
      <c r="BB201" s="719"/>
      <c r="BC201" s="719"/>
      <c r="BD201" s="719"/>
      <c r="BE201" s="719"/>
      <c r="BF201" s="719"/>
      <c r="BG201" s="719"/>
      <c r="BH201" s="719"/>
      <c r="BI201" s="719"/>
      <c r="BJ201" s="719"/>
      <c r="BK201" s="719"/>
      <c r="BL201" s="719"/>
      <c r="BM201" s="719"/>
      <c r="BN201" s="719"/>
      <c r="BO201" s="719"/>
      <c r="BP201" s="719"/>
      <c r="BQ201" s="719"/>
      <c r="BR201" s="719"/>
      <c r="BS201" s="719"/>
      <c r="BT201" s="719"/>
      <c r="BU201" s="719"/>
      <c r="BV201" s="719"/>
      <c r="BW201" s="719"/>
      <c r="BX201" s="719"/>
      <c r="BY201" s="719"/>
      <c r="BZ201" s="719"/>
      <c r="CA201" s="719"/>
      <c r="CB201" s="719"/>
      <c r="CC201" s="719"/>
      <c r="CD201" s="719"/>
      <c r="CE201" s="719"/>
      <c r="CF201" s="719"/>
      <c r="CG201" s="719"/>
      <c r="CH201" s="719"/>
      <c r="CI201" s="719"/>
      <c r="CJ201" s="719"/>
      <c r="CK201" s="719"/>
      <c r="CL201" s="719"/>
      <c r="CM201" s="719"/>
      <c r="CN201" s="719"/>
      <c r="CO201" s="719"/>
      <c r="CP201" s="719"/>
      <c r="CQ201" s="719"/>
      <c r="CR201" s="719"/>
      <c r="CS201" s="719"/>
      <c r="CT201" s="719"/>
      <c r="CU201" s="719"/>
      <c r="CV201" s="719"/>
      <c r="CW201" s="719"/>
      <c r="CX201" s="719"/>
      <c r="CY201" s="719"/>
      <c r="CZ201" s="719"/>
      <c r="DA201" s="719"/>
      <c r="DB201" s="719"/>
      <c r="DC201" s="719"/>
      <c r="DD201" s="719"/>
      <c r="DE201" s="719"/>
      <c r="DF201" s="719"/>
      <c r="DG201" s="719"/>
      <c r="DH201" s="719"/>
      <c r="DI201" s="719"/>
      <c r="DJ201" s="719"/>
      <c r="DK201" s="719"/>
      <c r="DL201" s="719"/>
      <c r="DM201" s="719"/>
      <c r="DN201" s="719"/>
      <c r="DO201" s="719"/>
      <c r="DP201" s="719"/>
      <c r="DQ201" s="719"/>
      <c r="DR201" s="719"/>
    </row>
    <row r="202" spans="1:122" s="275" customFormat="1">
      <c r="A202" s="719"/>
      <c r="B202" s="719"/>
      <c r="C202" s="719"/>
      <c r="D202" s="719"/>
      <c r="E202" s="719"/>
      <c r="F202" s="719"/>
      <c r="G202" s="719"/>
      <c r="H202" s="719"/>
      <c r="I202" s="719"/>
      <c r="J202" s="719"/>
      <c r="K202" s="719"/>
      <c r="L202" s="719"/>
      <c r="M202" s="719"/>
      <c r="N202" s="721"/>
      <c r="O202" s="721"/>
      <c r="P202" s="719"/>
      <c r="Q202" s="719"/>
      <c r="R202" s="719"/>
      <c r="S202" s="721"/>
      <c r="T202" s="721"/>
      <c r="U202" s="719"/>
      <c r="V202" s="719"/>
      <c r="W202" s="719"/>
      <c r="X202" s="721"/>
      <c r="Y202" s="721"/>
      <c r="Z202" s="719"/>
      <c r="AA202" s="719"/>
      <c r="AB202" s="719"/>
      <c r="AC202" s="721"/>
      <c r="AD202" s="721"/>
      <c r="AE202" s="719"/>
      <c r="AF202" s="719"/>
      <c r="AG202" s="719"/>
      <c r="AH202" s="721"/>
      <c r="AI202" s="721"/>
      <c r="AJ202" s="719"/>
      <c r="AK202" s="719"/>
      <c r="AL202" s="719"/>
      <c r="AM202" s="719"/>
      <c r="AN202" s="719"/>
      <c r="AO202" s="719"/>
      <c r="AP202" s="719"/>
      <c r="AQ202" s="719"/>
      <c r="AR202" s="719"/>
      <c r="AS202" s="719"/>
      <c r="AT202" s="719"/>
      <c r="AU202" s="719"/>
      <c r="AV202" s="719"/>
      <c r="AW202" s="719"/>
      <c r="AX202" s="719"/>
      <c r="AY202" s="719"/>
      <c r="AZ202" s="719"/>
      <c r="BA202" s="719"/>
      <c r="BB202" s="719"/>
      <c r="BC202" s="719"/>
      <c r="BD202" s="719"/>
      <c r="BE202" s="719"/>
      <c r="BF202" s="719"/>
      <c r="BG202" s="719"/>
      <c r="BH202" s="719"/>
      <c r="BI202" s="719"/>
      <c r="BJ202" s="719"/>
      <c r="BK202" s="719"/>
      <c r="BL202" s="719"/>
      <c r="BM202" s="719"/>
      <c r="BN202" s="719"/>
      <c r="BO202" s="719"/>
      <c r="BP202" s="719"/>
      <c r="BQ202" s="719"/>
      <c r="BR202" s="719"/>
      <c r="BS202" s="719"/>
      <c r="BT202" s="719"/>
      <c r="BU202" s="719"/>
      <c r="BV202" s="719"/>
      <c r="BW202" s="719"/>
      <c r="BX202" s="719"/>
      <c r="BY202" s="719"/>
      <c r="BZ202" s="719"/>
      <c r="CA202" s="719"/>
      <c r="CB202" s="719"/>
      <c r="CC202" s="719"/>
      <c r="CD202" s="719"/>
      <c r="CE202" s="719"/>
      <c r="CF202" s="719"/>
      <c r="CG202" s="719"/>
      <c r="CH202" s="719"/>
      <c r="CI202" s="719"/>
      <c r="CJ202" s="719"/>
      <c r="CK202" s="719"/>
      <c r="CL202" s="719"/>
      <c r="CM202" s="719"/>
      <c r="CN202" s="719"/>
      <c r="CO202" s="719"/>
      <c r="CP202" s="719"/>
      <c r="CQ202" s="719"/>
      <c r="CR202" s="719"/>
      <c r="CS202" s="719"/>
      <c r="CT202" s="719"/>
      <c r="CU202" s="719"/>
      <c r="CV202" s="719"/>
      <c r="CW202" s="719"/>
      <c r="CX202" s="719"/>
      <c r="CY202" s="719"/>
      <c r="CZ202" s="719"/>
      <c r="DA202" s="719"/>
      <c r="DB202" s="719"/>
      <c r="DC202" s="719"/>
      <c r="DD202" s="719"/>
      <c r="DE202" s="719"/>
      <c r="DF202" s="719"/>
      <c r="DG202" s="719"/>
      <c r="DH202" s="719"/>
      <c r="DI202" s="719"/>
      <c r="DJ202" s="719"/>
      <c r="DK202" s="719"/>
      <c r="DL202" s="719"/>
      <c r="DM202" s="719"/>
      <c r="DN202" s="719"/>
      <c r="DO202" s="719"/>
      <c r="DP202" s="719"/>
      <c r="DQ202" s="719"/>
      <c r="DR202" s="719"/>
    </row>
    <row r="203" spans="1:122" s="275" customFormat="1">
      <c r="A203" s="719"/>
      <c r="B203" s="719"/>
      <c r="C203" s="719"/>
      <c r="D203" s="719"/>
      <c r="E203" s="719"/>
      <c r="F203" s="719"/>
      <c r="G203" s="719"/>
      <c r="H203" s="719"/>
      <c r="I203" s="719"/>
      <c r="J203" s="719"/>
      <c r="K203" s="719"/>
      <c r="L203" s="719"/>
      <c r="M203" s="719"/>
      <c r="N203" s="721"/>
      <c r="O203" s="721"/>
      <c r="P203" s="719"/>
      <c r="Q203" s="719"/>
      <c r="R203" s="719"/>
      <c r="S203" s="721"/>
      <c r="T203" s="721"/>
      <c r="U203" s="719"/>
      <c r="V203" s="719"/>
      <c r="W203" s="719"/>
      <c r="X203" s="721"/>
      <c r="Y203" s="721"/>
      <c r="Z203" s="719"/>
      <c r="AA203" s="719"/>
      <c r="AB203" s="719"/>
      <c r="AC203" s="721"/>
      <c r="AD203" s="721"/>
      <c r="AE203" s="719"/>
      <c r="AF203" s="719"/>
      <c r="AG203" s="719"/>
      <c r="AH203" s="721"/>
      <c r="AI203" s="721"/>
      <c r="AJ203" s="719"/>
      <c r="AK203" s="719"/>
      <c r="AL203" s="719"/>
      <c r="AM203" s="719"/>
      <c r="AN203" s="719"/>
      <c r="AO203" s="719"/>
      <c r="AP203" s="719"/>
      <c r="AQ203" s="719"/>
      <c r="AR203" s="719"/>
      <c r="AS203" s="719"/>
      <c r="AT203" s="719"/>
      <c r="AU203" s="719"/>
      <c r="AV203" s="719"/>
      <c r="AW203" s="719"/>
      <c r="AX203" s="719"/>
      <c r="AY203" s="719"/>
      <c r="AZ203" s="719"/>
      <c r="BA203" s="719"/>
      <c r="BB203" s="719"/>
      <c r="BC203" s="719"/>
      <c r="BD203" s="719"/>
      <c r="BE203" s="719"/>
      <c r="BF203" s="719"/>
      <c r="BG203" s="719"/>
      <c r="BH203" s="719"/>
      <c r="BI203" s="719"/>
      <c r="BJ203" s="719"/>
      <c r="BK203" s="719"/>
      <c r="BL203" s="719"/>
      <c r="BM203" s="719"/>
      <c r="BN203" s="719"/>
      <c r="BO203" s="719"/>
      <c r="BP203" s="719"/>
      <c r="BQ203" s="719"/>
      <c r="BR203" s="719"/>
      <c r="BS203" s="719"/>
      <c r="BT203" s="719"/>
      <c r="BU203" s="719"/>
      <c r="BV203" s="719"/>
      <c r="BW203" s="719"/>
      <c r="BX203" s="719"/>
      <c r="BY203" s="719"/>
      <c r="BZ203" s="719"/>
      <c r="CA203" s="719"/>
      <c r="CB203" s="719"/>
      <c r="CC203" s="719"/>
      <c r="CD203" s="719"/>
      <c r="CE203" s="719"/>
      <c r="CF203" s="719"/>
      <c r="CG203" s="719"/>
      <c r="CH203" s="719"/>
      <c r="CI203" s="719"/>
      <c r="CJ203" s="719"/>
      <c r="CK203" s="719"/>
      <c r="CL203" s="719"/>
      <c r="CM203" s="719"/>
      <c r="CN203" s="719"/>
      <c r="CO203" s="719"/>
      <c r="CP203" s="719"/>
      <c r="CQ203" s="719"/>
      <c r="CR203" s="719"/>
      <c r="CS203" s="719"/>
      <c r="CT203" s="719"/>
      <c r="CU203" s="719"/>
      <c r="CV203" s="719"/>
      <c r="CW203" s="719"/>
      <c r="CX203" s="719"/>
      <c r="CY203" s="719"/>
      <c r="CZ203" s="719"/>
      <c r="DA203" s="719"/>
      <c r="DB203" s="719"/>
      <c r="DC203" s="719"/>
      <c r="DD203" s="719"/>
      <c r="DE203" s="719"/>
      <c r="DF203" s="719"/>
      <c r="DG203" s="719"/>
      <c r="DH203" s="719"/>
      <c r="DI203" s="719"/>
      <c r="DJ203" s="719"/>
      <c r="DK203" s="719"/>
      <c r="DL203" s="719"/>
      <c r="DM203" s="719"/>
      <c r="DN203" s="719"/>
      <c r="DO203" s="719"/>
      <c r="DP203" s="719"/>
      <c r="DQ203" s="719"/>
      <c r="DR203" s="719"/>
    </row>
    <row r="204" spans="1:122" s="275" customFormat="1">
      <c r="A204" s="719"/>
      <c r="B204" s="719"/>
      <c r="C204" s="719"/>
      <c r="D204" s="719"/>
      <c r="E204" s="719"/>
      <c r="F204" s="719"/>
      <c r="G204" s="719"/>
      <c r="H204" s="719"/>
      <c r="I204" s="719"/>
      <c r="J204" s="719"/>
      <c r="K204" s="719"/>
      <c r="L204" s="719"/>
      <c r="M204" s="719"/>
      <c r="N204" s="721"/>
      <c r="O204" s="721"/>
      <c r="P204" s="719"/>
      <c r="Q204" s="719"/>
      <c r="R204" s="719"/>
      <c r="S204" s="721"/>
      <c r="T204" s="721"/>
      <c r="U204" s="719"/>
      <c r="V204" s="719"/>
      <c r="W204" s="719"/>
      <c r="X204" s="721"/>
      <c r="Y204" s="721"/>
      <c r="Z204" s="719"/>
      <c r="AA204" s="719"/>
      <c r="AB204" s="719"/>
      <c r="AC204" s="721"/>
      <c r="AD204" s="721"/>
      <c r="AE204" s="719"/>
      <c r="AF204" s="719"/>
      <c r="AG204" s="719"/>
      <c r="AH204" s="721"/>
      <c r="AI204" s="721"/>
      <c r="AJ204" s="719"/>
      <c r="AK204" s="719"/>
      <c r="AL204" s="719"/>
      <c r="AM204" s="719"/>
      <c r="AN204" s="719"/>
      <c r="AO204" s="719"/>
      <c r="AP204" s="719"/>
      <c r="AQ204" s="719"/>
      <c r="AR204" s="719"/>
      <c r="AS204" s="719"/>
      <c r="AT204" s="719"/>
      <c r="AU204" s="719"/>
      <c r="AV204" s="719"/>
      <c r="AW204" s="719"/>
      <c r="AX204" s="719"/>
      <c r="AY204" s="719"/>
      <c r="AZ204" s="719"/>
      <c r="BA204" s="719"/>
      <c r="BB204" s="719"/>
      <c r="BC204" s="719"/>
      <c r="BD204" s="719"/>
      <c r="BE204" s="719"/>
      <c r="BF204" s="719"/>
      <c r="BG204" s="719"/>
      <c r="BH204" s="719"/>
      <c r="BI204" s="719"/>
      <c r="BJ204" s="719"/>
      <c r="BK204" s="719"/>
      <c r="BL204" s="719"/>
      <c r="BM204" s="719"/>
      <c r="BN204" s="719"/>
      <c r="BO204" s="719"/>
      <c r="BP204" s="719"/>
      <c r="BQ204" s="719"/>
      <c r="BR204" s="719"/>
      <c r="BS204" s="719"/>
      <c r="BT204" s="719"/>
      <c r="BU204" s="719"/>
      <c r="BV204" s="719"/>
      <c r="BW204" s="719"/>
      <c r="BX204" s="719"/>
      <c r="BY204" s="719"/>
      <c r="BZ204" s="719"/>
      <c r="CA204" s="719"/>
      <c r="CB204" s="719"/>
      <c r="CC204" s="719"/>
      <c r="CD204" s="719"/>
      <c r="CE204" s="719"/>
      <c r="CF204" s="719"/>
      <c r="CG204" s="719"/>
      <c r="CH204" s="719"/>
      <c r="CI204" s="719"/>
      <c r="CJ204" s="719"/>
      <c r="CK204" s="719"/>
      <c r="CL204" s="719"/>
      <c r="CM204" s="719"/>
      <c r="CN204" s="719"/>
      <c r="CO204" s="719"/>
      <c r="CP204" s="719"/>
      <c r="CQ204" s="719"/>
      <c r="CR204" s="719"/>
      <c r="CS204" s="719"/>
      <c r="CT204" s="719"/>
      <c r="CU204" s="719"/>
      <c r="CV204" s="719"/>
      <c r="CW204" s="719"/>
      <c r="CX204" s="719"/>
      <c r="CY204" s="719"/>
      <c r="CZ204" s="719"/>
      <c r="DA204" s="719"/>
      <c r="DB204" s="719"/>
      <c r="DC204" s="719"/>
      <c r="DD204" s="719"/>
      <c r="DE204" s="719"/>
      <c r="DF204" s="719"/>
      <c r="DG204" s="719"/>
      <c r="DH204" s="719"/>
      <c r="DI204" s="719"/>
      <c r="DJ204" s="719"/>
      <c r="DK204" s="719"/>
      <c r="DL204" s="719"/>
      <c r="DM204" s="719"/>
      <c r="DN204" s="719"/>
      <c r="DO204" s="719"/>
      <c r="DP204" s="719"/>
      <c r="DQ204" s="719"/>
      <c r="DR204" s="719"/>
    </row>
    <row r="205" spans="1:122" s="275" customFormat="1">
      <c r="A205" s="719"/>
      <c r="B205" s="719"/>
      <c r="C205" s="719"/>
      <c r="D205" s="719"/>
      <c r="E205" s="719"/>
      <c r="F205" s="719"/>
      <c r="G205" s="719"/>
      <c r="H205" s="719"/>
      <c r="I205" s="719"/>
      <c r="J205" s="719"/>
      <c r="K205" s="719"/>
      <c r="L205" s="719"/>
      <c r="M205" s="719"/>
      <c r="N205" s="721"/>
      <c r="O205" s="721"/>
      <c r="P205" s="719"/>
      <c r="Q205" s="719"/>
      <c r="R205" s="719"/>
      <c r="S205" s="721"/>
      <c r="T205" s="721"/>
      <c r="U205" s="719"/>
      <c r="V205" s="719"/>
      <c r="W205" s="719"/>
      <c r="X205" s="721"/>
      <c r="Y205" s="721"/>
      <c r="Z205" s="719"/>
      <c r="AA205" s="719"/>
      <c r="AB205" s="719"/>
      <c r="AC205" s="721"/>
      <c r="AD205" s="721"/>
      <c r="AE205" s="719"/>
      <c r="AF205" s="719"/>
      <c r="AG205" s="719"/>
      <c r="AH205" s="721"/>
      <c r="AI205" s="721"/>
      <c r="AJ205" s="719"/>
      <c r="AK205" s="719"/>
      <c r="AL205" s="719"/>
      <c r="AM205" s="719"/>
      <c r="AN205" s="719"/>
      <c r="AO205" s="719"/>
      <c r="AP205" s="719"/>
      <c r="AQ205" s="719"/>
      <c r="AR205" s="719"/>
      <c r="AS205" s="719"/>
      <c r="AT205" s="719"/>
      <c r="AU205" s="719"/>
      <c r="AV205" s="719"/>
      <c r="AW205" s="719"/>
      <c r="AX205" s="719"/>
      <c r="AY205" s="719"/>
      <c r="AZ205" s="719"/>
      <c r="BA205" s="719"/>
      <c r="BB205" s="719"/>
      <c r="BC205" s="719"/>
      <c r="BD205" s="719"/>
      <c r="BE205" s="719"/>
      <c r="BF205" s="719"/>
      <c r="BG205" s="719"/>
      <c r="BH205" s="719"/>
      <c r="BI205" s="719"/>
      <c r="BJ205" s="719"/>
      <c r="BK205" s="719"/>
      <c r="BL205" s="719"/>
      <c r="BM205" s="719"/>
      <c r="BN205" s="719"/>
      <c r="BO205" s="719"/>
      <c r="BP205" s="719"/>
      <c r="BQ205" s="719"/>
      <c r="BR205" s="719"/>
      <c r="BS205" s="719"/>
      <c r="BT205" s="719"/>
      <c r="BU205" s="719"/>
      <c r="BV205" s="719"/>
      <c r="BW205" s="719"/>
      <c r="BX205" s="719"/>
      <c r="BY205" s="719"/>
      <c r="BZ205" s="719"/>
      <c r="CA205" s="719"/>
      <c r="CB205" s="719"/>
      <c r="CC205" s="719"/>
      <c r="CD205" s="719"/>
      <c r="CE205" s="719"/>
      <c r="CF205" s="719"/>
      <c r="CG205" s="719"/>
      <c r="CH205" s="719"/>
      <c r="CI205" s="719"/>
      <c r="CJ205" s="719"/>
      <c r="CK205" s="719"/>
      <c r="CL205" s="719"/>
      <c r="CM205" s="719"/>
      <c r="CN205" s="719"/>
      <c r="CO205" s="719"/>
      <c r="CP205" s="719"/>
      <c r="CQ205" s="719"/>
      <c r="CR205" s="719"/>
      <c r="CS205" s="719"/>
      <c r="CT205" s="719"/>
      <c r="CU205" s="719"/>
      <c r="CV205" s="719"/>
      <c r="CW205" s="719"/>
      <c r="CX205" s="719"/>
      <c r="CY205" s="719"/>
      <c r="CZ205" s="719"/>
      <c r="DA205" s="719"/>
      <c r="DB205" s="719"/>
      <c r="DC205" s="719"/>
      <c r="DD205" s="719"/>
      <c r="DE205" s="719"/>
      <c r="DF205" s="719"/>
      <c r="DG205" s="719"/>
      <c r="DH205" s="719"/>
      <c r="DI205" s="719"/>
      <c r="DJ205" s="719"/>
      <c r="DK205" s="719"/>
      <c r="DL205" s="719"/>
      <c r="DM205" s="719"/>
      <c r="DN205" s="719"/>
      <c r="DO205" s="719"/>
      <c r="DP205" s="719"/>
      <c r="DQ205" s="719"/>
      <c r="DR205" s="719"/>
    </row>
    <row r="206" spans="1:122" s="275" customFormat="1">
      <c r="A206" s="719"/>
      <c r="B206" s="719"/>
      <c r="C206" s="719"/>
      <c r="D206" s="719"/>
      <c r="E206" s="719"/>
      <c r="F206" s="719"/>
      <c r="G206" s="719"/>
      <c r="H206" s="719"/>
      <c r="I206" s="719"/>
      <c r="J206" s="719"/>
      <c r="K206" s="719"/>
      <c r="L206" s="719"/>
      <c r="M206" s="719"/>
      <c r="N206" s="721"/>
      <c r="O206" s="721"/>
      <c r="P206" s="719"/>
      <c r="Q206" s="719"/>
      <c r="R206" s="719"/>
      <c r="S206" s="721"/>
      <c r="T206" s="721"/>
      <c r="U206" s="719"/>
      <c r="V206" s="719"/>
      <c r="W206" s="719"/>
      <c r="X206" s="721"/>
      <c r="Y206" s="721"/>
      <c r="Z206" s="719"/>
      <c r="AA206" s="719"/>
      <c r="AB206" s="719"/>
      <c r="AC206" s="721"/>
      <c r="AD206" s="721"/>
      <c r="AE206" s="719"/>
      <c r="AF206" s="719"/>
      <c r="AG206" s="719"/>
      <c r="AH206" s="721"/>
      <c r="AI206" s="721"/>
      <c r="AJ206" s="719"/>
      <c r="AK206" s="719"/>
      <c r="AL206" s="719"/>
      <c r="AM206" s="719"/>
      <c r="AN206" s="719"/>
      <c r="AO206" s="719"/>
      <c r="AP206" s="719"/>
      <c r="AQ206" s="719"/>
      <c r="AR206" s="719"/>
      <c r="AS206" s="719"/>
      <c r="AT206" s="719"/>
      <c r="AU206" s="719"/>
      <c r="AV206" s="719"/>
      <c r="AW206" s="719"/>
      <c r="AX206" s="719"/>
      <c r="AY206" s="719"/>
      <c r="AZ206" s="719"/>
      <c r="BA206" s="719"/>
      <c r="BB206" s="719"/>
      <c r="BC206" s="719"/>
      <c r="BD206" s="719"/>
      <c r="BE206" s="719"/>
      <c r="BF206" s="719"/>
      <c r="BG206" s="719"/>
      <c r="BH206" s="719"/>
      <c r="BI206" s="719"/>
      <c r="BJ206" s="719"/>
      <c r="BK206" s="719"/>
      <c r="BL206" s="719"/>
      <c r="BM206" s="719"/>
      <c r="BN206" s="719"/>
      <c r="BO206" s="719"/>
      <c r="BP206" s="719"/>
      <c r="BQ206" s="719"/>
      <c r="BR206" s="719"/>
      <c r="BS206" s="719"/>
      <c r="BT206" s="719"/>
      <c r="BU206" s="719"/>
      <c r="BV206" s="719"/>
      <c r="BW206" s="719"/>
      <c r="BX206" s="719"/>
      <c r="BY206" s="719"/>
      <c r="BZ206" s="719"/>
      <c r="CA206" s="719"/>
      <c r="CB206" s="719"/>
      <c r="CC206" s="719"/>
      <c r="CD206" s="719"/>
      <c r="CE206" s="719"/>
      <c r="CF206" s="719"/>
      <c r="CG206" s="719"/>
      <c r="CH206" s="719"/>
      <c r="CI206" s="719"/>
      <c r="CJ206" s="719"/>
      <c r="CK206" s="719"/>
      <c r="CL206" s="719"/>
      <c r="CM206" s="719"/>
      <c r="CN206" s="719"/>
      <c r="CO206" s="719"/>
      <c r="CP206" s="719"/>
      <c r="CQ206" s="719"/>
      <c r="CR206" s="719"/>
      <c r="CS206" s="719"/>
      <c r="CT206" s="719"/>
      <c r="CU206" s="719"/>
      <c r="CV206" s="719"/>
      <c r="CW206" s="719"/>
      <c r="CX206" s="719"/>
      <c r="CY206" s="719"/>
      <c r="CZ206" s="719"/>
      <c r="DA206" s="719"/>
      <c r="DB206" s="719"/>
      <c r="DC206" s="719"/>
      <c r="DD206" s="719"/>
      <c r="DE206" s="719"/>
      <c r="DF206" s="719"/>
      <c r="DG206" s="719"/>
      <c r="DH206" s="719"/>
      <c r="DI206" s="719"/>
      <c r="DJ206" s="719"/>
      <c r="DK206" s="719"/>
      <c r="DL206" s="719"/>
      <c r="DM206" s="719"/>
      <c r="DN206" s="719"/>
      <c r="DO206" s="719"/>
      <c r="DP206" s="719"/>
      <c r="DQ206" s="719"/>
      <c r="DR206" s="719"/>
    </row>
    <row r="207" spans="1:122" s="275" customFormat="1">
      <c r="A207" s="719"/>
      <c r="B207" s="719"/>
      <c r="C207" s="719"/>
      <c r="D207" s="719"/>
      <c r="E207" s="719"/>
      <c r="F207" s="719"/>
      <c r="G207" s="719"/>
      <c r="H207" s="719"/>
      <c r="I207" s="719"/>
      <c r="J207" s="719"/>
      <c r="K207" s="719"/>
      <c r="L207" s="719"/>
      <c r="M207" s="719"/>
      <c r="N207" s="721"/>
      <c r="O207" s="721"/>
      <c r="P207" s="719"/>
      <c r="Q207" s="719"/>
      <c r="R207" s="719"/>
      <c r="S207" s="721"/>
      <c r="T207" s="721"/>
      <c r="U207" s="719"/>
      <c r="V207" s="719"/>
      <c r="W207" s="719"/>
      <c r="X207" s="721"/>
      <c r="Y207" s="721"/>
      <c r="Z207" s="719"/>
      <c r="AA207" s="719"/>
      <c r="AB207" s="719"/>
      <c r="AC207" s="721"/>
      <c r="AD207" s="721"/>
      <c r="AE207" s="719"/>
      <c r="AF207" s="719"/>
      <c r="AG207" s="719"/>
      <c r="AH207" s="721"/>
      <c r="AI207" s="721"/>
      <c r="AJ207" s="719"/>
      <c r="AK207" s="719"/>
      <c r="AL207" s="719"/>
      <c r="AM207" s="719"/>
      <c r="AN207" s="719"/>
      <c r="AO207" s="719"/>
      <c r="AP207" s="719"/>
      <c r="AQ207" s="719"/>
      <c r="AR207" s="719"/>
      <c r="AS207" s="719"/>
      <c r="AT207" s="719"/>
      <c r="AU207" s="719"/>
      <c r="AV207" s="719"/>
      <c r="AW207" s="719"/>
      <c r="AX207" s="719"/>
      <c r="AY207" s="719"/>
      <c r="AZ207" s="719"/>
      <c r="BA207" s="719"/>
      <c r="BB207" s="719"/>
      <c r="BC207" s="719"/>
      <c r="BD207" s="719"/>
      <c r="BE207" s="719"/>
      <c r="BF207" s="719"/>
      <c r="BG207" s="719"/>
      <c r="BH207" s="719"/>
      <c r="BI207" s="719"/>
      <c r="BJ207" s="719"/>
      <c r="BK207" s="719"/>
      <c r="BL207" s="719"/>
      <c r="BM207" s="719"/>
      <c r="BN207" s="719"/>
      <c r="BO207" s="719"/>
      <c r="BP207" s="719"/>
      <c r="BQ207" s="719"/>
      <c r="BR207" s="719"/>
      <c r="BS207" s="719"/>
      <c r="BT207" s="719"/>
      <c r="BU207" s="719"/>
      <c r="BV207" s="719"/>
      <c r="BW207" s="719"/>
      <c r="BX207" s="719"/>
      <c r="BY207" s="719"/>
      <c r="BZ207" s="719"/>
      <c r="CA207" s="719"/>
      <c r="CB207" s="719"/>
      <c r="CC207" s="719"/>
      <c r="CD207" s="719"/>
      <c r="CE207" s="719"/>
      <c r="CF207" s="719"/>
      <c r="CG207" s="719"/>
      <c r="CH207" s="719"/>
      <c r="CI207" s="719"/>
      <c r="CJ207" s="719"/>
      <c r="CK207" s="719"/>
      <c r="CL207" s="719"/>
      <c r="CM207" s="719"/>
      <c r="CN207" s="719"/>
      <c r="CO207" s="719"/>
      <c r="CP207" s="719"/>
      <c r="CQ207" s="719"/>
      <c r="CR207" s="719"/>
      <c r="CS207" s="719"/>
      <c r="CT207" s="719"/>
      <c r="CU207" s="719"/>
      <c r="CV207" s="719"/>
      <c r="CW207" s="719"/>
      <c r="CX207" s="719"/>
      <c r="CY207" s="719"/>
      <c r="CZ207" s="719"/>
      <c r="DA207" s="719"/>
      <c r="DB207" s="719"/>
      <c r="DC207" s="719"/>
      <c r="DD207" s="719"/>
      <c r="DE207" s="719"/>
      <c r="DF207" s="719"/>
      <c r="DG207" s="719"/>
      <c r="DH207" s="719"/>
      <c r="DI207" s="719"/>
      <c r="DJ207" s="719"/>
      <c r="DK207" s="719"/>
      <c r="DL207" s="719"/>
      <c r="DM207" s="719"/>
      <c r="DN207" s="719"/>
      <c r="DO207" s="719"/>
      <c r="DP207" s="719"/>
      <c r="DQ207" s="719"/>
      <c r="DR207" s="719"/>
    </row>
    <row r="208" spans="1:122" s="275" customFormat="1">
      <c r="A208" s="719"/>
      <c r="B208" s="719"/>
      <c r="C208" s="719"/>
      <c r="D208" s="719"/>
      <c r="E208" s="719"/>
      <c r="F208" s="719"/>
      <c r="G208" s="719"/>
      <c r="H208" s="719"/>
      <c r="I208" s="719"/>
      <c r="J208" s="719"/>
      <c r="K208" s="719"/>
      <c r="L208" s="719"/>
      <c r="M208" s="719"/>
      <c r="N208" s="721"/>
      <c r="O208" s="721"/>
      <c r="P208" s="719"/>
      <c r="Q208" s="719"/>
      <c r="R208" s="719"/>
      <c r="S208" s="721"/>
      <c r="T208" s="721"/>
      <c r="U208" s="719"/>
      <c r="V208" s="719"/>
      <c r="W208" s="719"/>
      <c r="X208" s="721"/>
      <c r="Y208" s="721"/>
      <c r="Z208" s="719"/>
      <c r="AA208" s="719"/>
      <c r="AB208" s="719"/>
      <c r="AC208" s="721"/>
      <c r="AD208" s="721"/>
      <c r="AE208" s="719"/>
      <c r="AF208" s="719"/>
      <c r="AG208" s="719"/>
      <c r="AH208" s="721"/>
      <c r="AI208" s="721"/>
      <c r="AJ208" s="719"/>
      <c r="AK208" s="719"/>
      <c r="AL208" s="719"/>
      <c r="AM208" s="719"/>
      <c r="AN208" s="719"/>
      <c r="AO208" s="719"/>
      <c r="AP208" s="719"/>
      <c r="AQ208" s="719"/>
      <c r="AR208" s="719"/>
      <c r="AS208" s="719"/>
      <c r="AT208" s="719"/>
      <c r="AU208" s="719"/>
      <c r="AV208" s="719"/>
      <c r="AW208" s="719"/>
      <c r="AX208" s="719"/>
      <c r="AY208" s="719"/>
      <c r="AZ208" s="719"/>
      <c r="BA208" s="719"/>
      <c r="BB208" s="719"/>
      <c r="BC208" s="719"/>
      <c r="BD208" s="719"/>
      <c r="BE208" s="719"/>
      <c r="BF208" s="719"/>
      <c r="BG208" s="719"/>
      <c r="BH208" s="719"/>
      <c r="BI208" s="719"/>
      <c r="BJ208" s="719"/>
      <c r="BK208" s="719"/>
      <c r="BL208" s="719"/>
      <c r="BM208" s="719"/>
      <c r="BN208" s="719"/>
      <c r="BO208" s="719"/>
      <c r="BP208" s="719"/>
      <c r="BQ208" s="719"/>
      <c r="BR208" s="719"/>
      <c r="BS208" s="719"/>
      <c r="BT208" s="719"/>
      <c r="BU208" s="719"/>
      <c r="BV208" s="719"/>
      <c r="BW208" s="719"/>
      <c r="BX208" s="719"/>
      <c r="BY208" s="719"/>
      <c r="BZ208" s="719"/>
      <c r="CA208" s="719"/>
      <c r="CB208" s="719"/>
      <c r="CC208" s="719"/>
      <c r="CD208" s="719"/>
      <c r="CE208" s="719"/>
      <c r="CF208" s="719"/>
      <c r="CG208" s="719"/>
      <c r="CH208" s="719"/>
      <c r="CI208" s="719"/>
      <c r="CJ208" s="719"/>
      <c r="CK208" s="719"/>
      <c r="CL208" s="719"/>
      <c r="CM208" s="719"/>
      <c r="CN208" s="719"/>
      <c r="CO208" s="719"/>
      <c r="CP208" s="719"/>
      <c r="CQ208" s="719"/>
      <c r="CR208" s="719"/>
      <c r="CS208" s="719"/>
      <c r="CT208" s="719"/>
      <c r="CU208" s="719"/>
      <c r="CV208" s="719"/>
      <c r="CW208" s="719"/>
      <c r="CX208" s="719"/>
      <c r="CY208" s="719"/>
      <c r="CZ208" s="719"/>
      <c r="DA208" s="719"/>
      <c r="DB208" s="719"/>
      <c r="DC208" s="719"/>
      <c r="DD208" s="719"/>
      <c r="DE208" s="719"/>
      <c r="DF208" s="719"/>
      <c r="DG208" s="719"/>
      <c r="DH208" s="719"/>
      <c r="DI208" s="719"/>
      <c r="DJ208" s="719"/>
      <c r="DK208" s="719"/>
      <c r="DL208" s="719"/>
      <c r="DM208" s="719"/>
      <c r="DN208" s="719"/>
      <c r="DO208" s="719"/>
      <c r="DP208" s="719"/>
      <c r="DQ208" s="719"/>
      <c r="DR208" s="719"/>
    </row>
    <row r="209" spans="1:122" s="275" customFormat="1">
      <c r="A209" s="719"/>
      <c r="B209" s="719"/>
      <c r="C209" s="719"/>
      <c r="D209" s="719"/>
      <c r="E209" s="719"/>
      <c r="F209" s="719"/>
      <c r="G209" s="719"/>
      <c r="H209" s="719"/>
      <c r="I209" s="719"/>
      <c r="J209" s="719"/>
      <c r="K209" s="719"/>
      <c r="L209" s="719"/>
      <c r="M209" s="719"/>
      <c r="N209" s="721"/>
      <c r="O209" s="721"/>
      <c r="P209" s="719"/>
      <c r="Q209" s="719"/>
      <c r="R209" s="719"/>
      <c r="S209" s="721"/>
      <c r="T209" s="721"/>
      <c r="U209" s="719"/>
      <c r="V209" s="719"/>
      <c r="W209" s="719"/>
      <c r="X209" s="721"/>
      <c r="Y209" s="721"/>
      <c r="Z209" s="719"/>
      <c r="AA209" s="719"/>
      <c r="AB209" s="719"/>
      <c r="AC209" s="721"/>
      <c r="AD209" s="721"/>
      <c r="AE209" s="719"/>
      <c r="AF209" s="719"/>
      <c r="AG209" s="719"/>
      <c r="AH209" s="721"/>
      <c r="AI209" s="721"/>
      <c r="AJ209" s="719"/>
      <c r="AK209" s="719"/>
      <c r="AL209" s="719"/>
      <c r="AM209" s="719"/>
      <c r="AN209" s="719"/>
      <c r="AO209" s="719"/>
      <c r="AP209" s="719"/>
      <c r="AQ209" s="719"/>
      <c r="AR209" s="719"/>
      <c r="AS209" s="719"/>
      <c r="AT209" s="719"/>
      <c r="AU209" s="719"/>
      <c r="AV209" s="719"/>
      <c r="AW209" s="719"/>
      <c r="AX209" s="719"/>
      <c r="AY209" s="719"/>
      <c r="AZ209" s="719"/>
      <c r="BA209" s="719"/>
      <c r="BB209" s="719"/>
      <c r="BC209" s="719"/>
      <c r="BD209" s="719"/>
      <c r="BE209" s="719"/>
      <c r="BF209" s="719"/>
      <c r="BG209" s="719"/>
      <c r="BH209" s="719"/>
      <c r="BI209" s="719"/>
      <c r="BJ209" s="719"/>
      <c r="BK209" s="719"/>
      <c r="BL209" s="719"/>
      <c r="BM209" s="719"/>
      <c r="BN209" s="719"/>
      <c r="BO209" s="719"/>
      <c r="BP209" s="719"/>
      <c r="BQ209" s="719"/>
      <c r="BR209" s="719"/>
      <c r="BS209" s="719"/>
      <c r="BT209" s="719"/>
      <c r="BU209" s="719"/>
      <c r="BV209" s="719"/>
      <c r="BW209" s="719"/>
      <c r="BX209" s="719"/>
      <c r="BY209" s="719"/>
      <c r="BZ209" s="719"/>
      <c r="CA209" s="719"/>
      <c r="CB209" s="719"/>
      <c r="CC209" s="719"/>
      <c r="CD209" s="719"/>
      <c r="CE209" s="719"/>
      <c r="CF209" s="719"/>
      <c r="CG209" s="719"/>
      <c r="CH209" s="719"/>
      <c r="CI209" s="719"/>
      <c r="CJ209" s="719"/>
      <c r="CK209" s="719"/>
      <c r="CL209" s="719"/>
      <c r="CM209" s="719"/>
      <c r="CN209" s="719"/>
      <c r="CO209" s="719"/>
      <c r="CP209" s="719"/>
      <c r="CQ209" s="719"/>
      <c r="CR209" s="719"/>
      <c r="CS209" s="719"/>
      <c r="CT209" s="719"/>
      <c r="CU209" s="719"/>
      <c r="CV209" s="719"/>
      <c r="CW209" s="719"/>
      <c r="CX209" s="719"/>
      <c r="CY209" s="719"/>
      <c r="CZ209" s="719"/>
      <c r="DA209" s="719"/>
      <c r="DB209" s="719"/>
      <c r="DC209" s="719"/>
      <c r="DD209" s="719"/>
      <c r="DE209" s="719"/>
      <c r="DF209" s="719"/>
      <c r="DG209" s="719"/>
      <c r="DH209" s="719"/>
      <c r="DI209" s="719"/>
      <c r="DJ209" s="719"/>
      <c r="DK209" s="719"/>
      <c r="DL209" s="719"/>
      <c r="DM209" s="719"/>
      <c r="DN209" s="719"/>
      <c r="DO209" s="719"/>
      <c r="DP209" s="719"/>
      <c r="DQ209" s="719"/>
      <c r="DR209" s="719"/>
    </row>
    <row r="210" spans="1:122" s="275" customFormat="1">
      <c r="A210" s="719"/>
      <c r="B210" s="719"/>
      <c r="C210" s="719"/>
      <c r="D210" s="719"/>
      <c r="E210" s="719"/>
      <c r="F210" s="719"/>
      <c r="G210" s="719"/>
      <c r="H210" s="719"/>
      <c r="I210" s="719"/>
      <c r="J210" s="719"/>
      <c r="K210" s="719"/>
      <c r="L210" s="719"/>
      <c r="M210" s="719"/>
      <c r="N210" s="721"/>
      <c r="O210" s="721"/>
      <c r="P210" s="719"/>
      <c r="Q210" s="719"/>
      <c r="R210" s="719"/>
      <c r="S210" s="721"/>
      <c r="T210" s="721"/>
      <c r="U210" s="719"/>
      <c r="V210" s="719"/>
      <c r="W210" s="719"/>
      <c r="X210" s="721"/>
      <c r="Y210" s="721"/>
      <c r="Z210" s="719"/>
      <c r="AA210" s="719"/>
      <c r="AB210" s="719"/>
      <c r="AC210" s="721"/>
      <c r="AD210" s="721"/>
      <c r="AE210" s="719"/>
      <c r="AF210" s="719"/>
      <c r="AG210" s="719"/>
      <c r="AH210" s="721"/>
      <c r="AI210" s="721"/>
      <c r="AJ210" s="719"/>
      <c r="AK210" s="719"/>
      <c r="AL210" s="719"/>
      <c r="AM210" s="719"/>
      <c r="AN210" s="719"/>
      <c r="AO210" s="719"/>
      <c r="AP210" s="719"/>
      <c r="AQ210" s="719"/>
      <c r="AR210" s="719"/>
      <c r="AS210" s="719"/>
      <c r="AT210" s="719"/>
      <c r="AU210" s="719"/>
      <c r="AV210" s="719"/>
      <c r="AW210" s="719"/>
      <c r="AX210" s="719"/>
      <c r="AY210" s="719"/>
      <c r="AZ210" s="719"/>
      <c r="BA210" s="719"/>
      <c r="BB210" s="719"/>
      <c r="BC210" s="719"/>
      <c r="BD210" s="719"/>
      <c r="BE210" s="719"/>
      <c r="BF210" s="719"/>
      <c r="BG210" s="719"/>
      <c r="BH210" s="719"/>
      <c r="BI210" s="719"/>
      <c r="BJ210" s="719"/>
      <c r="BK210" s="719"/>
      <c r="BL210" s="719"/>
      <c r="BM210" s="719"/>
      <c r="BN210" s="719"/>
      <c r="BO210" s="719"/>
      <c r="BP210" s="719"/>
      <c r="BQ210" s="719"/>
      <c r="BR210" s="719"/>
      <c r="BS210" s="719"/>
      <c r="BT210" s="719"/>
      <c r="BU210" s="719"/>
      <c r="BV210" s="719"/>
      <c r="BW210" s="719"/>
      <c r="BX210" s="719"/>
      <c r="BY210" s="719"/>
      <c r="BZ210" s="719"/>
      <c r="CA210" s="719"/>
      <c r="CB210" s="719"/>
      <c r="CC210" s="719"/>
      <c r="CD210" s="719"/>
      <c r="CE210" s="719"/>
      <c r="CF210" s="719"/>
      <c r="CG210" s="719"/>
      <c r="CH210" s="719"/>
      <c r="CI210" s="719"/>
      <c r="CJ210" s="719"/>
      <c r="CK210" s="719"/>
      <c r="CL210" s="719"/>
      <c r="CM210" s="719"/>
      <c r="CN210" s="719"/>
      <c r="CO210" s="719"/>
      <c r="CP210" s="719"/>
      <c r="CQ210" s="719"/>
      <c r="CR210" s="719"/>
      <c r="CS210" s="719"/>
      <c r="CT210" s="719"/>
      <c r="CU210" s="719"/>
      <c r="CV210" s="719"/>
      <c r="CW210" s="719"/>
      <c r="CX210" s="719"/>
      <c r="CY210" s="719"/>
      <c r="CZ210" s="719"/>
      <c r="DA210" s="719"/>
      <c r="DB210" s="719"/>
      <c r="DC210" s="719"/>
      <c r="DD210" s="719"/>
      <c r="DE210" s="719"/>
      <c r="DF210" s="719"/>
      <c r="DG210" s="719"/>
      <c r="DH210" s="719"/>
      <c r="DI210" s="719"/>
      <c r="DJ210" s="719"/>
      <c r="DK210" s="719"/>
      <c r="DL210" s="719"/>
      <c r="DM210" s="719"/>
      <c r="DN210" s="719"/>
      <c r="DO210" s="719"/>
      <c r="DP210" s="719"/>
      <c r="DQ210" s="719"/>
      <c r="DR210" s="719"/>
    </row>
    <row r="211" spans="1:122" s="275" customFormat="1">
      <c r="A211" s="719"/>
      <c r="B211" s="719"/>
      <c r="C211" s="719"/>
      <c r="D211" s="719"/>
      <c r="E211" s="719"/>
      <c r="F211" s="719"/>
      <c r="G211" s="719"/>
      <c r="H211" s="719"/>
      <c r="I211" s="719"/>
      <c r="J211" s="719"/>
      <c r="K211" s="719"/>
      <c r="L211" s="719"/>
      <c r="M211" s="719"/>
      <c r="N211" s="721"/>
      <c r="O211" s="721"/>
      <c r="P211" s="719"/>
      <c r="Q211" s="719"/>
      <c r="R211" s="719"/>
      <c r="S211" s="721"/>
      <c r="T211" s="721"/>
      <c r="U211" s="719"/>
      <c r="V211" s="719"/>
      <c r="W211" s="719"/>
      <c r="X211" s="721"/>
      <c r="Y211" s="721"/>
      <c r="Z211" s="719"/>
      <c r="AA211" s="719"/>
      <c r="AB211" s="719"/>
      <c r="AC211" s="721"/>
      <c r="AD211" s="721"/>
      <c r="AE211" s="719"/>
      <c r="AF211" s="719"/>
      <c r="AG211" s="719"/>
      <c r="AH211" s="721"/>
      <c r="AI211" s="721"/>
      <c r="AJ211" s="719"/>
      <c r="AK211" s="719"/>
      <c r="AL211" s="719"/>
      <c r="AM211" s="719"/>
      <c r="AN211" s="719"/>
      <c r="AO211" s="719"/>
      <c r="AP211" s="719"/>
      <c r="AQ211" s="719"/>
      <c r="AR211" s="719"/>
      <c r="AS211" s="719"/>
      <c r="AT211" s="719"/>
      <c r="AU211" s="719"/>
      <c r="AV211" s="719"/>
      <c r="AW211" s="719"/>
      <c r="AX211" s="719"/>
      <c r="AY211" s="719"/>
      <c r="AZ211" s="719"/>
      <c r="BA211" s="719"/>
      <c r="BB211" s="719"/>
      <c r="BC211" s="719"/>
      <c r="BD211" s="719"/>
      <c r="BE211" s="719"/>
      <c r="BF211" s="719"/>
      <c r="BG211" s="719"/>
      <c r="BH211" s="719"/>
      <c r="BI211" s="719"/>
      <c r="BJ211" s="719"/>
      <c r="BK211" s="719"/>
      <c r="BL211" s="719"/>
      <c r="BM211" s="719"/>
      <c r="BN211" s="719"/>
      <c r="BO211" s="719"/>
      <c r="BP211" s="719"/>
      <c r="BQ211" s="719"/>
      <c r="BR211" s="719"/>
      <c r="BS211" s="719"/>
      <c r="BT211" s="719"/>
      <c r="BU211" s="719"/>
      <c r="BV211" s="719"/>
      <c r="BW211" s="719"/>
      <c r="BX211" s="719"/>
      <c r="BY211" s="719"/>
      <c r="BZ211" s="719"/>
      <c r="CA211" s="719"/>
      <c r="CB211" s="719"/>
      <c r="CC211" s="719"/>
      <c r="CD211" s="719"/>
      <c r="CE211" s="719"/>
      <c r="CF211" s="719"/>
      <c r="CG211" s="719"/>
      <c r="CH211" s="719"/>
      <c r="CI211" s="719"/>
      <c r="CJ211" s="719"/>
      <c r="CK211" s="719"/>
      <c r="CL211" s="719"/>
      <c r="CM211" s="719"/>
      <c r="CN211" s="719"/>
      <c r="CO211" s="719"/>
      <c r="CP211" s="719"/>
      <c r="CQ211" s="719"/>
      <c r="CR211" s="719"/>
      <c r="CS211" s="719"/>
      <c r="CT211" s="719"/>
      <c r="CU211" s="719"/>
      <c r="CV211" s="719"/>
      <c r="CW211" s="719"/>
      <c r="CX211" s="719"/>
      <c r="CY211" s="719"/>
      <c r="CZ211" s="719"/>
      <c r="DA211" s="719"/>
      <c r="DB211" s="719"/>
      <c r="DC211" s="719"/>
      <c r="DD211" s="719"/>
      <c r="DE211" s="719"/>
      <c r="DF211" s="719"/>
      <c r="DG211" s="719"/>
      <c r="DH211" s="719"/>
      <c r="DI211" s="719"/>
      <c r="DJ211" s="719"/>
      <c r="DK211" s="719"/>
      <c r="DL211" s="719"/>
      <c r="DM211" s="719"/>
      <c r="DN211" s="719"/>
      <c r="DO211" s="719"/>
      <c r="DP211" s="719"/>
      <c r="DQ211" s="719"/>
      <c r="DR211" s="719"/>
    </row>
    <row r="212" spans="1:122" s="275" customFormat="1">
      <c r="A212" s="719"/>
      <c r="B212" s="719"/>
      <c r="C212" s="719"/>
      <c r="D212" s="719"/>
      <c r="E212" s="719"/>
      <c r="F212" s="719"/>
      <c r="G212" s="719"/>
      <c r="H212" s="719"/>
      <c r="I212" s="719"/>
      <c r="J212" s="719"/>
      <c r="K212" s="719"/>
      <c r="L212" s="719"/>
      <c r="M212" s="719"/>
      <c r="N212" s="721"/>
      <c r="O212" s="721"/>
      <c r="P212" s="719"/>
      <c r="Q212" s="719"/>
      <c r="R212" s="719"/>
      <c r="S212" s="721"/>
      <c r="T212" s="721"/>
      <c r="U212" s="719"/>
      <c r="V212" s="719"/>
      <c r="W212" s="719"/>
      <c r="X212" s="721"/>
      <c r="Y212" s="721"/>
      <c r="Z212" s="719"/>
      <c r="AA212" s="719"/>
      <c r="AB212" s="719"/>
      <c r="AC212" s="721"/>
      <c r="AD212" s="721"/>
      <c r="AE212" s="719"/>
      <c r="AF212" s="719"/>
      <c r="AG212" s="719"/>
      <c r="AH212" s="721"/>
      <c r="AI212" s="721"/>
      <c r="AJ212" s="719"/>
      <c r="AK212" s="719"/>
      <c r="AL212" s="719"/>
      <c r="AM212" s="719"/>
      <c r="AN212" s="719"/>
      <c r="AO212" s="719"/>
      <c r="AP212" s="719"/>
      <c r="AQ212" s="719"/>
      <c r="AR212" s="719"/>
      <c r="AS212" s="719"/>
      <c r="AT212" s="719"/>
      <c r="AU212" s="719"/>
      <c r="AV212" s="719"/>
      <c r="AW212" s="719"/>
      <c r="AX212" s="719"/>
      <c r="AY212" s="719"/>
      <c r="AZ212" s="719"/>
      <c r="BA212" s="719"/>
      <c r="BB212" s="719"/>
      <c r="BC212" s="719"/>
      <c r="BD212" s="719"/>
      <c r="BE212" s="719"/>
      <c r="BF212" s="719"/>
      <c r="BG212" s="719"/>
      <c r="BH212" s="719"/>
      <c r="BI212" s="719"/>
      <c r="BJ212" s="719"/>
      <c r="BK212" s="719"/>
      <c r="BL212" s="719"/>
      <c r="BM212" s="719"/>
      <c r="BN212" s="719"/>
      <c r="BO212" s="719"/>
      <c r="BP212" s="719"/>
      <c r="BQ212" s="719"/>
      <c r="BR212" s="719"/>
      <c r="BS212" s="719"/>
      <c r="BT212" s="719"/>
      <c r="BU212" s="719"/>
      <c r="BV212" s="719"/>
      <c r="BW212" s="719"/>
      <c r="BX212" s="719"/>
      <c r="BY212" s="719"/>
      <c r="BZ212" s="719"/>
      <c r="CA212" s="719"/>
      <c r="CB212" s="719"/>
      <c r="CC212" s="719"/>
      <c r="CD212" s="719"/>
      <c r="CE212" s="719"/>
      <c r="CF212" s="719"/>
      <c r="CG212" s="719"/>
      <c r="CH212" s="719"/>
      <c r="CI212" s="719"/>
      <c r="CJ212" s="719"/>
      <c r="CK212" s="719"/>
      <c r="CL212" s="719"/>
      <c r="CM212" s="719"/>
      <c r="CN212" s="719"/>
      <c r="CO212" s="719"/>
      <c r="CP212" s="719"/>
      <c r="CQ212" s="719"/>
      <c r="CR212" s="719"/>
      <c r="CS212" s="719"/>
      <c r="CT212" s="719"/>
      <c r="CU212" s="719"/>
      <c r="CV212" s="719"/>
      <c r="CW212" s="719"/>
      <c r="CX212" s="719"/>
      <c r="CY212" s="719"/>
      <c r="CZ212" s="719"/>
      <c r="DA212" s="719"/>
      <c r="DB212" s="719"/>
      <c r="DC212" s="719"/>
      <c r="DD212" s="719"/>
      <c r="DE212" s="719"/>
      <c r="DF212" s="719"/>
      <c r="DG212" s="719"/>
      <c r="DH212" s="719"/>
      <c r="DI212" s="719"/>
      <c r="DJ212" s="719"/>
      <c r="DK212" s="719"/>
      <c r="DL212" s="719"/>
      <c r="DM212" s="719"/>
      <c r="DN212" s="719"/>
      <c r="DO212" s="719"/>
      <c r="DP212" s="719"/>
      <c r="DQ212" s="719"/>
      <c r="DR212" s="719"/>
    </row>
    <row r="213" spans="1:122" s="275" customFormat="1">
      <c r="A213" s="719"/>
      <c r="B213" s="719"/>
      <c r="C213" s="719"/>
      <c r="D213" s="719"/>
      <c r="E213" s="719"/>
      <c r="F213" s="719"/>
      <c r="G213" s="719"/>
      <c r="H213" s="719"/>
      <c r="I213" s="719"/>
      <c r="J213" s="719"/>
      <c r="K213" s="719"/>
      <c r="L213" s="719"/>
      <c r="M213" s="719"/>
      <c r="N213" s="721"/>
      <c r="O213" s="721"/>
      <c r="P213" s="719"/>
      <c r="Q213" s="719"/>
      <c r="R213" s="719"/>
      <c r="S213" s="721"/>
      <c r="T213" s="721"/>
      <c r="U213" s="719"/>
      <c r="V213" s="719"/>
      <c r="W213" s="719"/>
      <c r="X213" s="721"/>
      <c r="Y213" s="721"/>
      <c r="Z213" s="719"/>
      <c r="AA213" s="719"/>
      <c r="AB213" s="719"/>
      <c r="AC213" s="721"/>
      <c r="AD213" s="721"/>
      <c r="AE213" s="719"/>
      <c r="AF213" s="719"/>
      <c r="AG213" s="719"/>
      <c r="AH213" s="721"/>
      <c r="AI213" s="721"/>
      <c r="AJ213" s="719"/>
      <c r="AK213" s="719"/>
      <c r="AL213" s="719"/>
      <c r="AM213" s="719"/>
      <c r="AN213" s="719"/>
      <c r="AO213" s="719"/>
      <c r="AP213" s="719"/>
      <c r="AQ213" s="719"/>
      <c r="AR213" s="719"/>
      <c r="AS213" s="719"/>
      <c r="AT213" s="719"/>
      <c r="AU213" s="719"/>
      <c r="AV213" s="719"/>
      <c r="AW213" s="719"/>
      <c r="AX213" s="719"/>
      <c r="AY213" s="719"/>
      <c r="AZ213" s="719"/>
      <c r="BA213" s="719"/>
      <c r="BB213" s="719"/>
      <c r="BC213" s="719"/>
      <c r="BD213" s="719"/>
      <c r="BE213" s="719"/>
      <c r="BF213" s="719"/>
      <c r="BG213" s="719"/>
      <c r="BH213" s="719"/>
      <c r="BI213" s="719"/>
      <c r="BJ213" s="719"/>
      <c r="BK213" s="719"/>
      <c r="BL213" s="719"/>
      <c r="BM213" s="719"/>
      <c r="BN213" s="719"/>
      <c r="BO213" s="719"/>
      <c r="BP213" s="719"/>
      <c r="BQ213" s="719"/>
      <c r="BR213" s="719"/>
      <c r="BS213" s="719"/>
      <c r="BT213" s="719"/>
      <c r="BU213" s="719"/>
      <c r="BV213" s="719"/>
      <c r="BW213" s="719"/>
      <c r="BX213" s="719"/>
      <c r="BY213" s="719"/>
      <c r="BZ213" s="719"/>
      <c r="CA213" s="719"/>
      <c r="CB213" s="719"/>
      <c r="CC213" s="719"/>
      <c r="CD213" s="719"/>
      <c r="CE213" s="719"/>
      <c r="CF213" s="719"/>
      <c r="CG213" s="719"/>
      <c r="CH213" s="719"/>
      <c r="CI213" s="719"/>
      <c r="CJ213" s="719"/>
      <c r="CK213" s="719"/>
      <c r="CL213" s="719"/>
      <c r="CM213" s="719"/>
      <c r="CN213" s="719"/>
      <c r="CO213" s="719"/>
      <c r="CP213" s="719"/>
      <c r="CQ213" s="719"/>
      <c r="CR213" s="719"/>
      <c r="CS213" s="719"/>
      <c r="CT213" s="719"/>
      <c r="CU213" s="719"/>
      <c r="CV213" s="719"/>
      <c r="CW213" s="719"/>
      <c r="CX213" s="719"/>
      <c r="CY213" s="719"/>
      <c r="CZ213" s="719"/>
      <c r="DA213" s="719"/>
      <c r="DB213" s="719"/>
      <c r="DC213" s="719"/>
      <c r="DD213" s="719"/>
      <c r="DE213" s="719"/>
      <c r="DF213" s="719"/>
      <c r="DG213" s="719"/>
      <c r="DH213" s="719"/>
      <c r="DI213" s="719"/>
      <c r="DJ213" s="719"/>
      <c r="DK213" s="719"/>
      <c r="DL213" s="719"/>
      <c r="DM213" s="719"/>
      <c r="DN213" s="719"/>
      <c r="DO213" s="719"/>
      <c r="DP213" s="719"/>
      <c r="DQ213" s="719"/>
      <c r="DR213" s="719"/>
    </row>
    <row r="214" spans="1:122" s="275" customFormat="1">
      <c r="A214" s="719"/>
      <c r="B214" s="719"/>
      <c r="C214" s="719"/>
      <c r="D214" s="719"/>
      <c r="E214" s="719"/>
      <c r="F214" s="719"/>
      <c r="G214" s="719"/>
      <c r="H214" s="719"/>
      <c r="I214" s="719"/>
      <c r="J214" s="719"/>
      <c r="K214" s="719"/>
      <c r="L214" s="719"/>
      <c r="M214" s="719"/>
      <c r="N214" s="721"/>
      <c r="O214" s="721"/>
      <c r="P214" s="719"/>
      <c r="Q214" s="719"/>
      <c r="R214" s="719"/>
      <c r="S214" s="721"/>
      <c r="T214" s="721"/>
      <c r="U214" s="719"/>
      <c r="V214" s="719"/>
      <c r="W214" s="719"/>
      <c r="X214" s="721"/>
      <c r="Y214" s="721"/>
      <c r="Z214" s="719"/>
      <c r="AA214" s="719"/>
      <c r="AB214" s="719"/>
      <c r="AC214" s="721"/>
      <c r="AD214" s="721"/>
      <c r="AE214" s="719"/>
      <c r="AF214" s="719"/>
      <c r="AG214" s="719"/>
      <c r="AH214" s="721"/>
      <c r="AI214" s="721"/>
      <c r="AJ214" s="719"/>
      <c r="AK214" s="719"/>
      <c r="AL214" s="719"/>
      <c r="AM214" s="719"/>
      <c r="AN214" s="719"/>
      <c r="AO214" s="719"/>
      <c r="AP214" s="719"/>
      <c r="AQ214" s="719"/>
      <c r="AR214" s="719"/>
      <c r="AS214" s="719"/>
      <c r="AT214" s="719"/>
      <c r="AU214" s="719"/>
      <c r="AV214" s="719"/>
      <c r="AW214" s="719"/>
      <c r="AX214" s="719"/>
      <c r="AY214" s="719"/>
      <c r="AZ214" s="719"/>
      <c r="BA214" s="719"/>
      <c r="BB214" s="719"/>
      <c r="BC214" s="719"/>
      <c r="BD214" s="719"/>
      <c r="BE214" s="719"/>
      <c r="BF214" s="719"/>
      <c r="BG214" s="719"/>
      <c r="BH214" s="719"/>
      <c r="BI214" s="719"/>
      <c r="BJ214" s="719"/>
      <c r="BK214" s="719"/>
      <c r="BL214" s="719"/>
      <c r="BM214" s="719"/>
      <c r="BN214" s="719"/>
      <c r="BO214" s="719"/>
      <c r="BP214" s="719"/>
      <c r="BQ214" s="719"/>
      <c r="BR214" s="719"/>
      <c r="BS214" s="719"/>
      <c r="BT214" s="719"/>
      <c r="BU214" s="719"/>
      <c r="BV214" s="719"/>
      <c r="BW214" s="719"/>
      <c r="BX214" s="719"/>
      <c r="BY214" s="719"/>
      <c r="BZ214" s="719"/>
      <c r="CA214" s="719"/>
      <c r="CB214" s="719"/>
      <c r="CC214" s="719"/>
      <c r="CD214" s="719"/>
      <c r="CE214" s="719"/>
      <c r="CF214" s="719"/>
      <c r="CG214" s="719"/>
      <c r="CH214" s="719"/>
      <c r="CI214" s="719"/>
      <c r="CJ214" s="719"/>
      <c r="CK214" s="719"/>
      <c r="CL214" s="719"/>
      <c r="CM214" s="719"/>
      <c r="CN214" s="719"/>
      <c r="CO214" s="719"/>
      <c r="CP214" s="719"/>
      <c r="CQ214" s="719"/>
      <c r="CR214" s="719"/>
      <c r="CS214" s="719"/>
      <c r="CT214" s="719"/>
      <c r="CU214" s="719"/>
      <c r="CV214" s="719"/>
      <c r="CW214" s="719"/>
      <c r="CX214" s="719"/>
      <c r="CY214" s="719"/>
      <c r="CZ214" s="719"/>
      <c r="DA214" s="719"/>
      <c r="DB214" s="719"/>
      <c r="DC214" s="719"/>
      <c r="DD214" s="719"/>
      <c r="DE214" s="719"/>
      <c r="DF214" s="719"/>
      <c r="DG214" s="719"/>
      <c r="DH214" s="719"/>
      <c r="DI214" s="719"/>
      <c r="DJ214" s="719"/>
      <c r="DK214" s="719"/>
      <c r="DL214" s="719"/>
      <c r="DM214" s="719"/>
      <c r="DN214" s="719"/>
      <c r="DO214" s="719"/>
      <c r="DP214" s="719"/>
      <c r="DQ214" s="719"/>
      <c r="DR214" s="719"/>
    </row>
    <row r="215" spans="1:122" s="275" customFormat="1">
      <c r="A215" s="719"/>
      <c r="B215" s="719"/>
      <c r="C215" s="719"/>
      <c r="D215" s="719"/>
      <c r="E215" s="719"/>
      <c r="F215" s="719"/>
      <c r="G215" s="719"/>
      <c r="H215" s="719"/>
      <c r="I215" s="719"/>
      <c r="J215" s="719"/>
      <c r="K215" s="719"/>
      <c r="L215" s="719"/>
      <c r="M215" s="719"/>
      <c r="N215" s="721"/>
      <c r="O215" s="721"/>
      <c r="P215" s="719"/>
      <c r="Q215" s="719"/>
      <c r="R215" s="719"/>
      <c r="S215" s="721"/>
      <c r="T215" s="721"/>
      <c r="U215" s="719"/>
      <c r="V215" s="719"/>
      <c r="W215" s="719"/>
      <c r="X215" s="721"/>
      <c r="Y215" s="721"/>
      <c r="Z215" s="719"/>
      <c r="AA215" s="719"/>
      <c r="AB215" s="719"/>
      <c r="AC215" s="721"/>
      <c r="AD215" s="721"/>
      <c r="AE215" s="719"/>
      <c r="AF215" s="719"/>
      <c r="AG215" s="719"/>
      <c r="AH215" s="721"/>
      <c r="AI215" s="721"/>
      <c r="AJ215" s="719"/>
      <c r="AK215" s="719"/>
      <c r="AL215" s="719"/>
      <c r="AM215" s="719"/>
      <c r="AN215" s="719"/>
      <c r="AO215" s="719"/>
      <c r="AP215" s="719"/>
      <c r="AQ215" s="719"/>
      <c r="AR215" s="719"/>
      <c r="AS215" s="719"/>
      <c r="AT215" s="719"/>
      <c r="AU215" s="719"/>
      <c r="AV215" s="719"/>
      <c r="AW215" s="719"/>
      <c r="AX215" s="719"/>
      <c r="AY215" s="719"/>
      <c r="AZ215" s="719"/>
      <c r="BA215" s="719"/>
      <c r="BB215" s="719"/>
      <c r="BC215" s="719"/>
      <c r="BD215" s="719"/>
      <c r="BE215" s="719"/>
      <c r="BF215" s="719"/>
      <c r="BG215" s="719"/>
      <c r="BH215" s="719"/>
      <c r="BI215" s="719"/>
      <c r="BJ215" s="719"/>
      <c r="BK215" s="719"/>
      <c r="BL215" s="719"/>
      <c r="BM215" s="719"/>
      <c r="BN215" s="719"/>
      <c r="BO215" s="719"/>
      <c r="BP215" s="719"/>
      <c r="BQ215" s="719"/>
      <c r="BR215" s="719"/>
      <c r="BS215" s="719"/>
      <c r="BT215" s="719"/>
      <c r="BU215" s="719"/>
      <c r="BV215" s="719"/>
      <c r="BW215" s="719"/>
      <c r="BX215" s="719"/>
      <c r="BY215" s="719"/>
      <c r="BZ215" s="719"/>
      <c r="CA215" s="719"/>
      <c r="CB215" s="719"/>
      <c r="CC215" s="719"/>
      <c r="CD215" s="719"/>
      <c r="CE215" s="719"/>
      <c r="CF215" s="719"/>
      <c r="CG215" s="719"/>
      <c r="CH215" s="719"/>
      <c r="CI215" s="719"/>
      <c r="CJ215" s="719"/>
      <c r="CK215" s="719"/>
      <c r="CL215" s="719"/>
      <c r="CM215" s="719"/>
      <c r="CN215" s="719"/>
      <c r="CO215" s="719"/>
      <c r="CP215" s="719"/>
      <c r="CQ215" s="719"/>
      <c r="CR215" s="719"/>
      <c r="CS215" s="719"/>
      <c r="CT215" s="719"/>
      <c r="CU215" s="719"/>
      <c r="CV215" s="719"/>
      <c r="CW215" s="719"/>
      <c r="CX215" s="719"/>
      <c r="CY215" s="719"/>
      <c r="CZ215" s="719"/>
      <c r="DA215" s="719"/>
      <c r="DB215" s="719"/>
      <c r="DC215" s="719"/>
      <c r="DD215" s="719"/>
      <c r="DE215" s="719"/>
      <c r="DF215" s="719"/>
      <c r="DG215" s="719"/>
      <c r="DH215" s="719"/>
      <c r="DI215" s="719"/>
      <c r="DJ215" s="719"/>
      <c r="DK215" s="719"/>
      <c r="DL215" s="719"/>
      <c r="DM215" s="719"/>
      <c r="DN215" s="719"/>
      <c r="DO215" s="719"/>
      <c r="DP215" s="719"/>
      <c r="DQ215" s="719"/>
      <c r="DR215" s="719"/>
    </row>
    <row r="216" spans="1:122" s="275" customFormat="1">
      <c r="A216" s="719"/>
      <c r="B216" s="719"/>
      <c r="C216" s="719"/>
      <c r="D216" s="719"/>
      <c r="E216" s="719"/>
      <c r="F216" s="719"/>
      <c r="G216" s="719"/>
      <c r="H216" s="719"/>
      <c r="I216" s="719"/>
      <c r="J216" s="719"/>
      <c r="K216" s="719"/>
      <c r="L216" s="719"/>
      <c r="M216" s="719"/>
      <c r="N216" s="721"/>
      <c r="O216" s="721"/>
      <c r="P216" s="719"/>
      <c r="Q216" s="719"/>
      <c r="R216" s="719"/>
      <c r="S216" s="721"/>
      <c r="T216" s="721"/>
      <c r="U216" s="719"/>
      <c r="V216" s="719"/>
      <c r="W216" s="719"/>
      <c r="X216" s="721"/>
      <c r="Y216" s="721"/>
      <c r="Z216" s="719"/>
      <c r="AA216" s="719"/>
      <c r="AB216" s="719"/>
      <c r="AC216" s="721"/>
      <c r="AD216" s="721"/>
      <c r="AE216" s="719"/>
      <c r="AF216" s="719"/>
      <c r="AG216" s="719"/>
      <c r="AH216" s="721"/>
      <c r="AI216" s="721"/>
      <c r="AJ216" s="719"/>
      <c r="AK216" s="719"/>
      <c r="AL216" s="719"/>
      <c r="AM216" s="719"/>
      <c r="AN216" s="719"/>
      <c r="AO216" s="719"/>
      <c r="AP216" s="719"/>
      <c r="AQ216" s="719"/>
      <c r="AR216" s="719"/>
      <c r="AS216" s="719"/>
      <c r="AT216" s="719"/>
      <c r="AU216" s="719"/>
      <c r="AV216" s="719"/>
      <c r="AW216" s="719"/>
      <c r="AX216" s="719"/>
      <c r="AY216" s="719"/>
      <c r="AZ216" s="719"/>
      <c r="BA216" s="719"/>
      <c r="BB216" s="719"/>
      <c r="BC216" s="719"/>
      <c r="BD216" s="719"/>
      <c r="BE216" s="719"/>
      <c r="BF216" s="719"/>
      <c r="BG216" s="719"/>
      <c r="BH216" s="719"/>
      <c r="BI216" s="719"/>
      <c r="BJ216" s="719"/>
      <c r="BK216" s="719"/>
      <c r="BL216" s="719"/>
      <c r="BM216" s="719"/>
      <c r="BN216" s="719"/>
      <c r="BO216" s="719"/>
      <c r="BP216" s="719"/>
      <c r="BQ216" s="719"/>
      <c r="BR216" s="719"/>
      <c r="BS216" s="719"/>
      <c r="BT216" s="719"/>
      <c r="BU216" s="719"/>
      <c r="BV216" s="719"/>
      <c r="BW216" s="719"/>
      <c r="BX216" s="719"/>
      <c r="BY216" s="719"/>
      <c r="BZ216" s="719"/>
      <c r="CA216" s="719"/>
      <c r="CB216" s="719"/>
      <c r="CC216" s="719"/>
      <c r="CD216" s="719"/>
      <c r="CE216" s="719"/>
      <c r="CF216" s="719"/>
      <c r="CG216" s="719"/>
      <c r="CH216" s="719"/>
      <c r="CI216" s="719"/>
      <c r="CJ216" s="719"/>
      <c r="CK216" s="719"/>
      <c r="CL216" s="719"/>
      <c r="CM216" s="719"/>
      <c r="CN216" s="719"/>
      <c r="CO216" s="719"/>
      <c r="CP216" s="719"/>
      <c r="CQ216" s="719"/>
      <c r="CR216" s="719"/>
      <c r="CS216" s="719"/>
      <c r="CT216" s="719"/>
      <c r="CU216" s="719"/>
      <c r="CV216" s="719"/>
      <c r="CW216" s="719"/>
      <c r="CX216" s="719"/>
      <c r="CY216" s="719"/>
      <c r="CZ216" s="719"/>
      <c r="DA216" s="719"/>
      <c r="DB216" s="719"/>
      <c r="DC216" s="719"/>
      <c r="DD216" s="719"/>
      <c r="DE216" s="719"/>
      <c r="DF216" s="719"/>
      <c r="DG216" s="719"/>
      <c r="DH216" s="719"/>
      <c r="DI216" s="719"/>
      <c r="DJ216" s="719"/>
      <c r="DK216" s="719"/>
      <c r="DL216" s="719"/>
      <c r="DM216" s="719"/>
      <c r="DN216" s="719"/>
      <c r="DO216" s="719"/>
      <c r="DP216" s="719"/>
      <c r="DQ216" s="719"/>
      <c r="DR216" s="719"/>
    </row>
    <row r="217" spans="1:122" s="275" customFormat="1">
      <c r="A217" s="719"/>
      <c r="B217" s="719"/>
      <c r="C217" s="719"/>
      <c r="D217" s="719"/>
      <c r="E217" s="719"/>
      <c r="F217" s="719"/>
      <c r="G217" s="719"/>
      <c r="H217" s="719"/>
      <c r="I217" s="719"/>
      <c r="J217" s="719"/>
      <c r="K217" s="719"/>
      <c r="L217" s="719"/>
      <c r="M217" s="719"/>
      <c r="N217" s="721"/>
      <c r="O217" s="721"/>
      <c r="P217" s="719"/>
      <c r="Q217" s="719"/>
      <c r="R217" s="719"/>
      <c r="S217" s="721"/>
      <c r="T217" s="721"/>
      <c r="U217" s="719"/>
      <c r="V217" s="719"/>
      <c r="W217" s="719"/>
      <c r="X217" s="721"/>
      <c r="Y217" s="721"/>
      <c r="Z217" s="719"/>
      <c r="AA217" s="719"/>
      <c r="AB217" s="719"/>
      <c r="AC217" s="721"/>
      <c r="AD217" s="721"/>
      <c r="AE217" s="719"/>
      <c r="AF217" s="719"/>
      <c r="AG217" s="719"/>
      <c r="AH217" s="721"/>
      <c r="AI217" s="721"/>
      <c r="AJ217" s="719"/>
      <c r="AK217" s="719"/>
      <c r="AL217" s="719"/>
      <c r="AM217" s="719"/>
      <c r="AN217" s="719"/>
      <c r="AO217" s="719"/>
      <c r="AP217" s="719"/>
      <c r="AQ217" s="719"/>
      <c r="AR217" s="719"/>
      <c r="AS217" s="719"/>
      <c r="AT217" s="719"/>
      <c r="AU217" s="719"/>
      <c r="AV217" s="719"/>
      <c r="AW217" s="719"/>
      <c r="AX217" s="719"/>
      <c r="AY217" s="719"/>
      <c r="AZ217" s="719"/>
      <c r="BA217" s="719"/>
      <c r="BB217" s="719"/>
      <c r="BC217" s="719"/>
      <c r="BD217" s="719"/>
      <c r="BE217" s="719"/>
      <c r="BF217" s="719"/>
      <c r="BG217" s="719"/>
      <c r="BH217" s="719"/>
      <c r="BI217" s="719"/>
      <c r="BJ217" s="719"/>
      <c r="BK217" s="719"/>
      <c r="BL217" s="719"/>
      <c r="BM217" s="719"/>
      <c r="BN217" s="719"/>
      <c r="BO217" s="719"/>
      <c r="BP217" s="719"/>
      <c r="BQ217" s="719"/>
      <c r="BR217" s="719"/>
      <c r="BS217" s="719"/>
      <c r="BT217" s="719"/>
      <c r="BU217" s="719"/>
      <c r="BV217" s="719"/>
      <c r="BW217" s="719"/>
      <c r="BX217" s="719"/>
      <c r="BY217" s="719"/>
      <c r="BZ217" s="719"/>
      <c r="CA217" s="719"/>
      <c r="CB217" s="719"/>
      <c r="CC217" s="719"/>
      <c r="CD217" s="719"/>
      <c r="CE217" s="719"/>
      <c r="CF217" s="719"/>
      <c r="CG217" s="719"/>
      <c r="CH217" s="719"/>
      <c r="CI217" s="719"/>
      <c r="CJ217" s="719"/>
      <c r="CK217" s="719"/>
      <c r="CL217" s="719"/>
      <c r="CM217" s="719"/>
      <c r="CN217" s="719"/>
      <c r="CO217" s="719"/>
      <c r="CP217" s="719"/>
      <c r="CQ217" s="719"/>
      <c r="CR217" s="719"/>
      <c r="CS217" s="719"/>
      <c r="CT217" s="719"/>
      <c r="CU217" s="719"/>
      <c r="CV217" s="719"/>
      <c r="CW217" s="719"/>
      <c r="CX217" s="719"/>
      <c r="CY217" s="719"/>
      <c r="CZ217" s="719"/>
      <c r="DA217" s="719"/>
      <c r="DB217" s="719"/>
      <c r="DC217" s="719"/>
      <c r="DD217" s="719"/>
      <c r="DE217" s="719"/>
      <c r="DF217" s="719"/>
      <c r="DG217" s="719"/>
      <c r="DH217" s="719"/>
      <c r="DI217" s="719"/>
      <c r="DJ217" s="719"/>
      <c r="DK217" s="719"/>
      <c r="DL217" s="719"/>
      <c r="DM217" s="719"/>
      <c r="DN217" s="719"/>
      <c r="DO217" s="719"/>
      <c r="DP217" s="719"/>
      <c r="DQ217" s="719"/>
      <c r="DR217" s="719"/>
    </row>
    <row r="218" spans="1:122" s="275" customFormat="1">
      <c r="A218" s="719"/>
      <c r="B218" s="719"/>
      <c r="C218" s="719"/>
      <c r="D218" s="719"/>
      <c r="E218" s="719"/>
      <c r="F218" s="719"/>
      <c r="G218" s="719"/>
      <c r="H218" s="719"/>
      <c r="I218" s="719"/>
      <c r="J218" s="719"/>
      <c r="K218" s="719"/>
      <c r="L218" s="719"/>
      <c r="M218" s="719"/>
      <c r="N218" s="721"/>
      <c r="O218" s="721"/>
      <c r="P218" s="719"/>
      <c r="Q218" s="719"/>
      <c r="R218" s="719"/>
      <c r="S218" s="721"/>
      <c r="T218" s="721"/>
      <c r="U218" s="719"/>
      <c r="V218" s="719"/>
      <c r="W218" s="719"/>
      <c r="X218" s="721"/>
      <c r="Y218" s="721"/>
      <c r="Z218" s="719"/>
      <c r="AA218" s="719"/>
      <c r="AB218" s="719"/>
      <c r="AC218" s="721"/>
      <c r="AD218" s="721"/>
      <c r="AE218" s="719"/>
      <c r="AF218" s="719"/>
      <c r="AG218" s="719"/>
      <c r="AH218" s="721"/>
      <c r="AI218" s="721"/>
      <c r="AJ218" s="719"/>
      <c r="AK218" s="719"/>
      <c r="AL218" s="719"/>
      <c r="AM218" s="719"/>
      <c r="AN218" s="719"/>
      <c r="AO218" s="719"/>
      <c r="AP218" s="719"/>
      <c r="AQ218" s="719"/>
      <c r="AR218" s="719"/>
      <c r="AS218" s="719"/>
      <c r="AT218" s="719"/>
      <c r="AU218" s="719"/>
      <c r="AV218" s="719"/>
      <c r="AW218" s="719"/>
      <c r="AX218" s="719"/>
      <c r="AY218" s="719"/>
      <c r="AZ218" s="719"/>
      <c r="BA218" s="719"/>
      <c r="BB218" s="719"/>
      <c r="BC218" s="719"/>
      <c r="BD218" s="719"/>
      <c r="BE218" s="719"/>
      <c r="BF218" s="719"/>
      <c r="BG218" s="719"/>
      <c r="BH218" s="719"/>
      <c r="BI218" s="719"/>
      <c r="BJ218" s="719"/>
      <c r="BK218" s="719"/>
      <c r="BL218" s="719"/>
      <c r="BM218" s="719"/>
      <c r="BN218" s="719"/>
      <c r="BO218" s="719"/>
      <c r="BP218" s="719"/>
      <c r="BQ218" s="719"/>
      <c r="BR218" s="719"/>
      <c r="BS218" s="719"/>
      <c r="BT218" s="719"/>
      <c r="BU218" s="719"/>
      <c r="BV218" s="719"/>
      <c r="BW218" s="719"/>
      <c r="BX218" s="719"/>
      <c r="BY218" s="719"/>
      <c r="BZ218" s="719"/>
      <c r="CA218" s="719"/>
      <c r="CB218" s="719"/>
      <c r="CC218" s="719"/>
      <c r="CD218" s="719"/>
      <c r="CE218" s="719"/>
      <c r="CF218" s="719"/>
      <c r="CG218" s="719"/>
      <c r="CH218" s="719"/>
      <c r="CI218" s="719"/>
      <c r="CJ218" s="719"/>
      <c r="CK218" s="719"/>
      <c r="CL218" s="719"/>
      <c r="CM218" s="719"/>
      <c r="CN218" s="719"/>
      <c r="CO218" s="719"/>
      <c r="CP218" s="719"/>
      <c r="CQ218" s="719"/>
      <c r="CR218" s="719"/>
      <c r="CS218" s="719"/>
      <c r="CT218" s="719"/>
      <c r="CU218" s="719"/>
      <c r="CV218" s="719"/>
      <c r="CW218" s="719"/>
      <c r="CX218" s="719"/>
      <c r="CY218" s="719"/>
      <c r="CZ218" s="719"/>
      <c r="DA218" s="719"/>
      <c r="DB218" s="719"/>
      <c r="DC218" s="719"/>
      <c r="DD218" s="719"/>
      <c r="DE218" s="719"/>
      <c r="DF218" s="719"/>
      <c r="DG218" s="719"/>
      <c r="DH218" s="719"/>
      <c r="DI218" s="719"/>
      <c r="DJ218" s="719"/>
      <c r="DK218" s="719"/>
      <c r="DL218" s="719"/>
      <c r="DM218" s="719"/>
      <c r="DN218" s="719"/>
      <c r="DO218" s="719"/>
      <c r="DP218" s="719"/>
      <c r="DQ218" s="719"/>
      <c r="DR218" s="719"/>
    </row>
    <row r="219" spans="1:122" s="275" customFormat="1">
      <c r="A219" s="719"/>
      <c r="B219" s="719"/>
      <c r="C219" s="719"/>
      <c r="D219" s="719"/>
      <c r="E219" s="719"/>
      <c r="F219" s="719"/>
      <c r="G219" s="719"/>
      <c r="H219" s="719"/>
      <c r="I219" s="719"/>
      <c r="J219" s="719"/>
      <c r="K219" s="719"/>
      <c r="L219" s="719"/>
      <c r="M219" s="719"/>
      <c r="N219" s="721"/>
      <c r="O219" s="721"/>
      <c r="P219" s="719"/>
      <c r="Q219" s="719"/>
      <c r="R219" s="719"/>
      <c r="S219" s="721"/>
      <c r="T219" s="721"/>
      <c r="U219" s="719"/>
      <c r="V219" s="719"/>
      <c r="W219" s="719"/>
      <c r="X219" s="721"/>
      <c r="Y219" s="721"/>
      <c r="Z219" s="719"/>
      <c r="AA219" s="719"/>
      <c r="AB219" s="719"/>
      <c r="AC219" s="721"/>
      <c r="AD219" s="721"/>
      <c r="AE219" s="719"/>
      <c r="AF219" s="719"/>
      <c r="AG219" s="719"/>
      <c r="AH219" s="721"/>
      <c r="AI219" s="721"/>
      <c r="AJ219" s="719"/>
      <c r="AK219" s="719"/>
      <c r="AL219" s="719"/>
      <c r="AM219" s="719"/>
      <c r="AN219" s="719"/>
      <c r="AO219" s="719"/>
      <c r="AP219" s="719"/>
      <c r="AQ219" s="719"/>
      <c r="AR219" s="719"/>
      <c r="AS219" s="719"/>
      <c r="AT219" s="719"/>
      <c r="AU219" s="719"/>
      <c r="AV219" s="719"/>
      <c r="AW219" s="719"/>
      <c r="AX219" s="719"/>
      <c r="AY219" s="719"/>
      <c r="AZ219" s="719"/>
      <c r="BA219" s="719"/>
      <c r="BB219" s="719"/>
      <c r="BC219" s="719"/>
      <c r="BD219" s="719"/>
      <c r="BE219" s="719"/>
      <c r="BF219" s="719"/>
      <c r="BG219" s="719"/>
      <c r="BH219" s="719"/>
      <c r="BI219" s="719"/>
      <c r="BJ219" s="719"/>
      <c r="BK219" s="719"/>
      <c r="BL219" s="719"/>
      <c r="BM219" s="719"/>
      <c r="BN219" s="719"/>
      <c r="BO219" s="719"/>
      <c r="BP219" s="719"/>
      <c r="BQ219" s="719"/>
      <c r="BR219" s="719"/>
      <c r="BS219" s="719"/>
      <c r="BT219" s="719"/>
      <c r="BU219" s="719"/>
      <c r="BV219" s="719"/>
      <c r="BW219" s="719"/>
      <c r="BX219" s="719"/>
      <c r="BY219" s="719"/>
      <c r="BZ219" s="719"/>
      <c r="CA219" s="719"/>
      <c r="CB219" s="719"/>
      <c r="CC219" s="719"/>
      <c r="CD219" s="719"/>
      <c r="CE219" s="719"/>
      <c r="CF219" s="719"/>
      <c r="CG219" s="719"/>
      <c r="CH219" s="719"/>
      <c r="CI219" s="719"/>
      <c r="CJ219" s="719"/>
      <c r="CK219" s="719"/>
      <c r="CL219" s="719"/>
      <c r="CM219" s="719"/>
      <c r="CN219" s="719"/>
      <c r="CO219" s="719"/>
      <c r="CP219" s="719"/>
      <c r="CQ219" s="719"/>
      <c r="CR219" s="719"/>
      <c r="CS219" s="719"/>
      <c r="CT219" s="719"/>
      <c r="CU219" s="719"/>
      <c r="CV219" s="719"/>
      <c r="CW219" s="719"/>
      <c r="CX219" s="719"/>
      <c r="CY219" s="719"/>
      <c r="CZ219" s="719"/>
      <c r="DA219" s="719"/>
      <c r="DB219" s="719"/>
      <c r="DC219" s="719"/>
      <c r="DD219" s="719"/>
      <c r="DE219" s="719"/>
      <c r="DF219" s="719"/>
      <c r="DG219" s="719"/>
      <c r="DH219" s="719"/>
      <c r="DI219" s="719"/>
      <c r="DJ219" s="719"/>
      <c r="DK219" s="719"/>
      <c r="DL219" s="719"/>
      <c r="DM219" s="719"/>
      <c r="DN219" s="719"/>
      <c r="DO219" s="719"/>
      <c r="DP219" s="719"/>
      <c r="DQ219" s="719"/>
      <c r="DR219" s="719"/>
    </row>
    <row r="220" spans="1:122" s="275" customFormat="1">
      <c r="A220" s="719"/>
      <c r="B220" s="719"/>
      <c r="C220" s="719"/>
      <c r="D220" s="719"/>
      <c r="E220" s="719"/>
      <c r="F220" s="719"/>
      <c r="G220" s="719"/>
      <c r="H220" s="719"/>
      <c r="I220" s="719"/>
      <c r="J220" s="719"/>
      <c r="K220" s="719"/>
      <c r="L220" s="719"/>
      <c r="M220" s="719"/>
      <c r="N220" s="721"/>
      <c r="O220" s="721"/>
      <c r="P220" s="719"/>
      <c r="Q220" s="719"/>
      <c r="R220" s="719"/>
      <c r="S220" s="721"/>
      <c r="T220" s="721"/>
      <c r="U220" s="719"/>
      <c r="V220" s="719"/>
      <c r="W220" s="719"/>
      <c r="X220" s="721"/>
      <c r="Y220" s="721"/>
      <c r="Z220" s="719"/>
      <c r="AA220" s="719"/>
      <c r="AB220" s="719"/>
      <c r="AC220" s="721"/>
      <c r="AD220" s="721"/>
      <c r="AE220" s="719"/>
      <c r="AF220" s="719"/>
      <c r="AG220" s="719"/>
      <c r="AH220" s="721"/>
      <c r="AI220" s="721"/>
      <c r="AJ220" s="719"/>
      <c r="AK220" s="719"/>
      <c r="AL220" s="719"/>
      <c r="AM220" s="719"/>
      <c r="AN220" s="719"/>
      <c r="AO220" s="719"/>
      <c r="AP220" s="719"/>
      <c r="AQ220" s="719"/>
      <c r="AR220" s="719"/>
      <c r="AS220" s="719"/>
      <c r="AT220" s="719"/>
      <c r="AU220" s="719"/>
      <c r="AV220" s="719"/>
      <c r="AW220" s="719"/>
      <c r="AX220" s="719"/>
      <c r="AY220" s="719"/>
      <c r="AZ220" s="719"/>
      <c r="BA220" s="719"/>
      <c r="BB220" s="719"/>
      <c r="BC220" s="719"/>
      <c r="BD220" s="719"/>
      <c r="BE220" s="719"/>
      <c r="BF220" s="719"/>
      <c r="BG220" s="719"/>
      <c r="BH220" s="719"/>
      <c r="BI220" s="719"/>
      <c r="BJ220" s="719"/>
      <c r="BK220" s="719"/>
      <c r="BL220" s="719"/>
      <c r="BM220" s="719"/>
      <c r="BN220" s="719"/>
      <c r="BO220" s="719"/>
      <c r="BP220" s="719"/>
      <c r="BQ220" s="719"/>
      <c r="BR220" s="719"/>
      <c r="BS220" s="719"/>
      <c r="BT220" s="719"/>
      <c r="BU220" s="719"/>
      <c r="BV220" s="719"/>
      <c r="BW220" s="719"/>
      <c r="BX220" s="719"/>
      <c r="BY220" s="719"/>
      <c r="BZ220" s="719"/>
      <c r="CA220" s="719"/>
      <c r="CB220" s="719"/>
      <c r="CC220" s="719"/>
      <c r="CD220" s="719"/>
      <c r="CE220" s="719"/>
      <c r="CF220" s="719"/>
      <c r="CG220" s="719"/>
      <c r="CH220" s="719"/>
      <c r="CI220" s="719"/>
      <c r="CJ220" s="719"/>
      <c r="CK220" s="719"/>
      <c r="CL220" s="719"/>
      <c r="CM220" s="719"/>
      <c r="CN220" s="719"/>
      <c r="CO220" s="719"/>
      <c r="CP220" s="719"/>
      <c r="CQ220" s="719"/>
      <c r="CR220" s="719"/>
      <c r="CS220" s="719"/>
      <c r="CT220" s="719"/>
      <c r="CU220" s="719"/>
      <c r="CV220" s="719"/>
      <c r="CW220" s="719"/>
      <c r="CX220" s="719"/>
      <c r="CY220" s="719"/>
      <c r="CZ220" s="719"/>
      <c r="DA220" s="719"/>
      <c r="DB220" s="719"/>
      <c r="DC220" s="719"/>
      <c r="DD220" s="719"/>
      <c r="DE220" s="719"/>
      <c r="DF220" s="719"/>
      <c r="DG220" s="719"/>
      <c r="DH220" s="719"/>
      <c r="DI220" s="719"/>
      <c r="DJ220" s="719"/>
      <c r="DK220" s="719"/>
      <c r="DL220" s="719"/>
      <c r="DM220" s="719"/>
      <c r="DN220" s="719"/>
      <c r="DO220" s="719"/>
      <c r="DP220" s="719"/>
      <c r="DQ220" s="719"/>
      <c r="DR220" s="719"/>
    </row>
    <row r="221" spans="1:122" s="275" customFormat="1">
      <c r="A221" s="719"/>
      <c r="B221" s="719"/>
      <c r="C221" s="719"/>
      <c r="D221" s="719"/>
      <c r="E221" s="719"/>
      <c r="F221" s="719"/>
      <c r="G221" s="719"/>
      <c r="H221" s="719"/>
      <c r="I221" s="719"/>
      <c r="J221" s="719"/>
      <c r="K221" s="719"/>
      <c r="L221" s="719"/>
      <c r="M221" s="719"/>
      <c r="N221" s="721"/>
      <c r="O221" s="721"/>
      <c r="P221" s="719"/>
      <c r="Q221" s="719"/>
      <c r="R221" s="719"/>
      <c r="S221" s="721"/>
      <c r="T221" s="721"/>
      <c r="U221" s="719"/>
      <c r="V221" s="719"/>
      <c r="W221" s="719"/>
      <c r="X221" s="721"/>
      <c r="Y221" s="721"/>
      <c r="Z221" s="719"/>
      <c r="AA221" s="719"/>
      <c r="AB221" s="719"/>
      <c r="AC221" s="721"/>
      <c r="AD221" s="721"/>
      <c r="AE221" s="719"/>
      <c r="AF221" s="719"/>
      <c r="AG221" s="719"/>
      <c r="AH221" s="721"/>
      <c r="AI221" s="721"/>
      <c r="AJ221" s="719"/>
      <c r="AK221" s="719"/>
      <c r="AL221" s="719"/>
      <c r="AM221" s="719"/>
      <c r="AN221" s="719"/>
      <c r="AO221" s="719"/>
      <c r="AP221" s="719"/>
      <c r="AQ221" s="719"/>
      <c r="AR221" s="719"/>
      <c r="AS221" s="719"/>
      <c r="AT221" s="719"/>
      <c r="AU221" s="719"/>
      <c r="AV221" s="719"/>
      <c r="AW221" s="719"/>
      <c r="AX221" s="719"/>
      <c r="AY221" s="719"/>
      <c r="AZ221" s="719"/>
      <c r="BA221" s="719"/>
      <c r="BB221" s="719"/>
      <c r="BC221" s="719"/>
      <c r="BD221" s="719"/>
      <c r="BE221" s="719"/>
      <c r="BF221" s="719"/>
      <c r="BG221" s="719"/>
      <c r="BH221" s="719"/>
      <c r="BI221" s="719"/>
      <c r="BJ221" s="719"/>
      <c r="BK221" s="719"/>
      <c r="BL221" s="719"/>
      <c r="BM221" s="719"/>
      <c r="BN221" s="719"/>
      <c r="BO221" s="719"/>
      <c r="BP221" s="719"/>
      <c r="BQ221" s="719"/>
      <c r="BR221" s="719"/>
      <c r="BS221" s="719"/>
      <c r="BT221" s="719"/>
      <c r="BU221" s="719"/>
      <c r="BV221" s="719"/>
      <c r="BW221" s="719"/>
      <c r="BX221" s="719"/>
      <c r="BY221" s="719"/>
      <c r="BZ221" s="719"/>
      <c r="CA221" s="719"/>
      <c r="CB221" s="719"/>
      <c r="CC221" s="719"/>
      <c r="CD221" s="719"/>
      <c r="CE221" s="719"/>
      <c r="CF221" s="719"/>
      <c r="CG221" s="719"/>
      <c r="CH221" s="719"/>
      <c r="CI221" s="719"/>
      <c r="CJ221" s="719"/>
      <c r="CK221" s="719"/>
      <c r="CL221" s="719"/>
      <c r="CM221" s="719"/>
      <c r="CN221" s="719"/>
      <c r="CO221" s="719"/>
      <c r="CP221" s="719"/>
      <c r="CQ221" s="719"/>
      <c r="CR221" s="719"/>
      <c r="CS221" s="719"/>
      <c r="CT221" s="719"/>
      <c r="CU221" s="719"/>
      <c r="CV221" s="719"/>
      <c r="CW221" s="719"/>
      <c r="CX221" s="719"/>
      <c r="CY221" s="719"/>
      <c r="CZ221" s="719"/>
      <c r="DA221" s="719"/>
      <c r="DB221" s="719"/>
      <c r="DC221" s="719"/>
      <c r="DD221" s="719"/>
      <c r="DE221" s="719"/>
      <c r="DF221" s="719"/>
      <c r="DG221" s="719"/>
      <c r="DH221" s="719"/>
      <c r="DI221" s="719"/>
      <c r="DJ221" s="719"/>
      <c r="DK221" s="719"/>
      <c r="DL221" s="719"/>
      <c r="DM221" s="719"/>
      <c r="DN221" s="719"/>
      <c r="DO221" s="719"/>
      <c r="DP221" s="719"/>
      <c r="DQ221" s="719"/>
      <c r="DR221" s="719"/>
    </row>
    <row r="222" spans="1:122" s="275" customFormat="1">
      <c r="A222" s="719"/>
      <c r="B222" s="719"/>
      <c r="C222" s="719"/>
      <c r="D222" s="719"/>
      <c r="E222" s="719"/>
      <c r="F222" s="719"/>
      <c r="G222" s="719"/>
      <c r="H222" s="719"/>
      <c r="I222" s="719"/>
      <c r="J222" s="719"/>
      <c r="K222" s="719"/>
      <c r="L222" s="719"/>
      <c r="M222" s="719"/>
      <c r="N222" s="721"/>
      <c r="O222" s="721"/>
      <c r="P222" s="719"/>
      <c r="Q222" s="719"/>
      <c r="R222" s="719"/>
      <c r="S222" s="721"/>
      <c r="T222" s="721"/>
      <c r="U222" s="719"/>
      <c r="V222" s="719"/>
      <c r="W222" s="719"/>
      <c r="X222" s="721"/>
      <c r="Y222" s="721"/>
      <c r="Z222" s="719"/>
      <c r="AA222" s="719"/>
      <c r="AB222" s="719"/>
      <c r="AC222" s="721"/>
      <c r="AD222" s="721"/>
      <c r="AE222" s="719"/>
      <c r="AF222" s="719"/>
      <c r="AG222" s="719"/>
      <c r="AH222" s="721"/>
      <c r="AI222" s="721"/>
      <c r="AJ222" s="719"/>
      <c r="AK222" s="719"/>
      <c r="AL222" s="719"/>
      <c r="AM222" s="719"/>
      <c r="AN222" s="719"/>
      <c r="AO222" s="719"/>
      <c r="AP222" s="719"/>
      <c r="AQ222" s="719"/>
      <c r="AR222" s="719"/>
      <c r="AS222" s="719"/>
      <c r="AT222" s="719"/>
      <c r="AU222" s="719"/>
      <c r="AV222" s="719"/>
      <c r="AW222" s="719"/>
      <c r="AX222" s="719"/>
      <c r="AY222" s="719"/>
      <c r="AZ222" s="719"/>
      <c r="BA222" s="719"/>
      <c r="BB222" s="719"/>
      <c r="BC222" s="719"/>
      <c r="BD222" s="719"/>
      <c r="BE222" s="719"/>
      <c r="BF222" s="719"/>
      <c r="BG222" s="719"/>
      <c r="BH222" s="719"/>
      <c r="BI222" s="719"/>
      <c r="BJ222" s="719"/>
      <c r="BK222" s="719"/>
      <c r="BL222" s="719"/>
      <c r="BM222" s="719"/>
      <c r="BN222" s="719"/>
      <c r="BO222" s="719"/>
      <c r="BP222" s="719"/>
      <c r="BQ222" s="719"/>
      <c r="BR222" s="719"/>
      <c r="BS222" s="719"/>
      <c r="BT222" s="719"/>
      <c r="BU222" s="719"/>
      <c r="BV222" s="719"/>
      <c r="BW222" s="719"/>
      <c r="BX222" s="719"/>
      <c r="BY222" s="719"/>
      <c r="BZ222" s="719"/>
      <c r="CA222" s="719"/>
      <c r="CB222" s="719"/>
      <c r="CC222" s="719"/>
      <c r="CD222" s="719"/>
      <c r="CE222" s="719"/>
      <c r="CF222" s="719"/>
      <c r="CG222" s="719"/>
      <c r="CH222" s="719"/>
      <c r="CI222" s="719"/>
      <c r="CJ222" s="719"/>
      <c r="CK222" s="719"/>
      <c r="CL222" s="719"/>
      <c r="CM222" s="719"/>
      <c r="CN222" s="719"/>
      <c r="CO222" s="719"/>
      <c r="CP222" s="719"/>
      <c r="CQ222" s="719"/>
      <c r="CR222" s="719"/>
      <c r="CS222" s="719"/>
      <c r="CT222" s="719"/>
      <c r="CU222" s="719"/>
      <c r="CV222" s="719"/>
      <c r="CW222" s="719"/>
      <c r="CX222" s="719"/>
      <c r="CY222" s="719"/>
      <c r="CZ222" s="719"/>
      <c r="DA222" s="719"/>
      <c r="DB222" s="719"/>
      <c r="DC222" s="719"/>
      <c r="DD222" s="719"/>
      <c r="DE222" s="719"/>
      <c r="DF222" s="719"/>
      <c r="DG222" s="719"/>
      <c r="DH222" s="719"/>
      <c r="DI222" s="719"/>
      <c r="DJ222" s="719"/>
      <c r="DK222" s="719"/>
      <c r="DL222" s="719"/>
      <c r="DM222" s="719"/>
      <c r="DN222" s="719"/>
      <c r="DO222" s="719"/>
      <c r="DP222" s="719"/>
      <c r="DQ222" s="719"/>
      <c r="DR222" s="719"/>
    </row>
    <row r="223" spans="1:122" s="275" customFormat="1">
      <c r="A223" s="719"/>
      <c r="B223" s="719"/>
      <c r="C223" s="719"/>
      <c r="D223" s="719"/>
      <c r="E223" s="719"/>
      <c r="F223" s="719"/>
      <c r="G223" s="719"/>
      <c r="H223" s="719"/>
      <c r="I223" s="719"/>
      <c r="J223" s="719"/>
      <c r="K223" s="719"/>
      <c r="L223" s="719"/>
      <c r="M223" s="719"/>
      <c r="N223" s="721"/>
      <c r="O223" s="721"/>
      <c r="P223" s="719"/>
      <c r="Q223" s="719"/>
      <c r="R223" s="719"/>
      <c r="S223" s="721"/>
      <c r="T223" s="721"/>
      <c r="U223" s="719"/>
      <c r="V223" s="719"/>
      <c r="W223" s="719"/>
      <c r="X223" s="721"/>
      <c r="Y223" s="721"/>
      <c r="Z223" s="719"/>
      <c r="AA223" s="719"/>
      <c r="AB223" s="719"/>
      <c r="AC223" s="721"/>
      <c r="AD223" s="721"/>
      <c r="AE223" s="719"/>
      <c r="AF223" s="719"/>
      <c r="AG223" s="719"/>
      <c r="AH223" s="721"/>
      <c r="AI223" s="721"/>
      <c r="AJ223" s="719"/>
      <c r="AK223" s="719"/>
      <c r="AL223" s="719"/>
      <c r="AM223" s="719"/>
      <c r="AN223" s="719"/>
      <c r="AO223" s="719"/>
      <c r="AP223" s="719"/>
      <c r="AQ223" s="719"/>
      <c r="AR223" s="719"/>
      <c r="AS223" s="719"/>
      <c r="AT223" s="719"/>
      <c r="AU223" s="719"/>
      <c r="AV223" s="719"/>
      <c r="AW223" s="719"/>
      <c r="AX223" s="719"/>
      <c r="AY223" s="719"/>
      <c r="AZ223" s="719"/>
      <c r="BA223" s="719"/>
      <c r="BB223" s="719"/>
      <c r="BC223" s="719"/>
      <c r="BD223" s="719"/>
      <c r="BE223" s="719"/>
      <c r="BF223" s="719"/>
      <c r="BG223" s="719"/>
      <c r="BH223" s="719"/>
      <c r="BI223" s="719"/>
      <c r="BJ223" s="719"/>
      <c r="BK223" s="719"/>
      <c r="BL223" s="719"/>
      <c r="BM223" s="719"/>
      <c r="BN223" s="719"/>
      <c r="BO223" s="719"/>
      <c r="BP223" s="719"/>
      <c r="BQ223" s="719"/>
      <c r="BR223" s="719"/>
      <c r="BS223" s="719"/>
      <c r="BT223" s="719"/>
      <c r="BU223" s="719"/>
      <c r="BV223" s="719"/>
      <c r="BW223" s="719"/>
      <c r="BX223" s="719"/>
      <c r="BY223" s="719"/>
      <c r="BZ223" s="719"/>
      <c r="CA223" s="719"/>
      <c r="CB223" s="719"/>
      <c r="CC223" s="719"/>
      <c r="CD223" s="719"/>
      <c r="CE223" s="719"/>
      <c r="CF223" s="719"/>
      <c r="CG223" s="719"/>
      <c r="CH223" s="719"/>
      <c r="CI223" s="719"/>
      <c r="CJ223" s="719"/>
      <c r="CK223" s="719"/>
      <c r="CL223" s="719"/>
      <c r="CM223" s="719"/>
      <c r="CN223" s="719"/>
      <c r="CO223" s="719"/>
      <c r="CP223" s="719"/>
      <c r="CQ223" s="719"/>
      <c r="CR223" s="719"/>
      <c r="CS223" s="719"/>
      <c r="CT223" s="719"/>
      <c r="CU223" s="719"/>
      <c r="CV223" s="719"/>
      <c r="CW223" s="719"/>
      <c r="CX223" s="719"/>
      <c r="CY223" s="719"/>
      <c r="CZ223" s="719"/>
      <c r="DA223" s="719"/>
      <c r="DB223" s="719"/>
      <c r="DC223" s="719"/>
      <c r="DD223" s="719"/>
      <c r="DE223" s="719"/>
      <c r="DF223" s="719"/>
      <c r="DG223" s="719"/>
      <c r="DH223" s="719"/>
      <c r="DI223" s="719"/>
      <c r="DJ223" s="719"/>
      <c r="DK223" s="719"/>
      <c r="DL223" s="719"/>
      <c r="DM223" s="719"/>
      <c r="DN223" s="719"/>
      <c r="DO223" s="719"/>
      <c r="DP223" s="719"/>
      <c r="DQ223" s="719"/>
      <c r="DR223" s="719"/>
    </row>
    <row r="224" spans="1:122" s="275" customFormat="1">
      <c r="A224" s="719"/>
      <c r="B224" s="719"/>
      <c r="C224" s="719"/>
      <c r="D224" s="719"/>
      <c r="E224" s="719"/>
      <c r="F224" s="719"/>
      <c r="G224" s="719"/>
      <c r="H224" s="719"/>
      <c r="I224" s="719"/>
      <c r="J224" s="719"/>
      <c r="K224" s="719"/>
      <c r="L224" s="719"/>
      <c r="M224" s="719"/>
      <c r="N224" s="721"/>
      <c r="O224" s="721"/>
      <c r="P224" s="719"/>
      <c r="Q224" s="719"/>
      <c r="R224" s="719"/>
      <c r="S224" s="721"/>
      <c r="T224" s="721"/>
      <c r="U224" s="719"/>
      <c r="V224" s="719"/>
      <c r="W224" s="719"/>
      <c r="X224" s="721"/>
      <c r="Y224" s="721"/>
      <c r="Z224" s="719"/>
      <c r="AA224" s="719"/>
      <c r="AB224" s="719"/>
      <c r="AC224" s="721"/>
      <c r="AD224" s="721"/>
      <c r="AE224" s="719"/>
      <c r="AF224" s="719"/>
      <c r="AG224" s="719"/>
      <c r="AH224" s="721"/>
      <c r="AI224" s="721"/>
      <c r="AJ224" s="719"/>
      <c r="AK224" s="719"/>
      <c r="AL224" s="719"/>
      <c r="AM224" s="719"/>
      <c r="AN224" s="719"/>
      <c r="AO224" s="719"/>
      <c r="AP224" s="719"/>
      <c r="AQ224" s="719"/>
      <c r="AR224" s="719"/>
      <c r="AS224" s="719"/>
      <c r="AT224" s="719"/>
      <c r="AU224" s="719"/>
      <c r="AV224" s="719"/>
      <c r="AW224" s="719"/>
      <c r="AX224" s="719"/>
      <c r="AY224" s="719"/>
      <c r="AZ224" s="719"/>
      <c r="BA224" s="719"/>
      <c r="BB224" s="719"/>
      <c r="BC224" s="719"/>
      <c r="BD224" s="719"/>
      <c r="BE224" s="719"/>
      <c r="BF224" s="719"/>
      <c r="BG224" s="719"/>
      <c r="BH224" s="719"/>
      <c r="BI224" s="719"/>
      <c r="BJ224" s="719"/>
      <c r="BK224" s="719"/>
      <c r="BL224" s="719"/>
      <c r="BM224" s="719"/>
      <c r="BN224" s="719"/>
      <c r="BO224" s="719"/>
      <c r="BP224" s="719"/>
      <c r="BQ224" s="719"/>
      <c r="BR224" s="719"/>
      <c r="BS224" s="719"/>
      <c r="BT224" s="719"/>
      <c r="BU224" s="719"/>
      <c r="BV224" s="719"/>
      <c r="BW224" s="719"/>
      <c r="BX224" s="719"/>
      <c r="BY224" s="719"/>
      <c r="BZ224" s="719"/>
      <c r="CA224" s="719"/>
      <c r="CB224" s="719"/>
      <c r="CC224" s="719"/>
      <c r="CD224" s="719"/>
      <c r="CE224" s="719"/>
      <c r="CF224" s="719"/>
      <c r="CG224" s="719"/>
      <c r="CH224" s="719"/>
      <c r="CI224" s="719"/>
      <c r="CJ224" s="719"/>
      <c r="CK224" s="719"/>
      <c r="CL224" s="719"/>
      <c r="CM224" s="719"/>
      <c r="CN224" s="719"/>
      <c r="CO224" s="719"/>
      <c r="CP224" s="719"/>
      <c r="CQ224" s="719"/>
      <c r="CR224" s="719"/>
      <c r="CS224" s="719"/>
      <c r="CT224" s="719"/>
      <c r="CU224" s="719"/>
      <c r="CV224" s="719"/>
      <c r="CW224" s="719"/>
      <c r="CX224" s="719"/>
      <c r="CY224" s="719"/>
      <c r="CZ224" s="719"/>
      <c r="DA224" s="719"/>
      <c r="DB224" s="719"/>
      <c r="DC224" s="719"/>
      <c r="DD224" s="719"/>
      <c r="DE224" s="719"/>
      <c r="DF224" s="719"/>
      <c r="DG224" s="719"/>
      <c r="DH224" s="719"/>
      <c r="DI224" s="719"/>
      <c r="DJ224" s="719"/>
      <c r="DK224" s="719"/>
      <c r="DL224" s="719"/>
      <c r="DM224" s="719"/>
      <c r="DN224" s="719"/>
      <c r="DO224" s="719"/>
      <c r="DP224" s="719"/>
      <c r="DQ224" s="719"/>
      <c r="DR224" s="719"/>
    </row>
    <row r="225" spans="1:122" s="275" customFormat="1">
      <c r="A225" s="719"/>
      <c r="B225" s="719"/>
      <c r="C225" s="719"/>
      <c r="D225" s="719"/>
      <c r="E225" s="719"/>
      <c r="F225" s="719"/>
      <c r="G225" s="719"/>
      <c r="H225" s="719"/>
      <c r="I225" s="719"/>
      <c r="J225" s="719"/>
      <c r="K225" s="719"/>
      <c r="L225" s="719"/>
      <c r="M225" s="719"/>
      <c r="N225" s="721"/>
      <c r="O225" s="721"/>
      <c r="P225" s="719"/>
      <c r="Q225" s="719"/>
      <c r="R225" s="719"/>
      <c r="S225" s="721"/>
      <c r="T225" s="721"/>
      <c r="U225" s="719"/>
      <c r="V225" s="719"/>
      <c r="W225" s="719"/>
      <c r="X225" s="721"/>
      <c r="Y225" s="721"/>
      <c r="Z225" s="719"/>
      <c r="AA225" s="719"/>
      <c r="AB225" s="719"/>
      <c r="AC225" s="721"/>
      <c r="AD225" s="721"/>
      <c r="AE225" s="719"/>
      <c r="AF225" s="719"/>
      <c r="AG225" s="719"/>
      <c r="AH225" s="721"/>
      <c r="AI225" s="721"/>
      <c r="AJ225" s="719"/>
      <c r="AK225" s="719"/>
      <c r="AL225" s="719"/>
      <c r="AM225" s="719"/>
      <c r="AN225" s="719"/>
      <c r="AO225" s="719"/>
      <c r="AP225" s="719"/>
      <c r="AQ225" s="719"/>
      <c r="AR225" s="719"/>
      <c r="AS225" s="719"/>
      <c r="AT225" s="719"/>
      <c r="AU225" s="719"/>
      <c r="AV225" s="719"/>
      <c r="AW225" s="719"/>
      <c r="AX225" s="719"/>
      <c r="AY225" s="719"/>
      <c r="AZ225" s="719"/>
      <c r="BA225" s="719"/>
      <c r="BB225" s="719"/>
      <c r="BC225" s="719"/>
      <c r="BD225" s="719"/>
      <c r="BE225" s="719"/>
      <c r="BF225" s="719"/>
      <c r="BG225" s="719"/>
      <c r="BH225" s="719"/>
      <c r="BI225" s="719"/>
      <c r="BJ225" s="719"/>
      <c r="BK225" s="719"/>
      <c r="BL225" s="719"/>
      <c r="BM225" s="719"/>
      <c r="BN225" s="719"/>
      <c r="BO225" s="719"/>
      <c r="BP225" s="719"/>
      <c r="BQ225" s="719"/>
      <c r="BR225" s="719"/>
      <c r="BS225" s="719"/>
      <c r="BT225" s="719"/>
      <c r="BU225" s="719"/>
      <c r="BV225" s="719"/>
      <c r="BW225" s="719"/>
      <c r="BX225" s="719"/>
      <c r="BY225" s="719"/>
      <c r="BZ225" s="719"/>
      <c r="CA225" s="719"/>
      <c r="CB225" s="719"/>
      <c r="CC225" s="719"/>
      <c r="CD225" s="719"/>
      <c r="CE225" s="719"/>
      <c r="CF225" s="719"/>
      <c r="CG225" s="719"/>
      <c r="CH225" s="719"/>
      <c r="CI225" s="719"/>
      <c r="CJ225" s="719"/>
      <c r="CK225" s="719"/>
      <c r="CL225" s="719"/>
      <c r="CM225" s="719"/>
      <c r="CN225" s="719"/>
      <c r="CO225" s="719"/>
      <c r="CP225" s="719"/>
      <c r="CQ225" s="719"/>
      <c r="CR225" s="719"/>
      <c r="CS225" s="719"/>
      <c r="CT225" s="719"/>
      <c r="CU225" s="719"/>
      <c r="CV225" s="719"/>
      <c r="CW225" s="719"/>
      <c r="CX225" s="719"/>
      <c r="CY225" s="719"/>
      <c r="CZ225" s="719"/>
      <c r="DA225" s="719"/>
      <c r="DB225" s="719"/>
      <c r="DC225" s="719"/>
      <c r="DD225" s="719"/>
      <c r="DE225" s="719"/>
      <c r="DF225" s="719"/>
      <c r="DG225" s="719"/>
      <c r="DH225" s="719"/>
      <c r="DI225" s="719"/>
      <c r="DJ225" s="719"/>
      <c r="DK225" s="719"/>
      <c r="DL225" s="719"/>
      <c r="DM225" s="719"/>
      <c r="DN225" s="719"/>
      <c r="DO225" s="719"/>
      <c r="DP225" s="719"/>
      <c r="DQ225" s="719"/>
      <c r="DR225" s="719"/>
    </row>
    <row r="226" spans="1:122" s="275" customFormat="1">
      <c r="A226" s="719"/>
      <c r="B226" s="719"/>
      <c r="C226" s="719"/>
      <c r="D226" s="719"/>
      <c r="E226" s="719"/>
      <c r="F226" s="719"/>
      <c r="G226" s="719"/>
      <c r="H226" s="719"/>
      <c r="I226" s="719"/>
      <c r="J226" s="719"/>
      <c r="K226" s="719"/>
      <c r="L226" s="719"/>
      <c r="M226" s="719"/>
      <c r="N226" s="721"/>
      <c r="O226" s="721"/>
      <c r="P226" s="719"/>
      <c r="Q226" s="719"/>
      <c r="R226" s="719"/>
      <c r="S226" s="721"/>
      <c r="T226" s="721"/>
      <c r="U226" s="719"/>
      <c r="V226" s="719"/>
      <c r="W226" s="719"/>
      <c r="X226" s="721"/>
      <c r="Y226" s="721"/>
      <c r="Z226" s="719"/>
      <c r="AA226" s="719"/>
      <c r="AB226" s="719"/>
      <c r="AC226" s="721"/>
      <c r="AD226" s="721"/>
      <c r="AE226" s="719"/>
      <c r="AF226" s="719"/>
      <c r="AG226" s="719"/>
      <c r="AH226" s="721"/>
      <c r="AI226" s="721"/>
      <c r="AJ226" s="719"/>
      <c r="AK226" s="719"/>
      <c r="AL226" s="719"/>
      <c r="AM226" s="719"/>
      <c r="AN226" s="719"/>
      <c r="AO226" s="719"/>
      <c r="AP226" s="719"/>
      <c r="AQ226" s="719"/>
      <c r="AR226" s="719"/>
      <c r="AS226" s="719"/>
      <c r="AT226" s="719"/>
      <c r="AU226" s="719"/>
      <c r="AV226" s="719"/>
      <c r="AW226" s="719"/>
      <c r="AX226" s="719"/>
      <c r="AY226" s="719"/>
      <c r="AZ226" s="719"/>
      <c r="BA226" s="719"/>
      <c r="BB226" s="719"/>
      <c r="BC226" s="719"/>
      <c r="BD226" s="719"/>
      <c r="BE226" s="719"/>
      <c r="BF226" s="719"/>
      <c r="BG226" s="719"/>
      <c r="BH226" s="719"/>
      <c r="BI226" s="719"/>
      <c r="BJ226" s="719"/>
      <c r="BK226" s="719"/>
      <c r="BL226" s="719"/>
      <c r="BM226" s="719"/>
      <c r="BN226" s="719"/>
      <c r="BO226" s="719"/>
      <c r="BP226" s="719"/>
      <c r="BQ226" s="719"/>
      <c r="BR226" s="719"/>
      <c r="BS226" s="719"/>
      <c r="BT226" s="719"/>
      <c r="BU226" s="719"/>
      <c r="BV226" s="719"/>
      <c r="BW226" s="719"/>
      <c r="BX226" s="719"/>
      <c r="BY226" s="719"/>
      <c r="BZ226" s="719"/>
      <c r="CA226" s="719"/>
      <c r="CB226" s="719"/>
      <c r="CC226" s="719"/>
      <c r="CD226" s="719"/>
      <c r="CE226" s="719"/>
      <c r="CF226" s="719"/>
      <c r="CG226" s="719"/>
      <c r="CH226" s="719"/>
      <c r="CI226" s="719"/>
      <c r="CJ226" s="719"/>
      <c r="CK226" s="719"/>
      <c r="CL226" s="719"/>
      <c r="CM226" s="719"/>
      <c r="CN226" s="719"/>
      <c r="CO226" s="719"/>
      <c r="CP226" s="719"/>
      <c r="CQ226" s="719"/>
      <c r="CR226" s="719"/>
      <c r="CS226" s="719"/>
      <c r="CT226" s="719"/>
      <c r="CU226" s="719"/>
      <c r="CV226" s="719"/>
      <c r="CW226" s="719"/>
      <c r="CX226" s="719"/>
      <c r="CY226" s="719"/>
      <c r="CZ226" s="719"/>
      <c r="DA226" s="719"/>
      <c r="DB226" s="719"/>
      <c r="DC226" s="719"/>
      <c r="DD226" s="719"/>
      <c r="DE226" s="719"/>
      <c r="DF226" s="719"/>
      <c r="DG226" s="719"/>
      <c r="DH226" s="719"/>
      <c r="DI226" s="719"/>
      <c r="DJ226" s="719"/>
      <c r="DK226" s="719"/>
      <c r="DL226" s="719"/>
      <c r="DM226" s="719"/>
      <c r="DN226" s="719"/>
      <c r="DO226" s="719"/>
      <c r="DP226" s="719"/>
      <c r="DQ226" s="719"/>
      <c r="DR226" s="719"/>
    </row>
    <row r="227" spans="1:122" s="275" customFormat="1">
      <c r="A227" s="719"/>
      <c r="B227" s="719"/>
      <c r="C227" s="719"/>
      <c r="D227" s="719"/>
      <c r="E227" s="719"/>
      <c r="F227" s="719"/>
      <c r="G227" s="719"/>
      <c r="H227" s="719"/>
      <c r="I227" s="719"/>
      <c r="J227" s="719"/>
      <c r="K227" s="719"/>
      <c r="L227" s="719"/>
      <c r="M227" s="719"/>
      <c r="N227" s="721"/>
      <c r="O227" s="721"/>
      <c r="P227" s="719"/>
      <c r="Q227" s="719"/>
      <c r="R227" s="719"/>
      <c r="S227" s="721"/>
      <c r="T227" s="721"/>
      <c r="U227" s="719"/>
      <c r="V227" s="719"/>
      <c r="W227" s="719"/>
      <c r="X227" s="721"/>
      <c r="Y227" s="721"/>
      <c r="Z227" s="719"/>
      <c r="AA227" s="719"/>
      <c r="AB227" s="719"/>
      <c r="AC227" s="721"/>
      <c r="AD227" s="721"/>
      <c r="AE227" s="719"/>
      <c r="AF227" s="719"/>
      <c r="AG227" s="719"/>
      <c r="AH227" s="721"/>
      <c r="AI227" s="721"/>
      <c r="AJ227" s="719"/>
      <c r="AK227" s="719"/>
      <c r="AL227" s="719"/>
      <c r="AM227" s="719"/>
      <c r="AN227" s="719"/>
      <c r="AO227" s="719"/>
      <c r="AP227" s="719"/>
      <c r="AQ227" s="719"/>
      <c r="AR227" s="719"/>
      <c r="AS227" s="719"/>
      <c r="AT227" s="719"/>
      <c r="AU227" s="719"/>
      <c r="AV227" s="719"/>
      <c r="AW227" s="719"/>
      <c r="AX227" s="719"/>
      <c r="AY227" s="719"/>
      <c r="AZ227" s="719"/>
      <c r="BA227" s="719"/>
      <c r="BB227" s="719"/>
      <c r="BC227" s="719"/>
      <c r="BD227" s="719"/>
      <c r="BE227" s="719"/>
      <c r="BF227" s="719"/>
      <c r="BG227" s="719"/>
      <c r="BH227" s="719"/>
      <c r="BI227" s="719"/>
      <c r="BJ227" s="719"/>
      <c r="BK227" s="719"/>
      <c r="BL227" s="719"/>
      <c r="BM227" s="719"/>
      <c r="BN227" s="719"/>
      <c r="BO227" s="719"/>
      <c r="BP227" s="719"/>
      <c r="BQ227" s="719"/>
      <c r="BR227" s="719"/>
      <c r="BS227" s="719"/>
      <c r="BT227" s="719"/>
      <c r="BU227" s="719"/>
      <c r="BV227" s="719"/>
      <c r="BW227" s="719"/>
      <c r="BX227" s="719"/>
      <c r="BY227" s="719"/>
      <c r="BZ227" s="719"/>
      <c r="CA227" s="719"/>
      <c r="CB227" s="719"/>
      <c r="CC227" s="719"/>
      <c r="CD227" s="719"/>
      <c r="CE227" s="719"/>
      <c r="CF227" s="719"/>
      <c r="CG227" s="719"/>
      <c r="CH227" s="719"/>
      <c r="CI227" s="719"/>
      <c r="CJ227" s="719"/>
      <c r="CK227" s="719"/>
      <c r="CL227" s="719"/>
      <c r="CM227" s="719"/>
      <c r="CN227" s="719"/>
      <c r="CO227" s="719"/>
      <c r="CP227" s="719"/>
      <c r="CQ227" s="719"/>
      <c r="CR227" s="719"/>
      <c r="CS227" s="719"/>
      <c r="CT227" s="719"/>
      <c r="CU227" s="719"/>
      <c r="CV227" s="719"/>
      <c r="CW227" s="719"/>
      <c r="CX227" s="719"/>
      <c r="CY227" s="719"/>
      <c r="CZ227" s="719"/>
      <c r="DA227" s="719"/>
      <c r="DB227" s="719"/>
      <c r="DC227" s="719"/>
      <c r="DD227" s="719"/>
      <c r="DE227" s="719"/>
      <c r="DF227" s="719"/>
      <c r="DG227" s="719"/>
      <c r="DH227" s="719"/>
      <c r="DI227" s="719"/>
      <c r="DJ227" s="719"/>
      <c r="DK227" s="719"/>
      <c r="DL227" s="719"/>
      <c r="DM227" s="719"/>
      <c r="DN227" s="719"/>
      <c r="DO227" s="719"/>
      <c r="DP227" s="719"/>
      <c r="DQ227" s="719"/>
      <c r="DR227" s="719"/>
    </row>
    <row r="228" spans="1:122" s="275" customFormat="1">
      <c r="A228" s="719"/>
      <c r="B228" s="719"/>
      <c r="C228" s="719"/>
      <c r="D228" s="719"/>
      <c r="E228" s="719"/>
      <c r="F228" s="719"/>
      <c r="G228" s="719"/>
      <c r="H228" s="719"/>
      <c r="I228" s="719"/>
      <c r="J228" s="719"/>
      <c r="K228" s="719"/>
      <c r="L228" s="719"/>
      <c r="M228" s="719"/>
      <c r="N228" s="721"/>
      <c r="O228" s="721"/>
      <c r="P228" s="719"/>
      <c r="Q228" s="719"/>
      <c r="R228" s="719"/>
      <c r="S228" s="721"/>
      <c r="T228" s="721"/>
      <c r="U228" s="719"/>
      <c r="V228" s="719"/>
      <c r="W228" s="719"/>
      <c r="X228" s="721"/>
      <c r="Y228" s="721"/>
      <c r="Z228" s="719"/>
      <c r="AA228" s="719"/>
      <c r="AB228" s="719"/>
      <c r="AC228" s="721"/>
      <c r="AD228" s="721"/>
      <c r="AE228" s="719"/>
      <c r="AF228" s="719"/>
      <c r="AG228" s="719"/>
      <c r="AH228" s="721"/>
      <c r="AI228" s="721"/>
      <c r="AJ228" s="719"/>
      <c r="AK228" s="719"/>
      <c r="AL228" s="719"/>
      <c r="AM228" s="719"/>
      <c r="AN228" s="719"/>
      <c r="AO228" s="719"/>
      <c r="AP228" s="719"/>
      <c r="AQ228" s="719"/>
      <c r="AR228" s="719"/>
      <c r="AS228" s="719"/>
      <c r="AT228" s="719"/>
      <c r="AU228" s="719"/>
      <c r="AV228" s="719"/>
      <c r="AW228" s="719"/>
      <c r="AX228" s="719"/>
      <c r="AY228" s="719"/>
      <c r="AZ228" s="719"/>
      <c r="BA228" s="719"/>
      <c r="BB228" s="719"/>
      <c r="BC228" s="719"/>
      <c r="BD228" s="719"/>
      <c r="BE228" s="719"/>
      <c r="BF228" s="719"/>
      <c r="BG228" s="719"/>
      <c r="BH228" s="719"/>
      <c r="BI228" s="719"/>
      <c r="BJ228" s="719"/>
      <c r="BK228" s="719"/>
      <c r="BL228" s="719"/>
      <c r="BM228" s="719"/>
      <c r="BN228" s="719"/>
      <c r="BO228" s="719"/>
      <c r="BP228" s="719"/>
      <c r="BQ228" s="719"/>
      <c r="BR228" s="719"/>
      <c r="BS228" s="719"/>
      <c r="BT228" s="719"/>
      <c r="BU228" s="719"/>
      <c r="BV228" s="719"/>
      <c r="BW228" s="719"/>
      <c r="BX228" s="719"/>
      <c r="BY228" s="719"/>
      <c r="BZ228" s="719"/>
      <c r="CA228" s="719"/>
      <c r="CB228" s="719"/>
      <c r="CC228" s="719"/>
      <c r="CD228" s="719"/>
      <c r="CE228" s="719"/>
      <c r="CF228" s="719"/>
      <c r="CG228" s="719"/>
      <c r="CH228" s="719"/>
      <c r="CI228" s="719"/>
      <c r="CJ228" s="719"/>
      <c r="CK228" s="719"/>
      <c r="CL228" s="719"/>
      <c r="CM228" s="719"/>
      <c r="CN228" s="719"/>
      <c r="CO228" s="719"/>
      <c r="CP228" s="719"/>
      <c r="CQ228" s="719"/>
      <c r="CR228" s="719"/>
      <c r="CS228" s="719"/>
      <c r="CT228" s="719"/>
      <c r="CU228" s="719"/>
      <c r="CV228" s="719"/>
      <c r="CW228" s="719"/>
      <c r="CX228" s="719"/>
      <c r="CY228" s="719"/>
      <c r="CZ228" s="719"/>
      <c r="DA228" s="719"/>
      <c r="DB228" s="719"/>
      <c r="DC228" s="719"/>
      <c r="DD228" s="719"/>
      <c r="DE228" s="719"/>
      <c r="DF228" s="719"/>
      <c r="DG228" s="719"/>
      <c r="DH228" s="719"/>
      <c r="DI228" s="719"/>
      <c r="DJ228" s="719"/>
      <c r="DK228" s="719"/>
      <c r="DL228" s="719"/>
      <c r="DM228" s="719"/>
      <c r="DN228" s="719"/>
      <c r="DO228" s="719"/>
      <c r="DP228" s="719"/>
      <c r="DQ228" s="719"/>
      <c r="DR228" s="719"/>
    </row>
    <row r="229" spans="1:122" s="275" customFormat="1">
      <c r="A229" s="719"/>
      <c r="B229" s="719"/>
      <c r="C229" s="719"/>
      <c r="D229" s="719"/>
      <c r="E229" s="719"/>
      <c r="F229" s="719"/>
      <c r="G229" s="719"/>
      <c r="H229" s="719"/>
      <c r="I229" s="719"/>
      <c r="J229" s="719"/>
      <c r="K229" s="719"/>
      <c r="L229" s="719"/>
      <c r="M229" s="719"/>
      <c r="N229" s="721"/>
      <c r="O229" s="721"/>
      <c r="P229" s="719"/>
      <c r="Q229" s="719"/>
      <c r="R229" s="719"/>
      <c r="S229" s="721"/>
      <c r="T229" s="721"/>
      <c r="U229" s="719"/>
      <c r="V229" s="719"/>
      <c r="W229" s="719"/>
      <c r="X229" s="721"/>
      <c r="Y229" s="721"/>
      <c r="Z229" s="719"/>
      <c r="AA229" s="719"/>
      <c r="AB229" s="719"/>
      <c r="AC229" s="721"/>
      <c r="AD229" s="721"/>
      <c r="AE229" s="719"/>
      <c r="AF229" s="719"/>
      <c r="AG229" s="719"/>
      <c r="AH229" s="721"/>
      <c r="AI229" s="721"/>
      <c r="AJ229" s="719"/>
      <c r="AK229" s="719"/>
      <c r="AL229" s="719"/>
      <c r="AM229" s="719"/>
      <c r="AN229" s="719"/>
      <c r="AO229" s="719"/>
      <c r="AP229" s="719"/>
      <c r="AQ229" s="719"/>
      <c r="AR229" s="719"/>
      <c r="AS229" s="719"/>
      <c r="AT229" s="719"/>
      <c r="AU229" s="719"/>
      <c r="AV229" s="719"/>
      <c r="AW229" s="719"/>
      <c r="AX229" s="719"/>
      <c r="AY229" s="719"/>
      <c r="AZ229" s="719"/>
      <c r="BA229" s="719"/>
      <c r="BB229" s="719"/>
      <c r="BC229" s="719"/>
      <c r="BD229" s="719"/>
      <c r="BE229" s="719"/>
      <c r="BF229" s="719"/>
      <c r="BG229" s="719"/>
      <c r="BH229" s="719"/>
      <c r="BI229" s="719"/>
      <c r="BJ229" s="719"/>
      <c r="BK229" s="719"/>
      <c r="BL229" s="719"/>
      <c r="BM229" s="719"/>
      <c r="BN229" s="719"/>
      <c r="BO229" s="719"/>
      <c r="BP229" s="719"/>
      <c r="BQ229" s="719"/>
      <c r="BR229" s="719"/>
      <c r="BS229" s="719"/>
      <c r="BT229" s="719"/>
      <c r="BU229" s="719"/>
      <c r="BV229" s="719"/>
      <c r="BW229" s="719"/>
      <c r="BX229" s="719"/>
      <c r="BY229" s="719"/>
      <c r="BZ229" s="719"/>
      <c r="CA229" s="719"/>
      <c r="CB229" s="719"/>
      <c r="CC229" s="719"/>
      <c r="CD229" s="719"/>
      <c r="CE229" s="719"/>
      <c r="CF229" s="719"/>
      <c r="CG229" s="719"/>
      <c r="CH229" s="719"/>
      <c r="CI229" s="719"/>
      <c r="CJ229" s="719"/>
      <c r="CK229" s="719"/>
      <c r="CL229" s="719"/>
      <c r="CM229" s="719"/>
      <c r="CN229" s="719"/>
      <c r="CO229" s="719"/>
      <c r="CP229" s="719"/>
      <c r="CQ229" s="719"/>
      <c r="CR229" s="719"/>
      <c r="CS229" s="719"/>
      <c r="CT229" s="719"/>
      <c r="CU229" s="719"/>
      <c r="CV229" s="719"/>
      <c r="CW229" s="719"/>
      <c r="CX229" s="719"/>
      <c r="CY229" s="719"/>
      <c r="CZ229" s="719"/>
      <c r="DA229" s="719"/>
      <c r="DB229" s="719"/>
      <c r="DC229" s="719"/>
      <c r="DD229" s="719"/>
      <c r="DE229" s="719"/>
      <c r="DF229" s="719"/>
      <c r="DG229" s="719"/>
      <c r="DH229" s="719"/>
      <c r="DI229" s="719"/>
      <c r="DJ229" s="719"/>
      <c r="DK229" s="719"/>
      <c r="DL229" s="719"/>
      <c r="DM229" s="719"/>
      <c r="DN229" s="719"/>
      <c r="DO229" s="719"/>
      <c r="DP229" s="719"/>
      <c r="DQ229" s="719"/>
      <c r="DR229" s="719"/>
    </row>
    <row r="230" spans="1:122" s="275" customFormat="1">
      <c r="A230" s="719"/>
      <c r="B230" s="719"/>
      <c r="C230" s="719"/>
      <c r="D230" s="719"/>
      <c r="E230" s="719"/>
      <c r="F230" s="719"/>
      <c r="G230" s="719"/>
      <c r="H230" s="719"/>
      <c r="I230" s="719"/>
      <c r="J230" s="719"/>
      <c r="K230" s="719"/>
      <c r="L230" s="719"/>
      <c r="M230" s="719"/>
      <c r="N230" s="721"/>
      <c r="O230" s="721"/>
      <c r="P230" s="719"/>
      <c r="Q230" s="719"/>
      <c r="R230" s="719"/>
      <c r="S230" s="721"/>
      <c r="T230" s="721"/>
      <c r="U230" s="719"/>
      <c r="V230" s="719"/>
      <c r="W230" s="719"/>
      <c r="X230" s="721"/>
      <c r="Y230" s="721"/>
      <c r="Z230" s="719"/>
      <c r="AA230" s="719"/>
      <c r="AB230" s="719"/>
      <c r="AC230" s="721"/>
      <c r="AD230" s="721"/>
      <c r="AE230" s="719"/>
      <c r="AF230" s="719"/>
      <c r="AG230" s="719"/>
      <c r="AH230" s="721"/>
      <c r="AI230" s="721"/>
      <c r="AJ230" s="719"/>
      <c r="AK230" s="719"/>
      <c r="AL230" s="719"/>
      <c r="AM230" s="719"/>
      <c r="AN230" s="719"/>
      <c r="AO230" s="719"/>
      <c r="AP230" s="719"/>
      <c r="AQ230" s="719"/>
      <c r="AR230" s="719"/>
      <c r="AS230" s="719"/>
      <c r="AT230" s="719"/>
      <c r="AU230" s="719"/>
      <c r="AV230" s="719"/>
      <c r="AW230" s="719"/>
      <c r="AX230" s="719"/>
      <c r="AY230" s="719"/>
      <c r="AZ230" s="719"/>
      <c r="BA230" s="719"/>
      <c r="BB230" s="719"/>
      <c r="BC230" s="719"/>
      <c r="BD230" s="719"/>
      <c r="BE230" s="719"/>
      <c r="BF230" s="719"/>
      <c r="BG230" s="719"/>
      <c r="BH230" s="719"/>
      <c r="BI230" s="719"/>
      <c r="BJ230" s="719"/>
      <c r="BK230" s="719"/>
      <c r="BL230" s="719"/>
      <c r="BM230" s="719"/>
      <c r="BN230" s="719"/>
      <c r="BO230" s="719"/>
      <c r="BP230" s="719"/>
      <c r="BQ230" s="719"/>
      <c r="BR230" s="719"/>
      <c r="BS230" s="719"/>
      <c r="BT230" s="719"/>
      <c r="BU230" s="719"/>
      <c r="BV230" s="719"/>
      <c r="BW230" s="719"/>
      <c r="BX230" s="719"/>
      <c r="BY230" s="719"/>
      <c r="BZ230" s="719"/>
      <c r="CA230" s="719"/>
      <c r="CB230" s="719"/>
      <c r="CC230" s="719"/>
      <c r="CD230" s="719"/>
      <c r="CE230" s="719"/>
      <c r="CF230" s="719"/>
      <c r="CG230" s="719"/>
      <c r="CH230" s="719"/>
      <c r="CI230" s="719"/>
      <c r="CJ230" s="719"/>
      <c r="CK230" s="719"/>
      <c r="CL230" s="719"/>
      <c r="CM230" s="719"/>
      <c r="CN230" s="719"/>
      <c r="CO230" s="719"/>
      <c r="CP230" s="719"/>
      <c r="CQ230" s="719"/>
      <c r="CR230" s="719"/>
      <c r="CS230" s="719"/>
      <c r="CT230" s="719"/>
      <c r="CU230" s="719"/>
      <c r="CV230" s="719"/>
      <c r="CW230" s="719"/>
      <c r="CX230" s="719"/>
      <c r="CY230" s="719"/>
      <c r="CZ230" s="719"/>
      <c r="DA230" s="719"/>
      <c r="DB230" s="719"/>
      <c r="DC230" s="719"/>
      <c r="DD230" s="719"/>
      <c r="DE230" s="719"/>
      <c r="DF230" s="719"/>
      <c r="DG230" s="719"/>
      <c r="DH230" s="719"/>
      <c r="DI230" s="719"/>
      <c r="DJ230" s="719"/>
      <c r="DK230" s="719"/>
      <c r="DL230" s="719"/>
      <c r="DM230" s="719"/>
      <c r="DN230" s="719"/>
      <c r="DO230" s="719"/>
      <c r="DP230" s="719"/>
      <c r="DQ230" s="719"/>
      <c r="DR230" s="719"/>
    </row>
    <row r="231" spans="1:122" s="275" customFormat="1">
      <c r="A231" s="719"/>
      <c r="B231" s="719"/>
      <c r="C231" s="719"/>
      <c r="D231" s="719"/>
      <c r="E231" s="719"/>
      <c r="F231" s="719"/>
      <c r="G231" s="719"/>
      <c r="H231" s="719"/>
      <c r="I231" s="719"/>
      <c r="J231" s="719"/>
      <c r="K231" s="719"/>
      <c r="L231" s="719"/>
      <c r="M231" s="719"/>
      <c r="N231" s="721"/>
      <c r="O231" s="721"/>
      <c r="P231" s="719"/>
      <c r="Q231" s="719"/>
      <c r="R231" s="719"/>
      <c r="S231" s="721"/>
      <c r="T231" s="721"/>
      <c r="U231" s="719"/>
      <c r="V231" s="719"/>
      <c r="W231" s="719"/>
      <c r="X231" s="721"/>
      <c r="Y231" s="721"/>
      <c r="Z231" s="719"/>
      <c r="AA231" s="719"/>
      <c r="AB231" s="719"/>
      <c r="AC231" s="721"/>
      <c r="AD231" s="721"/>
      <c r="AE231" s="719"/>
      <c r="AF231" s="719"/>
      <c r="AG231" s="719"/>
      <c r="AH231" s="721"/>
      <c r="AI231" s="721"/>
      <c r="AJ231" s="719"/>
      <c r="AK231" s="719"/>
      <c r="AL231" s="719"/>
      <c r="AM231" s="719"/>
      <c r="AN231" s="719"/>
      <c r="AO231" s="719"/>
      <c r="AP231" s="719"/>
      <c r="AQ231" s="719"/>
      <c r="AR231" s="719"/>
      <c r="AS231" s="719"/>
      <c r="AT231" s="719"/>
      <c r="AU231" s="719"/>
      <c r="AV231" s="719"/>
      <c r="AW231" s="719"/>
      <c r="AX231" s="719"/>
      <c r="AY231" s="719"/>
      <c r="AZ231" s="719"/>
      <c r="BA231" s="719"/>
      <c r="BB231" s="719"/>
      <c r="BC231" s="719"/>
      <c r="BD231" s="719"/>
      <c r="BE231" s="719"/>
      <c r="BF231" s="719"/>
      <c r="BG231" s="719"/>
      <c r="BH231" s="719"/>
      <c r="BI231" s="719"/>
      <c r="BJ231" s="719"/>
      <c r="BK231" s="719"/>
      <c r="BL231" s="719"/>
      <c r="BM231" s="719"/>
      <c r="BN231" s="719"/>
      <c r="BO231" s="719"/>
      <c r="BP231" s="719"/>
      <c r="BQ231" s="719"/>
      <c r="BR231" s="719"/>
      <c r="BS231" s="719"/>
      <c r="BT231" s="719"/>
      <c r="BU231" s="719"/>
      <c r="BV231" s="719"/>
      <c r="BW231" s="719"/>
      <c r="BX231" s="719"/>
      <c r="BY231" s="719"/>
      <c r="BZ231" s="719"/>
      <c r="CA231" s="719"/>
      <c r="CB231" s="719"/>
      <c r="CC231" s="719"/>
      <c r="CD231" s="719"/>
      <c r="CE231" s="719"/>
      <c r="CF231" s="719"/>
      <c r="CG231" s="719"/>
      <c r="CH231" s="719"/>
      <c r="CI231" s="719"/>
      <c r="CJ231" s="719"/>
      <c r="CK231" s="719"/>
      <c r="CL231" s="719"/>
      <c r="CM231" s="719"/>
      <c r="CN231" s="719"/>
      <c r="CO231" s="719"/>
      <c r="CP231" s="719"/>
      <c r="CQ231" s="719"/>
      <c r="CR231" s="719"/>
      <c r="CS231" s="719"/>
      <c r="CT231" s="719"/>
      <c r="CU231" s="719"/>
      <c r="CV231" s="719"/>
      <c r="CW231" s="719"/>
      <c r="CX231" s="719"/>
      <c r="CY231" s="719"/>
      <c r="CZ231" s="719"/>
      <c r="DA231" s="719"/>
      <c r="DB231" s="719"/>
      <c r="DC231" s="719"/>
      <c r="DD231" s="719"/>
      <c r="DE231" s="719"/>
      <c r="DF231" s="719"/>
      <c r="DG231" s="719"/>
      <c r="DH231" s="719"/>
      <c r="DI231" s="719"/>
      <c r="DJ231" s="719"/>
      <c r="DK231" s="719"/>
      <c r="DL231" s="719"/>
      <c r="DM231" s="719"/>
      <c r="DN231" s="719"/>
      <c r="DO231" s="719"/>
      <c r="DP231" s="719"/>
      <c r="DQ231" s="719"/>
      <c r="DR231" s="719"/>
    </row>
    <row r="232" spans="1:122" s="275" customFormat="1">
      <c r="A232" s="719"/>
      <c r="B232" s="719"/>
      <c r="C232" s="719"/>
      <c r="D232" s="719"/>
      <c r="E232" s="719"/>
      <c r="F232" s="719"/>
      <c r="G232" s="719"/>
      <c r="H232" s="719"/>
      <c r="I232" s="719"/>
      <c r="J232" s="719"/>
      <c r="K232" s="719"/>
      <c r="L232" s="719"/>
      <c r="M232" s="719"/>
      <c r="N232" s="721"/>
      <c r="O232" s="721"/>
      <c r="P232" s="719"/>
      <c r="Q232" s="719"/>
      <c r="R232" s="719"/>
      <c r="S232" s="721"/>
      <c r="T232" s="721"/>
      <c r="U232" s="719"/>
      <c r="V232" s="719"/>
      <c r="W232" s="719"/>
      <c r="X232" s="721"/>
      <c r="Y232" s="721"/>
      <c r="Z232" s="719"/>
      <c r="AA232" s="719"/>
      <c r="AB232" s="719"/>
      <c r="AC232" s="721"/>
      <c r="AD232" s="721"/>
      <c r="AE232" s="719"/>
      <c r="AF232" s="719"/>
      <c r="AG232" s="719"/>
      <c r="AH232" s="721"/>
      <c r="AI232" s="721"/>
      <c r="AJ232" s="719"/>
      <c r="AK232" s="719"/>
      <c r="AL232" s="719"/>
      <c r="AM232" s="719"/>
      <c r="AN232" s="719"/>
      <c r="AO232" s="719"/>
      <c r="AP232" s="719"/>
      <c r="AQ232" s="719"/>
      <c r="AR232" s="719"/>
      <c r="AS232" s="719"/>
      <c r="AT232" s="719"/>
      <c r="AU232" s="719"/>
      <c r="AV232" s="719"/>
      <c r="AW232" s="719"/>
      <c r="AX232" s="719"/>
      <c r="AY232" s="719"/>
      <c r="AZ232" s="719"/>
      <c r="BA232" s="719"/>
      <c r="BB232" s="719"/>
      <c r="BC232" s="719"/>
      <c r="BD232" s="719"/>
      <c r="BE232" s="719"/>
      <c r="BF232" s="719"/>
      <c r="BG232" s="719"/>
      <c r="BH232" s="719"/>
      <c r="BI232" s="719"/>
      <c r="BJ232" s="719"/>
      <c r="BK232" s="719"/>
      <c r="BL232" s="719"/>
      <c r="BM232" s="719"/>
      <c r="BN232" s="719"/>
      <c r="BO232" s="719"/>
      <c r="BP232" s="719"/>
      <c r="BQ232" s="719"/>
      <c r="BR232" s="719"/>
      <c r="BS232" s="719"/>
      <c r="BT232" s="719"/>
      <c r="BU232" s="719"/>
      <c r="BV232" s="719"/>
      <c r="BW232" s="719"/>
      <c r="BX232" s="719"/>
      <c r="BY232" s="719"/>
      <c r="BZ232" s="719"/>
      <c r="CA232" s="719"/>
      <c r="CB232" s="719"/>
      <c r="CC232" s="719"/>
      <c r="CD232" s="719"/>
      <c r="CE232" s="719"/>
      <c r="CF232" s="719"/>
      <c r="CG232" s="719"/>
      <c r="CH232" s="719"/>
      <c r="CI232" s="719"/>
      <c r="CJ232" s="719"/>
      <c r="CK232" s="719"/>
      <c r="CL232" s="719"/>
      <c r="CM232" s="719"/>
      <c r="CN232" s="719"/>
      <c r="CO232" s="719"/>
      <c r="CP232" s="719"/>
      <c r="CQ232" s="719"/>
      <c r="CR232" s="719"/>
      <c r="CS232" s="719"/>
      <c r="CT232" s="719"/>
      <c r="CU232" s="719"/>
      <c r="CV232" s="719"/>
      <c r="CW232" s="719"/>
      <c r="CX232" s="719"/>
      <c r="CY232" s="719"/>
      <c r="CZ232" s="719"/>
      <c r="DA232" s="719"/>
      <c r="DB232" s="719"/>
      <c r="DC232" s="719"/>
      <c r="DD232" s="719"/>
      <c r="DE232" s="719"/>
      <c r="DF232" s="719"/>
      <c r="DG232" s="719"/>
      <c r="DH232" s="719"/>
      <c r="DI232" s="719"/>
      <c r="DJ232" s="719"/>
      <c r="DK232" s="719"/>
      <c r="DL232" s="719"/>
      <c r="DM232" s="719"/>
      <c r="DN232" s="719"/>
      <c r="DO232" s="719"/>
      <c r="DP232" s="719"/>
      <c r="DQ232" s="719"/>
      <c r="DR232" s="719"/>
    </row>
    <row r="233" spans="1:122" s="275" customFormat="1">
      <c r="A233" s="719"/>
      <c r="B233" s="719"/>
      <c r="C233" s="719"/>
      <c r="D233" s="719"/>
      <c r="E233" s="719"/>
      <c r="F233" s="719"/>
      <c r="G233" s="719"/>
      <c r="H233" s="719"/>
      <c r="I233" s="719"/>
      <c r="J233" s="719"/>
      <c r="K233" s="719"/>
      <c r="L233" s="719"/>
      <c r="M233" s="719"/>
      <c r="N233" s="721"/>
      <c r="O233" s="721"/>
      <c r="P233" s="719"/>
      <c r="Q233" s="719"/>
      <c r="R233" s="719"/>
      <c r="S233" s="721"/>
      <c r="T233" s="721"/>
      <c r="U233" s="719"/>
      <c r="V233" s="719"/>
      <c r="W233" s="719"/>
      <c r="X233" s="721"/>
      <c r="Y233" s="721"/>
      <c r="Z233" s="719"/>
      <c r="AA233" s="719"/>
      <c r="AB233" s="719"/>
      <c r="AC233" s="721"/>
      <c r="AD233" s="721"/>
      <c r="AE233" s="719"/>
      <c r="AF233" s="719"/>
      <c r="AG233" s="719"/>
      <c r="AH233" s="721"/>
      <c r="AI233" s="721"/>
      <c r="AJ233" s="719"/>
      <c r="AK233" s="719"/>
      <c r="AL233" s="719"/>
      <c r="AM233" s="719"/>
      <c r="AN233" s="719"/>
      <c r="AO233" s="719"/>
      <c r="AP233" s="719"/>
      <c r="AQ233" s="719"/>
      <c r="AR233" s="719"/>
      <c r="AS233" s="719"/>
      <c r="AT233" s="719"/>
      <c r="AU233" s="719"/>
      <c r="AV233" s="719"/>
      <c r="AW233" s="719"/>
      <c r="AX233" s="719"/>
      <c r="AY233" s="719"/>
      <c r="AZ233" s="719"/>
      <c r="BA233" s="719"/>
      <c r="BB233" s="719"/>
      <c r="BC233" s="719"/>
      <c r="BD233" s="719"/>
      <c r="BE233" s="719"/>
      <c r="BF233" s="719"/>
      <c r="BG233" s="719"/>
      <c r="BH233" s="719"/>
      <c r="BI233" s="719"/>
      <c r="BJ233" s="719"/>
      <c r="BK233" s="719"/>
      <c r="BL233" s="719"/>
      <c r="BM233" s="719"/>
      <c r="BN233" s="719"/>
      <c r="BO233" s="719"/>
      <c r="BP233" s="719"/>
      <c r="BQ233" s="719"/>
      <c r="BR233" s="719"/>
      <c r="BS233" s="719"/>
      <c r="BT233" s="719"/>
      <c r="BU233" s="719"/>
      <c r="BV233" s="719"/>
      <c r="BW233" s="719"/>
      <c r="BX233" s="719"/>
      <c r="BY233" s="719"/>
      <c r="BZ233" s="719"/>
      <c r="CA233" s="719"/>
      <c r="CB233" s="719"/>
      <c r="CC233" s="719"/>
      <c r="CD233" s="719"/>
      <c r="CE233" s="719"/>
      <c r="CF233" s="719"/>
      <c r="CG233" s="719"/>
      <c r="CH233" s="719"/>
      <c r="CI233" s="719"/>
      <c r="CJ233" s="719"/>
      <c r="CK233" s="719"/>
      <c r="CL233" s="719"/>
      <c r="CM233" s="719"/>
      <c r="CN233" s="719"/>
      <c r="CO233" s="719"/>
      <c r="CP233" s="719"/>
      <c r="CQ233" s="719"/>
      <c r="CR233" s="719"/>
      <c r="CS233" s="719"/>
      <c r="CT233" s="719"/>
      <c r="CU233" s="719"/>
      <c r="CV233" s="719"/>
      <c r="CW233" s="719"/>
      <c r="CX233" s="719"/>
      <c r="CY233" s="719"/>
      <c r="CZ233" s="719"/>
      <c r="DA233" s="719"/>
      <c r="DB233" s="719"/>
      <c r="DC233" s="719"/>
      <c r="DD233" s="719"/>
      <c r="DE233" s="719"/>
      <c r="DF233" s="719"/>
      <c r="DG233" s="719"/>
      <c r="DH233" s="719"/>
      <c r="DI233" s="719"/>
      <c r="DJ233" s="719"/>
      <c r="DK233" s="719"/>
      <c r="DL233" s="719"/>
      <c r="DM233" s="719"/>
      <c r="DN233" s="719"/>
      <c r="DO233" s="719"/>
      <c r="DP233" s="719"/>
      <c r="DQ233" s="719"/>
      <c r="DR233" s="719"/>
    </row>
    <row r="234" spans="1:122" s="275" customFormat="1">
      <c r="A234" s="719"/>
      <c r="B234" s="719"/>
      <c r="C234" s="719"/>
      <c r="D234" s="719"/>
      <c r="E234" s="719"/>
      <c r="F234" s="719"/>
      <c r="G234" s="719"/>
      <c r="H234" s="719"/>
      <c r="I234" s="719"/>
      <c r="J234" s="719"/>
      <c r="K234" s="719"/>
      <c r="L234" s="719"/>
      <c r="M234" s="719"/>
      <c r="N234" s="721"/>
      <c r="O234" s="721"/>
      <c r="P234" s="719"/>
      <c r="Q234" s="719"/>
      <c r="R234" s="719"/>
      <c r="S234" s="721"/>
      <c r="T234" s="721"/>
      <c r="U234" s="719"/>
      <c r="V234" s="719"/>
      <c r="W234" s="719"/>
      <c r="X234" s="721"/>
      <c r="Y234" s="721"/>
      <c r="Z234" s="719"/>
      <c r="AA234" s="719"/>
      <c r="AB234" s="719"/>
      <c r="AC234" s="721"/>
      <c r="AD234" s="721"/>
      <c r="AE234" s="719"/>
      <c r="AF234" s="719"/>
      <c r="AG234" s="719"/>
      <c r="AH234" s="721"/>
      <c r="AI234" s="721"/>
      <c r="AJ234" s="719"/>
      <c r="AK234" s="719"/>
      <c r="AL234" s="719"/>
      <c r="AM234" s="719"/>
      <c r="AN234" s="719"/>
      <c r="AO234" s="719"/>
      <c r="AP234" s="719"/>
      <c r="AQ234" s="719"/>
      <c r="AR234" s="719"/>
      <c r="AS234" s="719"/>
      <c r="AT234" s="719"/>
      <c r="AU234" s="719"/>
      <c r="AV234" s="719"/>
      <c r="AW234" s="719"/>
      <c r="AX234" s="719"/>
      <c r="AY234" s="719"/>
      <c r="AZ234" s="719"/>
      <c r="BA234" s="719"/>
      <c r="BB234" s="719"/>
      <c r="BC234" s="719"/>
      <c r="BD234" s="719"/>
      <c r="BE234" s="719"/>
      <c r="BF234" s="719"/>
      <c r="BG234" s="719"/>
      <c r="BH234" s="719"/>
      <c r="BI234" s="719"/>
      <c r="BJ234" s="719"/>
      <c r="BK234" s="719"/>
      <c r="BL234" s="719"/>
      <c r="BM234" s="719"/>
      <c r="BN234" s="719"/>
      <c r="BO234" s="719"/>
      <c r="BP234" s="719"/>
      <c r="BQ234" s="719"/>
      <c r="BR234" s="719"/>
      <c r="BS234" s="719"/>
      <c r="BT234" s="719"/>
      <c r="BU234" s="719"/>
      <c r="BV234" s="719"/>
      <c r="BW234" s="719"/>
      <c r="BX234" s="719"/>
      <c r="BY234" s="719"/>
      <c r="BZ234" s="719"/>
      <c r="CA234" s="719"/>
      <c r="CB234" s="719"/>
      <c r="CC234" s="719"/>
      <c r="CD234" s="719"/>
      <c r="CE234" s="719"/>
      <c r="CF234" s="719"/>
      <c r="CG234" s="719"/>
      <c r="CH234" s="719"/>
      <c r="CI234" s="719"/>
      <c r="CJ234" s="719"/>
      <c r="CK234" s="719"/>
      <c r="CL234" s="719"/>
      <c r="CM234" s="719"/>
      <c r="CN234" s="719"/>
      <c r="CO234" s="719"/>
      <c r="CP234" s="719"/>
      <c r="CQ234" s="719"/>
      <c r="CR234" s="719"/>
      <c r="CS234" s="719"/>
      <c r="CT234" s="719"/>
      <c r="CU234" s="719"/>
      <c r="CV234" s="719"/>
      <c r="CW234" s="719"/>
      <c r="CX234" s="719"/>
      <c r="CY234" s="719"/>
      <c r="CZ234" s="719"/>
      <c r="DA234" s="719"/>
      <c r="DB234" s="719"/>
      <c r="DC234" s="719"/>
      <c r="DD234" s="719"/>
      <c r="DE234" s="719"/>
      <c r="DF234" s="719"/>
      <c r="DG234" s="719"/>
      <c r="DH234" s="719"/>
      <c r="DI234" s="719"/>
      <c r="DJ234" s="719"/>
      <c r="DK234" s="719"/>
      <c r="DL234" s="719"/>
      <c r="DM234" s="719"/>
      <c r="DN234" s="719"/>
      <c r="DO234" s="719"/>
      <c r="DP234" s="719"/>
      <c r="DQ234" s="719"/>
      <c r="DR234" s="719"/>
    </row>
    <row r="235" spans="1:122" s="275" customFormat="1">
      <c r="A235" s="719"/>
      <c r="B235" s="719"/>
      <c r="C235" s="719"/>
      <c r="D235" s="719"/>
      <c r="E235" s="719"/>
      <c r="F235" s="719"/>
      <c r="G235" s="719"/>
      <c r="H235" s="719"/>
      <c r="I235" s="719"/>
      <c r="J235" s="719"/>
      <c r="K235" s="719"/>
      <c r="L235" s="719"/>
      <c r="M235" s="719"/>
      <c r="N235" s="721"/>
      <c r="O235" s="721"/>
      <c r="P235" s="719"/>
      <c r="Q235" s="719"/>
      <c r="R235" s="719"/>
      <c r="S235" s="721"/>
      <c r="T235" s="721"/>
      <c r="U235" s="719"/>
      <c r="V235" s="719"/>
      <c r="W235" s="719"/>
      <c r="X235" s="721"/>
      <c r="Y235" s="721"/>
      <c r="Z235" s="719"/>
      <c r="AA235" s="719"/>
      <c r="AB235" s="719"/>
      <c r="AC235" s="721"/>
      <c r="AD235" s="721"/>
      <c r="AE235" s="719"/>
      <c r="AF235" s="719"/>
      <c r="AG235" s="719"/>
      <c r="AH235" s="721"/>
      <c r="AI235" s="721"/>
      <c r="AJ235" s="719"/>
      <c r="AK235" s="719"/>
      <c r="AL235" s="719"/>
      <c r="AM235" s="719"/>
      <c r="AN235" s="719"/>
      <c r="AO235" s="719"/>
      <c r="AP235" s="719"/>
      <c r="AQ235" s="719"/>
      <c r="AR235" s="719"/>
      <c r="AS235" s="719"/>
      <c r="AT235" s="719"/>
      <c r="AU235" s="719"/>
      <c r="AV235" s="719"/>
      <c r="AW235" s="719"/>
      <c r="AX235" s="719"/>
      <c r="AY235" s="719"/>
      <c r="AZ235" s="719"/>
      <c r="BA235" s="719"/>
      <c r="BB235" s="719"/>
      <c r="BC235" s="719"/>
      <c r="BD235" s="719"/>
      <c r="BE235" s="719"/>
      <c r="BF235" s="719"/>
      <c r="BG235" s="719"/>
      <c r="BH235" s="719"/>
      <c r="BI235" s="719"/>
      <c r="BJ235" s="719"/>
      <c r="BK235" s="719"/>
      <c r="BL235" s="719"/>
      <c r="BM235" s="719"/>
      <c r="BN235" s="719"/>
      <c r="BO235" s="719"/>
      <c r="BP235" s="719"/>
      <c r="BQ235" s="719"/>
      <c r="BR235" s="719"/>
      <c r="BS235" s="719"/>
      <c r="BT235" s="719"/>
      <c r="BU235" s="719"/>
      <c r="BV235" s="719"/>
      <c r="BW235" s="719"/>
      <c r="BX235" s="719"/>
      <c r="BY235" s="719"/>
      <c r="BZ235" s="719"/>
      <c r="CA235" s="719"/>
      <c r="CB235" s="719"/>
      <c r="CC235" s="719"/>
      <c r="CD235" s="719"/>
      <c r="CE235" s="719"/>
      <c r="CF235" s="719"/>
      <c r="CG235" s="719"/>
      <c r="CH235" s="719"/>
      <c r="CI235" s="719"/>
      <c r="CJ235" s="719"/>
      <c r="CK235" s="719"/>
      <c r="CL235" s="719"/>
      <c r="CM235" s="719"/>
      <c r="CN235" s="719"/>
      <c r="CO235" s="719"/>
      <c r="CP235" s="719"/>
      <c r="CQ235" s="719"/>
      <c r="CR235" s="719"/>
      <c r="CS235" s="719"/>
      <c r="CT235" s="719"/>
      <c r="CU235" s="719"/>
      <c r="CV235" s="719"/>
      <c r="CW235" s="719"/>
      <c r="CX235" s="719"/>
      <c r="CY235" s="719"/>
      <c r="CZ235" s="719"/>
      <c r="DA235" s="719"/>
      <c r="DB235" s="719"/>
      <c r="DC235" s="719"/>
      <c r="DD235" s="719"/>
      <c r="DE235" s="719"/>
      <c r="DF235" s="719"/>
      <c r="DG235" s="719"/>
      <c r="DH235" s="719"/>
      <c r="DI235" s="719"/>
      <c r="DJ235" s="719"/>
      <c r="DK235" s="719"/>
      <c r="DL235" s="719"/>
      <c r="DM235" s="719"/>
      <c r="DN235" s="719"/>
      <c r="DO235" s="719"/>
      <c r="DP235" s="719"/>
      <c r="DQ235" s="719"/>
      <c r="DR235" s="719"/>
    </row>
    <row r="236" spans="1:122" s="275" customFormat="1">
      <c r="A236" s="719"/>
      <c r="B236" s="719"/>
      <c r="C236" s="719"/>
      <c r="D236" s="719"/>
      <c r="E236" s="719"/>
      <c r="F236" s="719"/>
      <c r="G236" s="719"/>
      <c r="H236" s="719"/>
      <c r="I236" s="719"/>
      <c r="J236" s="719"/>
      <c r="K236" s="719"/>
      <c r="L236" s="719"/>
      <c r="M236" s="719"/>
      <c r="N236" s="721"/>
      <c r="O236" s="721"/>
      <c r="P236" s="719"/>
      <c r="Q236" s="719"/>
      <c r="R236" s="719"/>
      <c r="S236" s="721"/>
      <c r="T236" s="721"/>
      <c r="U236" s="719"/>
      <c r="V236" s="719"/>
      <c r="W236" s="719"/>
      <c r="X236" s="721"/>
      <c r="Y236" s="721"/>
      <c r="Z236" s="719"/>
      <c r="AA236" s="719"/>
      <c r="AB236" s="719"/>
      <c r="AC236" s="721"/>
      <c r="AD236" s="721"/>
      <c r="AE236" s="719"/>
      <c r="AF236" s="719"/>
      <c r="AG236" s="719"/>
      <c r="AH236" s="721"/>
      <c r="AI236" s="721"/>
      <c r="AJ236" s="719"/>
      <c r="AK236" s="719"/>
      <c r="AL236" s="719"/>
      <c r="AM236" s="719"/>
      <c r="AN236" s="719"/>
      <c r="AO236" s="719"/>
      <c r="AP236" s="719"/>
      <c r="AQ236" s="719"/>
      <c r="AR236" s="719"/>
      <c r="AS236" s="719"/>
      <c r="AT236" s="719"/>
      <c r="AU236" s="719"/>
      <c r="AV236" s="719"/>
      <c r="AW236" s="719"/>
      <c r="AX236" s="719"/>
      <c r="AY236" s="719"/>
      <c r="AZ236" s="719"/>
      <c r="BA236" s="719"/>
      <c r="BB236" s="719"/>
      <c r="BC236" s="719"/>
      <c r="BD236" s="719"/>
      <c r="BE236" s="719"/>
      <c r="BF236" s="719"/>
      <c r="BG236" s="719"/>
      <c r="BH236" s="719"/>
      <c r="BI236" s="719"/>
      <c r="BJ236" s="719"/>
      <c r="BK236" s="719"/>
      <c r="BL236" s="719"/>
      <c r="BM236" s="719"/>
      <c r="BN236" s="719"/>
      <c r="BO236" s="719"/>
      <c r="BP236" s="719"/>
      <c r="BQ236" s="719"/>
      <c r="BR236" s="719"/>
      <c r="BS236" s="719"/>
      <c r="BT236" s="719"/>
      <c r="BU236" s="719"/>
      <c r="BV236" s="719"/>
      <c r="BW236" s="719"/>
      <c r="BX236" s="719"/>
      <c r="BY236" s="719"/>
      <c r="BZ236" s="719"/>
      <c r="CA236" s="719"/>
      <c r="CB236" s="719"/>
      <c r="CC236" s="719"/>
      <c r="CD236" s="719"/>
      <c r="CE236" s="719"/>
      <c r="CF236" s="719"/>
      <c r="CG236" s="719"/>
      <c r="CH236" s="719"/>
      <c r="CI236" s="719"/>
      <c r="CJ236" s="719"/>
      <c r="CK236" s="719"/>
      <c r="CL236" s="719"/>
      <c r="CM236" s="719"/>
      <c r="CN236" s="719"/>
      <c r="CO236" s="719"/>
      <c r="CP236" s="719"/>
      <c r="CQ236" s="719"/>
      <c r="CR236" s="719"/>
      <c r="CS236" s="719"/>
      <c r="CT236" s="719"/>
      <c r="CU236" s="719"/>
      <c r="CV236" s="719"/>
      <c r="CW236" s="719"/>
      <c r="CX236" s="719"/>
      <c r="CY236" s="719"/>
      <c r="CZ236" s="719"/>
      <c r="DA236" s="719"/>
      <c r="DB236" s="719"/>
      <c r="DC236" s="719"/>
      <c r="DD236" s="719"/>
      <c r="DE236" s="719"/>
      <c r="DF236" s="719"/>
      <c r="DG236" s="719"/>
      <c r="DH236" s="719"/>
      <c r="DI236" s="719"/>
      <c r="DJ236" s="719"/>
      <c r="DK236" s="719"/>
      <c r="DL236" s="719"/>
      <c r="DM236" s="719"/>
      <c r="DN236" s="719"/>
      <c r="DO236" s="719"/>
      <c r="DP236" s="719"/>
      <c r="DQ236" s="719"/>
      <c r="DR236" s="719"/>
    </row>
    <row r="237" spans="1:122" s="275" customFormat="1">
      <c r="A237" s="719"/>
      <c r="B237" s="719"/>
      <c r="C237" s="719"/>
      <c r="D237" s="719"/>
      <c r="E237" s="719"/>
      <c r="F237" s="719"/>
      <c r="G237" s="719"/>
      <c r="H237" s="719"/>
      <c r="I237" s="719"/>
      <c r="J237" s="719"/>
      <c r="K237" s="719"/>
      <c r="L237" s="719"/>
      <c r="M237" s="719"/>
      <c r="N237" s="721"/>
      <c r="O237" s="721"/>
      <c r="P237" s="719"/>
      <c r="Q237" s="719"/>
      <c r="R237" s="719"/>
      <c r="S237" s="721"/>
      <c r="T237" s="721"/>
      <c r="U237" s="719"/>
      <c r="V237" s="719"/>
      <c r="W237" s="719"/>
      <c r="X237" s="721"/>
      <c r="Y237" s="721"/>
      <c r="Z237" s="719"/>
      <c r="AA237" s="719"/>
      <c r="AB237" s="719"/>
      <c r="AC237" s="721"/>
      <c r="AD237" s="721"/>
      <c r="AE237" s="719"/>
      <c r="AF237" s="719"/>
      <c r="AG237" s="719"/>
      <c r="AH237" s="721"/>
      <c r="AI237" s="721"/>
      <c r="AJ237" s="719"/>
      <c r="AK237" s="719"/>
      <c r="AL237" s="719"/>
      <c r="AM237" s="719"/>
      <c r="AN237" s="719"/>
      <c r="AO237" s="719"/>
      <c r="AP237" s="719"/>
      <c r="AQ237" s="719"/>
      <c r="AR237" s="719"/>
      <c r="AS237" s="719"/>
      <c r="AT237" s="719"/>
      <c r="AU237" s="719"/>
      <c r="AV237" s="719"/>
      <c r="AW237" s="719"/>
      <c r="AX237" s="719"/>
      <c r="AY237" s="719"/>
      <c r="AZ237" s="719"/>
      <c r="BA237" s="719"/>
      <c r="BB237" s="719"/>
      <c r="BC237" s="719"/>
      <c r="BD237" s="719"/>
      <c r="BE237" s="719"/>
      <c r="BF237" s="719"/>
      <c r="BG237" s="719"/>
      <c r="BH237" s="719"/>
      <c r="BI237" s="719"/>
      <c r="BJ237" s="719"/>
      <c r="BK237" s="719"/>
      <c r="BL237" s="719"/>
      <c r="BM237" s="719"/>
      <c r="BN237" s="719"/>
      <c r="BO237" s="719"/>
      <c r="BP237" s="719"/>
      <c r="BQ237" s="719"/>
      <c r="BR237" s="719"/>
      <c r="BS237" s="719"/>
      <c r="BT237" s="719"/>
      <c r="BU237" s="719"/>
      <c r="BV237" s="719"/>
      <c r="BW237" s="719"/>
      <c r="BX237" s="719"/>
      <c r="BY237" s="719"/>
      <c r="BZ237" s="719"/>
      <c r="CA237" s="719"/>
      <c r="CB237" s="719"/>
      <c r="CC237" s="719"/>
      <c r="CD237" s="719"/>
      <c r="CE237" s="719"/>
      <c r="CF237" s="719"/>
      <c r="CG237" s="719"/>
      <c r="CH237" s="719"/>
      <c r="CI237" s="719"/>
      <c r="CJ237" s="719"/>
      <c r="CK237" s="719"/>
      <c r="CL237" s="719"/>
      <c r="CM237" s="719"/>
      <c r="CN237" s="719"/>
      <c r="CO237" s="719"/>
      <c r="CP237" s="719"/>
      <c r="CQ237" s="719"/>
      <c r="CR237" s="719"/>
      <c r="CS237" s="719"/>
      <c r="CT237" s="719"/>
      <c r="CU237" s="719"/>
      <c r="CV237" s="719"/>
      <c r="CW237" s="719"/>
      <c r="CX237" s="719"/>
      <c r="CY237" s="719"/>
      <c r="CZ237" s="719"/>
      <c r="DA237" s="719"/>
      <c r="DB237" s="719"/>
      <c r="DC237" s="719"/>
      <c r="DD237" s="719"/>
      <c r="DE237" s="719"/>
      <c r="DF237" s="719"/>
      <c r="DG237" s="719"/>
      <c r="DH237" s="719"/>
      <c r="DI237" s="719"/>
      <c r="DJ237" s="719"/>
      <c r="DK237" s="719"/>
      <c r="DL237" s="719"/>
      <c r="DM237" s="719"/>
      <c r="DN237" s="719"/>
      <c r="DO237" s="719"/>
      <c r="DP237" s="719"/>
      <c r="DQ237" s="719"/>
      <c r="DR237" s="719"/>
    </row>
    <row r="238" spans="1:122" s="275" customFormat="1">
      <c r="A238" s="719"/>
      <c r="B238" s="719"/>
      <c r="C238" s="719"/>
      <c r="D238" s="719"/>
      <c r="E238" s="719"/>
      <c r="F238" s="719"/>
      <c r="G238" s="719"/>
      <c r="H238" s="719"/>
      <c r="I238" s="719"/>
      <c r="J238" s="719"/>
      <c r="K238" s="719"/>
      <c r="L238" s="719"/>
      <c r="M238" s="719"/>
      <c r="N238" s="721"/>
      <c r="O238" s="721"/>
      <c r="P238" s="719"/>
      <c r="Q238" s="719"/>
      <c r="R238" s="719"/>
      <c r="S238" s="721"/>
      <c r="T238" s="721"/>
      <c r="U238" s="719"/>
      <c r="V238" s="719"/>
      <c r="W238" s="719"/>
      <c r="X238" s="721"/>
      <c r="Y238" s="721"/>
      <c r="Z238" s="719"/>
      <c r="AA238" s="719"/>
      <c r="AB238" s="719"/>
      <c r="AC238" s="721"/>
      <c r="AD238" s="721"/>
      <c r="AE238" s="719"/>
      <c r="AF238" s="719"/>
      <c r="AG238" s="719"/>
      <c r="AH238" s="721"/>
      <c r="AI238" s="721"/>
      <c r="AJ238" s="719"/>
      <c r="AK238" s="719"/>
      <c r="AL238" s="719"/>
      <c r="AM238" s="719"/>
      <c r="AN238" s="719"/>
      <c r="AO238" s="719"/>
      <c r="AP238" s="719"/>
      <c r="AQ238" s="719"/>
      <c r="AR238" s="719"/>
      <c r="AS238" s="719"/>
      <c r="AT238" s="719"/>
      <c r="AU238" s="719"/>
      <c r="AV238" s="719"/>
      <c r="AW238" s="719"/>
      <c r="AX238" s="719"/>
      <c r="AY238" s="719"/>
      <c r="AZ238" s="719"/>
      <c r="BA238" s="719"/>
      <c r="BB238" s="719"/>
      <c r="BC238" s="719"/>
      <c r="BD238" s="719"/>
      <c r="BE238" s="719"/>
      <c r="BF238" s="719"/>
      <c r="BG238" s="719"/>
      <c r="BH238" s="719"/>
      <c r="BI238" s="719"/>
      <c r="BJ238" s="719"/>
      <c r="BK238" s="719"/>
      <c r="BL238" s="719"/>
      <c r="BM238" s="719"/>
      <c r="BN238" s="719"/>
      <c r="BO238" s="719"/>
      <c r="BP238" s="719"/>
      <c r="BQ238" s="719"/>
      <c r="BR238" s="719"/>
      <c r="BS238" s="719"/>
      <c r="BT238" s="719"/>
      <c r="BU238" s="719"/>
      <c r="BV238" s="719"/>
      <c r="BW238" s="719"/>
      <c r="BX238" s="719"/>
      <c r="BY238" s="719"/>
      <c r="BZ238" s="719"/>
      <c r="CA238" s="719"/>
      <c r="CB238" s="719"/>
      <c r="CC238" s="719"/>
      <c r="CD238" s="719"/>
      <c r="CE238" s="719"/>
      <c r="CF238" s="719"/>
      <c r="CG238" s="719"/>
      <c r="CH238" s="719"/>
      <c r="CI238" s="719"/>
      <c r="CJ238" s="719"/>
      <c r="CK238" s="719"/>
      <c r="CL238" s="719"/>
      <c r="CM238" s="719"/>
      <c r="CN238" s="719"/>
      <c r="CO238" s="719"/>
      <c r="CP238" s="719"/>
      <c r="CQ238" s="719"/>
      <c r="CR238" s="719"/>
      <c r="CS238" s="719"/>
      <c r="CT238" s="719"/>
      <c r="CU238" s="719"/>
      <c r="CV238" s="719"/>
      <c r="CW238" s="719"/>
      <c r="CX238" s="719"/>
      <c r="CY238" s="719"/>
      <c r="CZ238" s="719"/>
      <c r="DA238" s="719"/>
      <c r="DB238" s="719"/>
      <c r="DC238" s="719"/>
      <c r="DD238" s="719"/>
      <c r="DE238" s="719"/>
      <c r="DF238" s="719"/>
      <c r="DG238" s="719"/>
      <c r="DH238" s="719"/>
      <c r="DI238" s="719"/>
      <c r="DJ238" s="719"/>
      <c r="DK238" s="719"/>
      <c r="DL238" s="719"/>
      <c r="DM238" s="719"/>
      <c r="DN238" s="719"/>
      <c r="DO238" s="719"/>
      <c r="DP238" s="719"/>
      <c r="DQ238" s="719"/>
      <c r="DR238" s="719"/>
    </row>
    <row r="239" spans="1:122" s="275" customFormat="1">
      <c r="A239" s="719"/>
      <c r="B239" s="719"/>
      <c r="C239" s="719"/>
      <c r="D239" s="719"/>
      <c r="E239" s="719"/>
      <c r="F239" s="719"/>
      <c r="G239" s="719"/>
      <c r="H239" s="719"/>
      <c r="I239" s="719"/>
      <c r="J239" s="719"/>
      <c r="K239" s="719"/>
      <c r="L239" s="719"/>
      <c r="M239" s="719"/>
      <c r="N239" s="721"/>
      <c r="O239" s="721"/>
      <c r="P239" s="719"/>
      <c r="Q239" s="719"/>
      <c r="R239" s="719"/>
      <c r="S239" s="721"/>
      <c r="T239" s="721"/>
      <c r="U239" s="719"/>
      <c r="V239" s="719"/>
      <c r="W239" s="719"/>
      <c r="X239" s="721"/>
      <c r="Y239" s="721"/>
      <c r="Z239" s="719"/>
      <c r="AA239" s="719"/>
      <c r="AB239" s="719"/>
      <c r="AC239" s="721"/>
      <c r="AD239" s="721"/>
      <c r="AE239" s="719"/>
      <c r="AF239" s="719"/>
      <c r="AG239" s="719"/>
      <c r="AH239" s="721"/>
      <c r="AI239" s="721"/>
      <c r="AJ239" s="719"/>
      <c r="AK239" s="719"/>
      <c r="AL239" s="719"/>
      <c r="AM239" s="719"/>
      <c r="AN239" s="719"/>
      <c r="AO239" s="719"/>
      <c r="AP239" s="719"/>
      <c r="AQ239" s="719"/>
      <c r="AR239" s="719"/>
      <c r="AS239" s="719"/>
      <c r="AT239" s="719"/>
      <c r="AU239" s="719"/>
      <c r="AV239" s="719"/>
      <c r="AW239" s="719"/>
      <c r="AX239" s="719"/>
      <c r="AY239" s="719"/>
      <c r="AZ239" s="719"/>
      <c r="BA239" s="719"/>
      <c r="BB239" s="719"/>
      <c r="BC239" s="719"/>
      <c r="BD239" s="719"/>
      <c r="BE239" s="719"/>
      <c r="BF239" s="719"/>
      <c r="BG239" s="719"/>
      <c r="BH239" s="719"/>
      <c r="BI239" s="719"/>
      <c r="BJ239" s="719"/>
      <c r="BK239" s="719"/>
      <c r="BL239" s="719"/>
      <c r="BM239" s="719"/>
      <c r="BN239" s="719"/>
      <c r="BO239" s="719"/>
      <c r="BP239" s="719"/>
      <c r="BQ239" s="719"/>
      <c r="BR239" s="719"/>
      <c r="BS239" s="719"/>
      <c r="BT239" s="719"/>
      <c r="BU239" s="719"/>
      <c r="BV239" s="719"/>
      <c r="BW239" s="719"/>
      <c r="BX239" s="719"/>
      <c r="BY239" s="719"/>
      <c r="BZ239" s="719"/>
      <c r="CA239" s="719"/>
      <c r="CB239" s="719"/>
      <c r="CC239" s="719"/>
      <c r="CD239" s="719"/>
      <c r="CE239" s="719"/>
      <c r="CF239" s="719"/>
      <c r="CG239" s="719"/>
      <c r="CH239" s="719"/>
      <c r="CI239" s="719"/>
      <c r="CJ239" s="719"/>
      <c r="CK239" s="719"/>
      <c r="CL239" s="719"/>
      <c r="CM239" s="719"/>
      <c r="CN239" s="719"/>
      <c r="CO239" s="719"/>
      <c r="CP239" s="719"/>
      <c r="CQ239" s="719"/>
      <c r="CR239" s="719"/>
      <c r="CS239" s="719"/>
      <c r="CT239" s="719"/>
      <c r="CU239" s="719"/>
      <c r="CV239" s="719"/>
      <c r="CW239" s="719"/>
      <c r="CX239" s="719"/>
      <c r="CY239" s="719"/>
      <c r="CZ239" s="719"/>
      <c r="DA239" s="719"/>
      <c r="DB239" s="719"/>
      <c r="DC239" s="719"/>
      <c r="DD239" s="719"/>
      <c r="DE239" s="719"/>
      <c r="DF239" s="719"/>
      <c r="DG239" s="719"/>
      <c r="DH239" s="719"/>
      <c r="DI239" s="719"/>
      <c r="DJ239" s="719"/>
      <c r="DK239" s="719"/>
      <c r="DL239" s="719"/>
      <c r="DM239" s="719"/>
      <c r="DN239" s="719"/>
      <c r="DO239" s="719"/>
      <c r="DP239" s="719"/>
      <c r="DQ239" s="719"/>
      <c r="DR239" s="719"/>
    </row>
    <row r="240" spans="1:122" s="275" customFormat="1">
      <c r="A240" s="719"/>
      <c r="B240" s="719"/>
      <c r="C240" s="719"/>
      <c r="D240" s="719"/>
      <c r="E240" s="719"/>
      <c r="F240" s="719"/>
      <c r="G240" s="719"/>
      <c r="H240" s="719"/>
      <c r="I240" s="719"/>
      <c r="J240" s="719"/>
      <c r="K240" s="719"/>
      <c r="L240" s="719"/>
      <c r="M240" s="719"/>
      <c r="N240" s="721"/>
      <c r="O240" s="721"/>
      <c r="P240" s="719"/>
      <c r="Q240" s="719"/>
      <c r="R240" s="719"/>
      <c r="S240" s="721"/>
      <c r="T240" s="721"/>
      <c r="U240" s="719"/>
      <c r="V240" s="719"/>
      <c r="W240" s="719"/>
      <c r="X240" s="721"/>
      <c r="Y240" s="721"/>
      <c r="Z240" s="719"/>
      <c r="AA240" s="719"/>
      <c r="AB240" s="719"/>
      <c r="AC240" s="721"/>
      <c r="AD240" s="721"/>
      <c r="AE240" s="719"/>
      <c r="AF240" s="719"/>
      <c r="AG240" s="719"/>
      <c r="AH240" s="721"/>
      <c r="AI240" s="721"/>
      <c r="AJ240" s="719"/>
      <c r="AK240" s="719"/>
      <c r="AL240" s="719"/>
      <c r="AM240" s="719"/>
      <c r="AN240" s="719"/>
      <c r="AO240" s="719"/>
      <c r="AP240" s="719"/>
      <c r="AQ240" s="719"/>
      <c r="AR240" s="719"/>
      <c r="AS240" s="719"/>
      <c r="AT240" s="719"/>
      <c r="AU240" s="719"/>
      <c r="AV240" s="719"/>
      <c r="AW240" s="719"/>
      <c r="AX240" s="719"/>
      <c r="AY240" s="719"/>
      <c r="AZ240" s="719"/>
      <c r="BA240" s="719"/>
      <c r="BB240" s="719"/>
      <c r="BC240" s="719"/>
      <c r="BD240" s="719"/>
      <c r="BE240" s="719"/>
      <c r="BF240" s="719"/>
      <c r="BG240" s="719"/>
      <c r="BH240" s="719"/>
      <c r="BI240" s="719"/>
      <c r="BJ240" s="719"/>
      <c r="BK240" s="719"/>
      <c r="BL240" s="719"/>
      <c r="BM240" s="719"/>
      <c r="BN240" s="719"/>
      <c r="BO240" s="719"/>
      <c r="BP240" s="719"/>
      <c r="BQ240" s="719"/>
      <c r="BR240" s="719"/>
      <c r="BS240" s="719"/>
      <c r="BT240" s="719"/>
      <c r="BU240" s="719"/>
      <c r="BV240" s="719"/>
      <c r="BW240" s="719"/>
      <c r="BX240" s="719"/>
      <c r="BY240" s="719"/>
      <c r="BZ240" s="719"/>
      <c r="CA240" s="719"/>
      <c r="CB240" s="719"/>
      <c r="CC240" s="719"/>
      <c r="CD240" s="719"/>
      <c r="CE240" s="719"/>
      <c r="CF240" s="719"/>
      <c r="CG240" s="719"/>
      <c r="CH240" s="719"/>
      <c r="CI240" s="719"/>
      <c r="CJ240" s="719"/>
      <c r="CK240" s="719"/>
      <c r="CL240" s="719"/>
      <c r="CM240" s="719"/>
      <c r="CN240" s="719"/>
      <c r="CO240" s="719"/>
      <c r="CP240" s="719"/>
      <c r="CQ240" s="719"/>
      <c r="CR240" s="719"/>
      <c r="CS240" s="719"/>
      <c r="CT240" s="719"/>
      <c r="CU240" s="719"/>
      <c r="CV240" s="719"/>
      <c r="CW240" s="719"/>
      <c r="CX240" s="719"/>
      <c r="CY240" s="719"/>
      <c r="CZ240" s="719"/>
      <c r="DA240" s="719"/>
      <c r="DB240" s="719"/>
      <c r="DC240" s="719"/>
      <c r="DD240" s="719"/>
      <c r="DE240" s="719"/>
      <c r="DF240" s="719"/>
      <c r="DG240" s="719"/>
      <c r="DH240" s="719"/>
      <c r="DI240" s="719"/>
      <c r="DJ240" s="719"/>
      <c r="DK240" s="719"/>
      <c r="DL240" s="719"/>
      <c r="DM240" s="719"/>
      <c r="DN240" s="719"/>
      <c r="DO240" s="719"/>
      <c r="DP240" s="719"/>
      <c r="DQ240" s="719"/>
      <c r="DR240" s="719"/>
    </row>
    <row r="241" spans="1:122" s="275" customFormat="1">
      <c r="A241" s="719"/>
      <c r="B241" s="719"/>
      <c r="C241" s="719"/>
      <c r="D241" s="719"/>
      <c r="E241" s="719"/>
      <c r="F241" s="719"/>
      <c r="G241" s="719"/>
      <c r="H241" s="719"/>
      <c r="I241" s="719"/>
      <c r="J241" s="719"/>
      <c r="K241" s="719"/>
      <c r="L241" s="719"/>
      <c r="M241" s="719"/>
      <c r="N241" s="721"/>
      <c r="O241" s="721"/>
      <c r="P241" s="719"/>
      <c r="Q241" s="719"/>
      <c r="R241" s="719"/>
      <c r="S241" s="721"/>
      <c r="T241" s="721"/>
      <c r="U241" s="719"/>
      <c r="V241" s="719"/>
      <c r="W241" s="719"/>
      <c r="X241" s="721"/>
      <c r="Y241" s="721"/>
      <c r="Z241" s="719"/>
      <c r="AA241" s="719"/>
      <c r="AB241" s="719"/>
      <c r="AC241" s="721"/>
      <c r="AD241" s="721"/>
      <c r="AE241" s="719"/>
      <c r="AF241" s="719"/>
      <c r="AG241" s="719"/>
      <c r="AH241" s="721"/>
      <c r="AI241" s="721"/>
      <c r="AJ241" s="719"/>
      <c r="AK241" s="719"/>
      <c r="AL241" s="719"/>
      <c r="AM241" s="719"/>
      <c r="AN241" s="719"/>
      <c r="AO241" s="719"/>
      <c r="AP241" s="719"/>
      <c r="AQ241" s="719"/>
      <c r="AR241" s="719"/>
      <c r="AS241" s="719"/>
      <c r="AT241" s="719"/>
      <c r="AU241" s="719"/>
      <c r="AV241" s="719"/>
      <c r="AW241" s="719"/>
      <c r="AX241" s="719"/>
      <c r="AY241" s="719"/>
      <c r="AZ241" s="719"/>
      <c r="BA241" s="719"/>
      <c r="BB241" s="719"/>
      <c r="BC241" s="719"/>
      <c r="BD241" s="719"/>
      <c r="BE241" s="719"/>
      <c r="BF241" s="719"/>
      <c r="BG241" s="719"/>
      <c r="BH241" s="719"/>
      <c r="BI241" s="719"/>
      <c r="BJ241" s="719"/>
      <c r="BK241" s="719"/>
      <c r="BL241" s="719"/>
      <c r="BM241" s="719"/>
      <c r="BN241" s="719"/>
      <c r="BO241" s="719"/>
      <c r="BP241" s="719"/>
      <c r="BQ241" s="719"/>
      <c r="BR241" s="719"/>
      <c r="BS241" s="719"/>
      <c r="BT241" s="719"/>
      <c r="BU241" s="719"/>
      <c r="BV241" s="719"/>
      <c r="BW241" s="719"/>
      <c r="BX241" s="719"/>
      <c r="BY241" s="719"/>
      <c r="BZ241" s="719"/>
      <c r="CA241" s="719"/>
      <c r="CB241" s="719"/>
      <c r="CC241" s="719"/>
      <c r="CD241" s="719"/>
      <c r="CE241" s="719"/>
      <c r="CF241" s="719"/>
      <c r="CG241" s="719"/>
      <c r="CH241" s="719"/>
      <c r="CI241" s="719"/>
      <c r="CJ241" s="719"/>
      <c r="CK241" s="719"/>
      <c r="CL241" s="719"/>
      <c r="CM241" s="719"/>
      <c r="CN241" s="719"/>
      <c r="CO241" s="719"/>
      <c r="CP241" s="719"/>
      <c r="CQ241" s="719"/>
      <c r="CR241" s="719"/>
      <c r="CS241" s="719"/>
      <c r="CT241" s="719"/>
      <c r="CU241" s="719"/>
      <c r="CV241" s="719"/>
      <c r="CW241" s="719"/>
      <c r="CX241" s="719"/>
      <c r="CY241" s="719"/>
      <c r="CZ241" s="719"/>
      <c r="DA241" s="719"/>
      <c r="DB241" s="719"/>
      <c r="DC241" s="719"/>
      <c r="DD241" s="719"/>
      <c r="DE241" s="719"/>
      <c r="DF241" s="719"/>
      <c r="DG241" s="719"/>
      <c r="DH241" s="719"/>
      <c r="DI241" s="719"/>
      <c r="DJ241" s="719"/>
      <c r="DK241" s="719"/>
      <c r="DL241" s="719"/>
      <c r="DM241" s="719"/>
      <c r="DN241" s="719"/>
      <c r="DO241" s="719"/>
      <c r="DP241" s="719"/>
      <c r="DQ241" s="719"/>
      <c r="DR241" s="719"/>
    </row>
    <row r="242" spans="1:122" s="275" customFormat="1">
      <c r="A242" s="719"/>
      <c r="B242" s="719"/>
      <c r="C242" s="719"/>
      <c r="D242" s="719"/>
      <c r="E242" s="719"/>
      <c r="F242" s="719"/>
      <c r="G242" s="719"/>
      <c r="H242" s="719"/>
      <c r="I242" s="719"/>
      <c r="J242" s="719"/>
      <c r="K242" s="719"/>
      <c r="L242" s="719"/>
      <c r="M242" s="719"/>
      <c r="N242" s="721"/>
      <c r="O242" s="721"/>
      <c r="P242" s="719"/>
      <c r="Q242" s="719"/>
      <c r="R242" s="719"/>
      <c r="S242" s="721"/>
      <c r="T242" s="721"/>
      <c r="U242" s="719"/>
      <c r="V242" s="719"/>
      <c r="W242" s="719"/>
      <c r="X242" s="721"/>
      <c r="Y242" s="721"/>
      <c r="Z242" s="719"/>
      <c r="AA242" s="719"/>
      <c r="AB242" s="719"/>
      <c r="AC242" s="721"/>
      <c r="AD242" s="721"/>
      <c r="AE242" s="719"/>
      <c r="AF242" s="719"/>
      <c r="AG242" s="719"/>
      <c r="AH242" s="721"/>
      <c r="AI242" s="721"/>
      <c r="AJ242" s="719"/>
      <c r="AK242" s="719"/>
      <c r="AL242" s="719"/>
      <c r="AM242" s="719"/>
      <c r="AN242" s="719"/>
      <c r="AO242" s="719"/>
      <c r="AP242" s="719"/>
      <c r="AQ242" s="719"/>
      <c r="AR242" s="719"/>
      <c r="AS242" s="719"/>
      <c r="AT242" s="719"/>
      <c r="AU242" s="719"/>
      <c r="AV242" s="719"/>
      <c r="AW242" s="719"/>
      <c r="AX242" s="719"/>
      <c r="AY242" s="719"/>
      <c r="AZ242" s="719"/>
      <c r="BA242" s="719"/>
      <c r="BB242" s="719"/>
      <c r="BC242" s="719"/>
      <c r="BD242" s="719"/>
      <c r="BE242" s="719"/>
      <c r="BF242" s="719"/>
      <c r="BG242" s="719"/>
      <c r="BH242" s="719"/>
      <c r="BI242" s="719"/>
      <c r="BJ242" s="719"/>
      <c r="BK242" s="719"/>
      <c r="BL242" s="719"/>
      <c r="BM242" s="719"/>
      <c r="BN242" s="719"/>
      <c r="BO242" s="719"/>
      <c r="BP242" s="719"/>
      <c r="BQ242" s="719"/>
      <c r="BR242" s="719"/>
      <c r="BS242" s="719"/>
      <c r="BT242" s="719"/>
      <c r="BU242" s="719"/>
      <c r="BV242" s="719"/>
      <c r="BW242" s="719"/>
      <c r="BX242" s="719"/>
      <c r="BY242" s="719"/>
      <c r="BZ242" s="719"/>
      <c r="CA242" s="719"/>
      <c r="CB242" s="719"/>
      <c r="CC242" s="719"/>
      <c r="CD242" s="719"/>
      <c r="CE242" s="719"/>
      <c r="CF242" s="719"/>
      <c r="CG242" s="719"/>
      <c r="CH242" s="719"/>
      <c r="CI242" s="719"/>
      <c r="CJ242" s="719"/>
      <c r="CK242" s="719"/>
      <c r="CL242" s="719"/>
      <c r="CM242" s="719"/>
      <c r="CN242" s="719"/>
      <c r="CO242" s="719"/>
      <c r="CP242" s="719"/>
      <c r="CQ242" s="719"/>
      <c r="CR242" s="719"/>
      <c r="CS242" s="719"/>
      <c r="CT242" s="719"/>
      <c r="CU242" s="719"/>
      <c r="CV242" s="719"/>
      <c r="CW242" s="719"/>
      <c r="CX242" s="719"/>
      <c r="CY242" s="719"/>
      <c r="CZ242" s="719"/>
      <c r="DA242" s="719"/>
      <c r="DB242" s="719"/>
      <c r="DC242" s="719"/>
      <c r="DD242" s="719"/>
      <c r="DE242" s="719"/>
      <c r="DF242" s="719"/>
      <c r="DG242" s="719"/>
      <c r="DH242" s="719"/>
      <c r="DI242" s="719"/>
      <c r="DJ242" s="719"/>
      <c r="DK242" s="719"/>
      <c r="DL242" s="719"/>
      <c r="DM242" s="719"/>
      <c r="DN242" s="719"/>
      <c r="DO242" s="719"/>
      <c r="DP242" s="719"/>
      <c r="DQ242" s="719"/>
      <c r="DR242" s="719"/>
    </row>
    <row r="243" spans="1:122" s="275" customFormat="1">
      <c r="A243" s="719"/>
      <c r="B243" s="719"/>
      <c r="C243" s="719"/>
      <c r="D243" s="719"/>
      <c r="E243" s="719"/>
      <c r="F243" s="719"/>
      <c r="G243" s="719"/>
      <c r="H243" s="719"/>
      <c r="I243" s="719"/>
      <c r="J243" s="719"/>
      <c r="K243" s="719"/>
      <c r="L243" s="719"/>
      <c r="M243" s="719"/>
      <c r="N243" s="721"/>
      <c r="O243" s="721"/>
      <c r="P243" s="719"/>
      <c r="Q243" s="719"/>
      <c r="R243" s="719"/>
      <c r="S243" s="721"/>
      <c r="T243" s="721"/>
      <c r="U243" s="719"/>
      <c r="V243" s="719"/>
      <c r="W243" s="719"/>
      <c r="X243" s="721"/>
      <c r="Y243" s="721"/>
      <c r="Z243" s="719"/>
      <c r="AA243" s="719"/>
      <c r="AB243" s="719"/>
      <c r="AC243" s="721"/>
      <c r="AD243" s="721"/>
      <c r="AE243" s="719"/>
      <c r="AF243" s="719"/>
      <c r="AG243" s="719"/>
      <c r="AH243" s="721"/>
      <c r="AI243" s="721"/>
      <c r="AJ243" s="719"/>
      <c r="AK243" s="719"/>
      <c r="AL243" s="719"/>
      <c r="AM243" s="719"/>
      <c r="AN243" s="719"/>
      <c r="AO243" s="719"/>
      <c r="AP243" s="719"/>
      <c r="AQ243" s="719"/>
      <c r="AR243" s="719"/>
      <c r="AS243" s="719"/>
      <c r="AT243" s="719"/>
      <c r="AU243" s="719"/>
      <c r="AV243" s="719"/>
      <c r="AW243" s="719"/>
      <c r="AX243" s="719"/>
      <c r="AY243" s="719"/>
      <c r="AZ243" s="719"/>
      <c r="BA243" s="719"/>
      <c r="BB243" s="719"/>
      <c r="BC243" s="719"/>
      <c r="BD243" s="719"/>
      <c r="BE243" s="719"/>
      <c r="BF243" s="719"/>
      <c r="BG243" s="719"/>
      <c r="BH243" s="719"/>
      <c r="BI243" s="719"/>
      <c r="BJ243" s="719"/>
      <c r="BK243" s="719"/>
      <c r="BL243" s="719"/>
      <c r="BM243" s="719"/>
      <c r="BN243" s="719"/>
      <c r="BO243" s="719"/>
      <c r="BP243" s="719"/>
      <c r="BQ243" s="719"/>
      <c r="BR243" s="719"/>
      <c r="BS243" s="719"/>
      <c r="BT243" s="719"/>
      <c r="BU243" s="719"/>
      <c r="BV243" s="719"/>
      <c r="BW243" s="719"/>
      <c r="BX243" s="719"/>
      <c r="BY243" s="719"/>
      <c r="BZ243" s="719"/>
      <c r="CA243" s="719"/>
      <c r="CB243" s="719"/>
      <c r="CC243" s="719"/>
      <c r="CD243" s="719"/>
      <c r="CE243" s="719"/>
      <c r="CF243" s="719"/>
      <c r="CG243" s="719"/>
      <c r="CH243" s="719"/>
      <c r="CI243" s="719"/>
      <c r="CJ243" s="719"/>
      <c r="CK243" s="719"/>
      <c r="CL243" s="719"/>
      <c r="CM243" s="719"/>
      <c r="CN243" s="719"/>
      <c r="CO243" s="719"/>
      <c r="CP243" s="719"/>
      <c r="CQ243" s="719"/>
      <c r="CR243" s="719"/>
      <c r="CS243" s="719"/>
      <c r="CT243" s="719"/>
      <c r="CU243" s="719"/>
      <c r="CV243" s="719"/>
      <c r="CW243" s="719"/>
      <c r="CX243" s="719"/>
      <c r="CY243" s="719"/>
      <c r="CZ243" s="719"/>
      <c r="DA243" s="719"/>
      <c r="DB243" s="719"/>
      <c r="DC243" s="719"/>
      <c r="DD243" s="719"/>
      <c r="DE243" s="719"/>
      <c r="DF243" s="719"/>
      <c r="DG243" s="719"/>
      <c r="DH243" s="719"/>
      <c r="DI243" s="719"/>
      <c r="DJ243" s="719"/>
      <c r="DK243" s="719"/>
      <c r="DL243" s="719"/>
      <c r="DM243" s="719"/>
      <c r="DN243" s="719"/>
      <c r="DO243" s="719"/>
      <c r="DP243" s="719"/>
      <c r="DQ243" s="719"/>
      <c r="DR243" s="719"/>
    </row>
    <row r="244" spans="1:122" s="275" customFormat="1">
      <c r="A244" s="719"/>
      <c r="B244" s="719"/>
      <c r="C244" s="719"/>
      <c r="D244" s="719"/>
      <c r="E244" s="719"/>
      <c r="F244" s="719"/>
      <c r="G244" s="719"/>
      <c r="H244" s="719"/>
      <c r="I244" s="719"/>
      <c r="J244" s="719"/>
      <c r="K244" s="719"/>
      <c r="L244" s="719"/>
      <c r="M244" s="719"/>
      <c r="N244" s="721"/>
      <c r="O244" s="721"/>
      <c r="P244" s="719"/>
      <c r="Q244" s="719"/>
      <c r="R244" s="719"/>
      <c r="S244" s="721"/>
      <c r="T244" s="721"/>
      <c r="U244" s="719"/>
      <c r="V244" s="719"/>
      <c r="W244" s="719"/>
      <c r="X244" s="721"/>
      <c r="Y244" s="721"/>
      <c r="Z244" s="719"/>
      <c r="AA244" s="719"/>
      <c r="AB244" s="719"/>
      <c r="AC244" s="721"/>
      <c r="AD244" s="721"/>
      <c r="AE244" s="719"/>
      <c r="AF244" s="719"/>
      <c r="AG244" s="719"/>
      <c r="AH244" s="721"/>
      <c r="AI244" s="721"/>
      <c r="AJ244" s="719"/>
      <c r="AK244" s="719"/>
      <c r="AL244" s="719"/>
      <c r="AM244" s="719"/>
      <c r="AN244" s="719"/>
      <c r="AO244" s="719"/>
      <c r="AP244" s="719"/>
      <c r="AQ244" s="719"/>
      <c r="AR244" s="719"/>
      <c r="AS244" s="719"/>
      <c r="AT244" s="719"/>
      <c r="AU244" s="719"/>
      <c r="AV244" s="719"/>
      <c r="AW244" s="719"/>
      <c r="AX244" s="719"/>
      <c r="AY244" s="719"/>
      <c r="AZ244" s="719"/>
      <c r="BA244" s="719"/>
      <c r="BB244" s="719"/>
      <c r="BC244" s="719"/>
      <c r="BD244" s="719"/>
      <c r="BE244" s="719"/>
      <c r="BF244" s="719"/>
      <c r="BG244" s="719"/>
      <c r="BH244" s="719"/>
      <c r="BI244" s="719"/>
      <c r="BJ244" s="719"/>
      <c r="BK244" s="719"/>
      <c r="BL244" s="719"/>
      <c r="BM244" s="719"/>
      <c r="BN244" s="719"/>
      <c r="BO244" s="719"/>
      <c r="BP244" s="719"/>
      <c r="BQ244" s="719"/>
      <c r="BR244" s="719"/>
      <c r="BS244" s="719"/>
      <c r="BT244" s="719"/>
      <c r="BU244" s="719"/>
      <c r="BV244" s="719"/>
      <c r="BW244" s="719"/>
      <c r="BX244" s="719"/>
      <c r="BY244" s="719"/>
      <c r="BZ244" s="719"/>
      <c r="CA244" s="719"/>
      <c r="CB244" s="719"/>
      <c r="CC244" s="719"/>
      <c r="CD244" s="719"/>
      <c r="CE244" s="719"/>
      <c r="CF244" s="719"/>
      <c r="CG244" s="719"/>
      <c r="CH244" s="719"/>
      <c r="CI244" s="719"/>
      <c r="CJ244" s="719"/>
      <c r="CK244" s="719"/>
      <c r="CL244" s="719"/>
      <c r="CM244" s="719"/>
      <c r="CN244" s="719"/>
      <c r="CO244" s="719"/>
      <c r="CP244" s="719"/>
      <c r="CQ244" s="719"/>
      <c r="CR244" s="719"/>
      <c r="CS244" s="719"/>
      <c r="CT244" s="719"/>
      <c r="CU244" s="719"/>
      <c r="CV244" s="719"/>
      <c r="CW244" s="719"/>
      <c r="CX244" s="719"/>
      <c r="CY244" s="719"/>
      <c r="CZ244" s="719"/>
      <c r="DA244" s="719"/>
      <c r="DB244" s="719"/>
      <c r="DC244" s="719"/>
      <c r="DD244" s="719"/>
      <c r="DE244" s="719"/>
      <c r="DF244" s="719"/>
      <c r="DG244" s="719"/>
      <c r="DH244" s="719"/>
      <c r="DI244" s="719"/>
      <c r="DJ244" s="719"/>
      <c r="DK244" s="719"/>
      <c r="DL244" s="719"/>
      <c r="DM244" s="719"/>
      <c r="DN244" s="719"/>
      <c r="DO244" s="719"/>
      <c r="DP244" s="719"/>
      <c r="DQ244" s="719"/>
      <c r="DR244" s="719"/>
    </row>
    <row r="245" spans="1:122" s="275" customFormat="1">
      <c r="A245" s="719"/>
      <c r="B245" s="719"/>
      <c r="C245" s="719"/>
      <c r="D245" s="719"/>
      <c r="E245" s="719"/>
      <c r="F245" s="719"/>
      <c r="G245" s="719"/>
      <c r="H245" s="719"/>
      <c r="I245" s="719"/>
      <c r="J245" s="719"/>
      <c r="K245" s="719"/>
      <c r="L245" s="719"/>
      <c r="M245" s="719"/>
      <c r="N245" s="721"/>
      <c r="O245" s="721"/>
      <c r="P245" s="719"/>
      <c r="Q245" s="719"/>
      <c r="R245" s="719"/>
      <c r="S245" s="721"/>
      <c r="T245" s="721"/>
      <c r="U245" s="719"/>
      <c r="V245" s="719"/>
      <c r="W245" s="719"/>
      <c r="X245" s="721"/>
      <c r="Y245" s="721"/>
      <c r="Z245" s="719"/>
      <c r="AA245" s="719"/>
      <c r="AB245" s="719"/>
      <c r="AC245" s="721"/>
      <c r="AD245" s="721"/>
      <c r="AE245" s="719"/>
      <c r="AF245" s="719"/>
      <c r="AG245" s="719"/>
      <c r="AH245" s="721"/>
      <c r="AI245" s="721"/>
      <c r="AJ245" s="719"/>
      <c r="AK245" s="719"/>
      <c r="AL245" s="719"/>
      <c r="AM245" s="719"/>
      <c r="AN245" s="719"/>
      <c r="AO245" s="719"/>
      <c r="AP245" s="719"/>
      <c r="AQ245" s="719"/>
      <c r="AR245" s="719"/>
      <c r="AS245" s="719"/>
      <c r="AT245" s="719"/>
      <c r="AU245" s="719"/>
      <c r="AV245" s="719"/>
      <c r="AW245" s="719"/>
      <c r="AX245" s="719"/>
      <c r="AY245" s="719"/>
      <c r="AZ245" s="719"/>
      <c r="BA245" s="719"/>
      <c r="BB245" s="719"/>
      <c r="BC245" s="719"/>
      <c r="BD245" s="719"/>
      <c r="BE245" s="719"/>
      <c r="BF245" s="719"/>
      <c r="BG245" s="719"/>
      <c r="BH245" s="719"/>
      <c r="BI245" s="719"/>
      <c r="BJ245" s="719"/>
      <c r="BK245" s="719"/>
      <c r="BL245" s="719"/>
      <c r="BM245" s="719"/>
      <c r="BN245" s="719"/>
      <c r="BO245" s="719"/>
      <c r="BP245" s="719"/>
      <c r="BQ245" s="719"/>
      <c r="BR245" s="719"/>
      <c r="BS245" s="719"/>
      <c r="BT245" s="719"/>
      <c r="BU245" s="719"/>
      <c r="BV245" s="719"/>
      <c r="BW245" s="719"/>
      <c r="BX245" s="719"/>
      <c r="BY245" s="719"/>
      <c r="BZ245" s="719"/>
      <c r="CA245" s="719"/>
      <c r="CB245" s="719"/>
      <c r="CC245" s="719"/>
      <c r="CD245" s="719"/>
      <c r="CE245" s="719"/>
      <c r="CF245" s="719"/>
      <c r="CG245" s="719"/>
      <c r="CH245" s="719"/>
      <c r="CI245" s="719"/>
      <c r="CJ245" s="719"/>
      <c r="CK245" s="719"/>
      <c r="CL245" s="719"/>
      <c r="CM245" s="719"/>
      <c r="CN245" s="719"/>
      <c r="CO245" s="719"/>
      <c r="CP245" s="719"/>
      <c r="CQ245" s="719"/>
      <c r="CR245" s="719"/>
      <c r="CS245" s="719"/>
      <c r="CT245" s="719"/>
      <c r="CU245" s="719"/>
      <c r="CV245" s="719"/>
      <c r="CW245" s="719"/>
      <c r="CX245" s="719"/>
      <c r="CY245" s="719"/>
      <c r="CZ245" s="719"/>
      <c r="DA245" s="719"/>
      <c r="DB245" s="719"/>
      <c r="DC245" s="719"/>
      <c r="DD245" s="719"/>
      <c r="DE245" s="719"/>
      <c r="DF245" s="719"/>
      <c r="DG245" s="719"/>
      <c r="DH245" s="719"/>
      <c r="DI245" s="719"/>
      <c r="DJ245" s="719"/>
      <c r="DK245" s="719"/>
      <c r="DL245" s="719"/>
      <c r="DM245" s="719"/>
      <c r="DN245" s="719"/>
      <c r="DO245" s="719"/>
      <c r="DP245" s="719"/>
      <c r="DQ245" s="719"/>
      <c r="DR245" s="719"/>
    </row>
    <row r="246" spans="1:122" s="275" customFormat="1">
      <c r="A246" s="719"/>
      <c r="B246" s="719"/>
      <c r="C246" s="719"/>
      <c r="D246" s="719"/>
      <c r="E246" s="719"/>
      <c r="F246" s="719"/>
      <c r="G246" s="719"/>
      <c r="H246" s="719"/>
      <c r="I246" s="719"/>
      <c r="J246" s="719"/>
      <c r="K246" s="719"/>
      <c r="L246" s="719"/>
      <c r="M246" s="719"/>
      <c r="N246" s="721"/>
      <c r="O246" s="721"/>
      <c r="P246" s="719"/>
      <c r="Q246" s="719"/>
      <c r="R246" s="719"/>
      <c r="S246" s="721"/>
      <c r="T246" s="721"/>
      <c r="U246" s="719"/>
      <c r="V246" s="719"/>
      <c r="W246" s="719"/>
      <c r="X246" s="721"/>
      <c r="Y246" s="721"/>
      <c r="Z246" s="719"/>
      <c r="AA246" s="719"/>
      <c r="AB246" s="719"/>
      <c r="AC246" s="721"/>
      <c r="AD246" s="721"/>
      <c r="AE246" s="719"/>
      <c r="AF246" s="719"/>
      <c r="AG246" s="719"/>
      <c r="AH246" s="721"/>
      <c r="AI246" s="721"/>
      <c r="AJ246" s="719"/>
      <c r="AK246" s="719"/>
      <c r="AL246" s="719"/>
      <c r="AM246" s="719"/>
      <c r="AN246" s="719"/>
      <c r="AO246" s="719"/>
      <c r="AP246" s="719"/>
      <c r="AQ246" s="719"/>
      <c r="AR246" s="719"/>
      <c r="AS246" s="719"/>
      <c r="AT246" s="719"/>
      <c r="AU246" s="719"/>
      <c r="AV246" s="719"/>
      <c r="AW246" s="719"/>
      <c r="AX246" s="719"/>
      <c r="AY246" s="719"/>
      <c r="AZ246" s="719"/>
      <c r="BA246" s="719"/>
      <c r="BB246" s="719"/>
      <c r="BC246" s="719"/>
      <c r="BD246" s="719"/>
      <c r="BE246" s="719"/>
      <c r="BF246" s="719"/>
      <c r="BG246" s="719"/>
      <c r="BH246" s="719"/>
      <c r="BI246" s="719"/>
      <c r="BJ246" s="719"/>
      <c r="BK246" s="719"/>
      <c r="BL246" s="719"/>
      <c r="BM246" s="719"/>
      <c r="BN246" s="719"/>
      <c r="BO246" s="719"/>
      <c r="BP246" s="719"/>
      <c r="BQ246" s="719"/>
      <c r="BR246" s="719"/>
      <c r="BS246" s="719"/>
      <c r="BT246" s="719"/>
      <c r="BU246" s="719"/>
      <c r="BV246" s="719"/>
      <c r="BW246" s="719"/>
      <c r="BX246" s="719"/>
      <c r="BY246" s="719"/>
      <c r="BZ246" s="719"/>
      <c r="CA246" s="719"/>
      <c r="CB246" s="719"/>
      <c r="CC246" s="719"/>
      <c r="CD246" s="719"/>
      <c r="CE246" s="719"/>
      <c r="CF246" s="719"/>
      <c r="CG246" s="719"/>
      <c r="CH246" s="719"/>
      <c r="CI246" s="719"/>
      <c r="CJ246" s="719"/>
      <c r="CK246" s="719"/>
      <c r="CL246" s="719"/>
      <c r="CM246" s="719"/>
      <c r="CN246" s="719"/>
      <c r="CO246" s="719"/>
      <c r="CP246" s="719"/>
      <c r="CQ246" s="719"/>
      <c r="CR246" s="719"/>
      <c r="CS246" s="719"/>
      <c r="CT246" s="719"/>
      <c r="CU246" s="719"/>
      <c r="CV246" s="719"/>
      <c r="CW246" s="719"/>
      <c r="CX246" s="719"/>
      <c r="CY246" s="719"/>
      <c r="CZ246" s="719"/>
      <c r="DA246" s="719"/>
      <c r="DB246" s="719"/>
      <c r="DC246" s="719"/>
      <c r="DD246" s="719"/>
      <c r="DE246" s="719"/>
      <c r="DF246" s="719"/>
      <c r="DG246" s="719"/>
      <c r="DH246" s="719"/>
      <c r="DI246" s="719"/>
      <c r="DJ246" s="719"/>
      <c r="DK246" s="719"/>
      <c r="DL246" s="719"/>
      <c r="DM246" s="719"/>
      <c r="DN246" s="719"/>
      <c r="DO246" s="719"/>
      <c r="DP246" s="719"/>
      <c r="DQ246" s="719"/>
      <c r="DR246" s="719"/>
    </row>
    <row r="247" spans="1:122" s="275" customFormat="1">
      <c r="A247" s="719"/>
      <c r="B247" s="719"/>
      <c r="C247" s="719"/>
      <c r="D247" s="719"/>
      <c r="E247" s="719"/>
      <c r="F247" s="719"/>
      <c r="G247" s="719"/>
      <c r="H247" s="719"/>
      <c r="I247" s="719"/>
      <c r="J247" s="719"/>
      <c r="K247" s="719"/>
      <c r="L247" s="719"/>
      <c r="M247" s="719"/>
      <c r="N247" s="721"/>
      <c r="O247" s="721"/>
      <c r="P247" s="719"/>
      <c r="Q247" s="719"/>
      <c r="R247" s="719"/>
      <c r="S247" s="721"/>
      <c r="T247" s="721"/>
      <c r="U247" s="719"/>
      <c r="V247" s="719"/>
      <c r="W247" s="719"/>
      <c r="X247" s="721"/>
      <c r="Y247" s="721"/>
      <c r="Z247" s="719"/>
      <c r="AA247" s="719"/>
      <c r="AB247" s="719"/>
      <c r="AC247" s="721"/>
      <c r="AD247" s="721"/>
      <c r="AE247" s="719"/>
      <c r="AF247" s="719"/>
      <c r="AG247" s="719"/>
      <c r="AH247" s="721"/>
      <c r="AI247" s="721"/>
      <c r="AJ247" s="719"/>
      <c r="AK247" s="719"/>
      <c r="AL247" s="719"/>
      <c r="AM247" s="719"/>
      <c r="AN247" s="719"/>
      <c r="AO247" s="719"/>
      <c r="AP247" s="719"/>
      <c r="AQ247" s="719"/>
      <c r="AR247" s="719"/>
      <c r="AS247" s="719"/>
      <c r="AT247" s="719"/>
      <c r="AU247" s="719"/>
      <c r="AV247" s="719"/>
      <c r="AW247" s="719"/>
      <c r="AX247" s="719"/>
      <c r="AY247" s="719"/>
      <c r="AZ247" s="719"/>
      <c r="BA247" s="719"/>
      <c r="BB247" s="719"/>
      <c r="BC247" s="719"/>
      <c r="BD247" s="719"/>
      <c r="BE247" s="719"/>
      <c r="BF247" s="719"/>
      <c r="BG247" s="719"/>
      <c r="BH247" s="719"/>
      <c r="BI247" s="719"/>
      <c r="BJ247" s="719"/>
      <c r="BK247" s="719"/>
      <c r="BL247" s="719"/>
      <c r="BM247" s="719"/>
      <c r="BN247" s="719"/>
      <c r="BO247" s="719"/>
      <c r="BP247" s="719"/>
      <c r="BQ247" s="719"/>
      <c r="BR247" s="719"/>
      <c r="BS247" s="719"/>
      <c r="BT247" s="719"/>
      <c r="BU247" s="719"/>
      <c r="BV247" s="719"/>
      <c r="BW247" s="719"/>
      <c r="BX247" s="719"/>
      <c r="BY247" s="719"/>
      <c r="BZ247" s="719"/>
      <c r="CA247" s="719"/>
      <c r="CB247" s="719"/>
      <c r="CC247" s="719"/>
      <c r="CD247" s="719"/>
      <c r="CE247" s="719"/>
      <c r="CF247" s="719"/>
      <c r="CG247" s="719"/>
      <c r="CH247" s="719"/>
      <c r="CI247" s="719"/>
      <c r="CJ247" s="719"/>
      <c r="CK247" s="719"/>
      <c r="CL247" s="719"/>
      <c r="CM247" s="719"/>
      <c r="CN247" s="719"/>
      <c r="CO247" s="719"/>
      <c r="CP247" s="719"/>
      <c r="CQ247" s="719"/>
      <c r="CR247" s="719"/>
      <c r="CS247" s="719"/>
      <c r="CT247" s="719"/>
      <c r="CU247" s="719"/>
      <c r="CV247" s="719"/>
      <c r="CW247" s="719"/>
      <c r="CX247" s="719"/>
      <c r="CY247" s="719"/>
      <c r="CZ247" s="719"/>
      <c r="DA247" s="719"/>
      <c r="DB247" s="719"/>
      <c r="DC247" s="719"/>
      <c r="DD247" s="719"/>
      <c r="DE247" s="719"/>
      <c r="DF247" s="719"/>
      <c r="DG247" s="719"/>
      <c r="DH247" s="719"/>
      <c r="DI247" s="719"/>
      <c r="DJ247" s="719"/>
      <c r="DK247" s="719"/>
      <c r="DL247" s="719"/>
      <c r="DM247" s="719"/>
      <c r="DN247" s="719"/>
      <c r="DO247" s="719"/>
      <c r="DP247" s="719"/>
      <c r="DQ247" s="719"/>
      <c r="DR247" s="719"/>
    </row>
    <row r="248" spans="1:122" s="275" customFormat="1">
      <c r="A248" s="719"/>
      <c r="B248" s="719"/>
      <c r="C248" s="719"/>
      <c r="D248" s="719"/>
      <c r="E248" s="719"/>
      <c r="F248" s="719"/>
      <c r="G248" s="719"/>
      <c r="H248" s="719"/>
      <c r="I248" s="719"/>
      <c r="J248" s="719"/>
      <c r="K248" s="719"/>
      <c r="L248" s="719"/>
      <c r="M248" s="719"/>
      <c r="N248" s="721"/>
      <c r="O248" s="721"/>
      <c r="P248" s="719"/>
      <c r="Q248" s="719"/>
      <c r="R248" s="719"/>
      <c r="S248" s="721"/>
      <c r="T248" s="721"/>
      <c r="U248" s="719"/>
      <c r="V248" s="719"/>
      <c r="W248" s="719"/>
      <c r="X248" s="721"/>
      <c r="Y248" s="721"/>
      <c r="Z248" s="719"/>
      <c r="AA248" s="719"/>
      <c r="AB248" s="719"/>
      <c r="AC248" s="721"/>
      <c r="AD248" s="721"/>
      <c r="AE248" s="719"/>
      <c r="AF248" s="719"/>
      <c r="AG248" s="719"/>
      <c r="AH248" s="721"/>
      <c r="AI248" s="721"/>
      <c r="AJ248" s="719"/>
      <c r="AK248" s="719"/>
      <c r="AL248" s="719"/>
      <c r="AM248" s="719"/>
      <c r="AN248" s="719"/>
      <c r="AO248" s="719"/>
      <c r="AP248" s="719"/>
      <c r="AQ248" s="719"/>
      <c r="AR248" s="719"/>
      <c r="AS248" s="719"/>
      <c r="AT248" s="719"/>
      <c r="AU248" s="719"/>
      <c r="AV248" s="719"/>
      <c r="AW248" s="719"/>
      <c r="AX248" s="719"/>
      <c r="AY248" s="719"/>
      <c r="AZ248" s="719"/>
      <c r="BA248" s="719"/>
      <c r="BB248" s="719"/>
      <c r="BC248" s="719"/>
      <c r="BD248" s="719"/>
      <c r="BE248" s="719"/>
      <c r="BF248" s="719"/>
      <c r="BG248" s="719"/>
      <c r="BH248" s="719"/>
      <c r="BI248" s="719"/>
      <c r="BJ248" s="719"/>
      <c r="BK248" s="719"/>
      <c r="BL248" s="719"/>
      <c r="BM248" s="719"/>
      <c r="BN248" s="719"/>
      <c r="BO248" s="719"/>
      <c r="BP248" s="719"/>
      <c r="BQ248" s="719"/>
      <c r="BR248" s="719"/>
      <c r="BS248" s="719"/>
      <c r="BT248" s="719"/>
      <c r="BU248" s="719"/>
      <c r="BV248" s="719"/>
      <c r="BW248" s="719"/>
      <c r="BX248" s="719"/>
      <c r="BY248" s="719"/>
      <c r="BZ248" s="719"/>
      <c r="CA248" s="719"/>
      <c r="CB248" s="719"/>
      <c r="CC248" s="719"/>
      <c r="CD248" s="719"/>
      <c r="CE248" s="719"/>
      <c r="CF248" s="719"/>
      <c r="CG248" s="719"/>
      <c r="CH248" s="719"/>
      <c r="CI248" s="719"/>
      <c r="CJ248" s="719"/>
      <c r="CK248" s="719"/>
      <c r="CL248" s="719"/>
      <c r="CM248" s="719"/>
      <c r="CN248" s="719"/>
      <c r="CO248" s="719"/>
      <c r="CP248" s="719"/>
      <c r="CQ248" s="719"/>
      <c r="CR248" s="719"/>
      <c r="CS248" s="719"/>
      <c r="CT248" s="719"/>
      <c r="CU248" s="719"/>
      <c r="CV248" s="719"/>
      <c r="CW248" s="719"/>
      <c r="CX248" s="719"/>
      <c r="CY248" s="719"/>
      <c r="CZ248" s="719"/>
      <c r="DA248" s="719"/>
      <c r="DB248" s="719"/>
      <c r="DC248" s="719"/>
      <c r="DD248" s="719"/>
      <c r="DE248" s="719"/>
      <c r="DF248" s="719"/>
      <c r="DG248" s="719"/>
      <c r="DH248" s="719"/>
      <c r="DI248" s="719"/>
      <c r="DJ248" s="719"/>
      <c r="DK248" s="719"/>
      <c r="DL248" s="719"/>
      <c r="DM248" s="719"/>
      <c r="DN248" s="719"/>
      <c r="DO248" s="719"/>
      <c r="DP248" s="719"/>
      <c r="DQ248" s="719"/>
      <c r="DR248" s="719"/>
    </row>
    <row r="249" spans="1:122" s="275" customFormat="1">
      <c r="A249" s="719"/>
      <c r="B249" s="719"/>
      <c r="C249" s="719"/>
      <c r="D249" s="719"/>
      <c r="E249" s="719"/>
      <c r="F249" s="719"/>
      <c r="G249" s="719"/>
      <c r="H249" s="719"/>
      <c r="I249" s="719"/>
      <c r="J249" s="719"/>
      <c r="K249" s="719"/>
      <c r="L249" s="719"/>
      <c r="M249" s="719"/>
      <c r="N249" s="721"/>
      <c r="O249" s="721"/>
      <c r="P249" s="719"/>
      <c r="Q249" s="719"/>
      <c r="R249" s="719"/>
      <c r="S249" s="721"/>
      <c r="T249" s="721"/>
      <c r="U249" s="719"/>
      <c r="V249" s="719"/>
      <c r="W249" s="719"/>
      <c r="X249" s="721"/>
      <c r="Y249" s="721"/>
      <c r="Z249" s="719"/>
      <c r="AA249" s="719"/>
      <c r="AB249" s="719"/>
      <c r="AC249" s="721"/>
      <c r="AD249" s="721"/>
      <c r="AE249" s="719"/>
      <c r="AF249" s="719"/>
      <c r="AG249" s="719"/>
      <c r="AH249" s="721"/>
      <c r="AI249" s="721"/>
      <c r="AJ249" s="719"/>
      <c r="AK249" s="719"/>
      <c r="AL249" s="719"/>
      <c r="AM249" s="719"/>
      <c r="AN249" s="719"/>
      <c r="AO249" s="719"/>
      <c r="AP249" s="719"/>
      <c r="AQ249" s="719"/>
      <c r="AR249" s="719"/>
      <c r="AS249" s="719"/>
      <c r="AT249" s="719"/>
      <c r="AU249" s="719"/>
      <c r="AV249" s="719"/>
      <c r="AW249" s="719"/>
      <c r="AX249" s="719"/>
      <c r="AY249" s="719"/>
      <c r="AZ249" s="719"/>
      <c r="BA249" s="719"/>
      <c r="BB249" s="719"/>
      <c r="BC249" s="719"/>
      <c r="BD249" s="719"/>
      <c r="BE249" s="719"/>
      <c r="BF249" s="719"/>
      <c r="BG249" s="719"/>
      <c r="BH249" s="719"/>
      <c r="BI249" s="719"/>
      <c r="BJ249" s="719"/>
      <c r="BK249" s="719"/>
      <c r="BL249" s="719"/>
      <c r="BM249" s="719"/>
      <c r="BN249" s="719"/>
      <c r="BO249" s="719"/>
      <c r="BP249" s="719"/>
      <c r="BQ249" s="719"/>
      <c r="BR249" s="719"/>
      <c r="BS249" s="719"/>
      <c r="BT249" s="719"/>
      <c r="BU249" s="719"/>
      <c r="BV249" s="719"/>
      <c r="BW249" s="719"/>
      <c r="BX249" s="719"/>
      <c r="BY249" s="719"/>
      <c r="BZ249" s="719"/>
      <c r="CA249" s="719"/>
      <c r="CB249" s="719"/>
      <c r="CC249" s="719"/>
      <c r="CD249" s="719"/>
      <c r="CE249" s="719"/>
      <c r="CF249" s="719"/>
      <c r="CG249" s="719"/>
      <c r="CH249" s="719"/>
      <c r="CI249" s="719"/>
      <c r="CJ249" s="719"/>
      <c r="CK249" s="719"/>
      <c r="CL249" s="719"/>
      <c r="CM249" s="719"/>
      <c r="CN249" s="719"/>
      <c r="CO249" s="719"/>
      <c r="CP249" s="719"/>
      <c r="CQ249" s="719"/>
      <c r="CR249" s="719"/>
      <c r="CS249" s="719"/>
      <c r="CT249" s="719"/>
      <c r="CU249" s="719"/>
      <c r="CV249" s="719"/>
      <c r="CW249" s="719"/>
      <c r="CX249" s="719"/>
      <c r="CY249" s="719"/>
      <c r="CZ249" s="719"/>
      <c r="DA249" s="719"/>
      <c r="DB249" s="719"/>
      <c r="DC249" s="719"/>
      <c r="DD249" s="719"/>
      <c r="DE249" s="719"/>
      <c r="DF249" s="719"/>
      <c r="DG249" s="719"/>
      <c r="DH249" s="719"/>
      <c r="DI249" s="719"/>
      <c r="DJ249" s="719"/>
      <c r="DK249" s="719"/>
      <c r="DL249" s="719"/>
      <c r="DM249" s="719"/>
      <c r="DN249" s="719"/>
      <c r="DO249" s="719"/>
      <c r="DP249" s="719"/>
      <c r="DQ249" s="719"/>
      <c r="DR249" s="719"/>
    </row>
    <row r="250" spans="1:122" s="275" customFormat="1">
      <c r="A250" s="719"/>
      <c r="B250" s="719"/>
      <c r="C250" s="719"/>
      <c r="D250" s="719"/>
      <c r="E250" s="719"/>
      <c r="F250" s="719"/>
      <c r="G250" s="719"/>
      <c r="H250" s="719"/>
      <c r="I250" s="719"/>
      <c r="J250" s="719"/>
      <c r="K250" s="719"/>
      <c r="L250" s="719"/>
      <c r="M250" s="719"/>
      <c r="N250" s="721"/>
      <c r="O250" s="721"/>
      <c r="P250" s="719"/>
      <c r="Q250" s="719"/>
      <c r="R250" s="719"/>
      <c r="S250" s="721"/>
      <c r="T250" s="721"/>
      <c r="U250" s="719"/>
      <c r="V250" s="719"/>
      <c r="W250" s="719"/>
      <c r="X250" s="721"/>
      <c r="Y250" s="721"/>
      <c r="Z250" s="719"/>
      <c r="AA250" s="719"/>
      <c r="AB250" s="719"/>
      <c r="AC250" s="721"/>
      <c r="AD250" s="721"/>
      <c r="AE250" s="719"/>
      <c r="AF250" s="719"/>
      <c r="AG250" s="719"/>
      <c r="AH250" s="721"/>
      <c r="AI250" s="721"/>
      <c r="AJ250" s="719"/>
      <c r="AK250" s="719"/>
      <c r="AL250" s="719"/>
      <c r="AM250" s="719"/>
      <c r="AN250" s="719"/>
      <c r="AO250" s="719"/>
      <c r="AP250" s="719"/>
      <c r="AQ250" s="719"/>
      <c r="AR250" s="719"/>
      <c r="AS250" s="719"/>
      <c r="AT250" s="719"/>
      <c r="AU250" s="719"/>
      <c r="AV250" s="719"/>
      <c r="AW250" s="719"/>
      <c r="AX250" s="719"/>
      <c r="AY250" s="719"/>
      <c r="AZ250" s="719"/>
      <c r="BA250" s="719"/>
      <c r="BB250" s="719"/>
      <c r="BC250" s="719"/>
      <c r="BD250" s="719"/>
      <c r="BE250" s="719"/>
      <c r="BF250" s="719"/>
      <c r="BG250" s="719"/>
      <c r="BH250" s="719"/>
      <c r="BI250" s="719"/>
      <c r="BJ250" s="719"/>
      <c r="BK250" s="719"/>
      <c r="BL250" s="719"/>
      <c r="BM250" s="719"/>
      <c r="BN250" s="719"/>
      <c r="BO250" s="719"/>
      <c r="BP250" s="719"/>
      <c r="BQ250" s="719"/>
      <c r="BR250" s="719"/>
      <c r="BS250" s="719"/>
      <c r="BT250" s="719"/>
      <c r="BU250" s="719"/>
      <c r="BV250" s="719"/>
      <c r="BW250" s="719"/>
      <c r="BX250" s="719"/>
      <c r="BY250" s="719"/>
      <c r="BZ250" s="719"/>
      <c r="CA250" s="719"/>
      <c r="CB250" s="719"/>
      <c r="CC250" s="719"/>
      <c r="CD250" s="719"/>
      <c r="CE250" s="719"/>
      <c r="CF250" s="719"/>
      <c r="CG250" s="719"/>
      <c r="CH250" s="719"/>
      <c r="CI250" s="719"/>
      <c r="CJ250" s="719"/>
      <c r="CK250" s="719"/>
      <c r="CL250" s="719"/>
      <c r="CM250" s="719"/>
      <c r="CN250" s="719"/>
      <c r="CO250" s="719"/>
      <c r="CP250" s="719"/>
      <c r="CQ250" s="719"/>
      <c r="CR250" s="719"/>
      <c r="CS250" s="719"/>
      <c r="CT250" s="719"/>
      <c r="CU250" s="719"/>
      <c r="CV250" s="719"/>
      <c r="CW250" s="719"/>
      <c r="CX250" s="719"/>
      <c r="CY250" s="719"/>
      <c r="CZ250" s="719"/>
      <c r="DA250" s="719"/>
      <c r="DB250" s="719"/>
      <c r="DC250" s="719"/>
      <c r="DD250" s="719"/>
      <c r="DE250" s="719"/>
      <c r="DF250" s="719"/>
      <c r="DG250" s="719"/>
      <c r="DH250" s="719"/>
      <c r="DI250" s="719"/>
      <c r="DJ250" s="719"/>
      <c r="DK250" s="719"/>
      <c r="DL250" s="719"/>
      <c r="DM250" s="719"/>
      <c r="DN250" s="719"/>
      <c r="DO250" s="719"/>
      <c r="DP250" s="719"/>
      <c r="DQ250" s="719"/>
      <c r="DR250" s="719"/>
    </row>
    <row r="251" spans="1:122" s="275" customFormat="1">
      <c r="A251" s="719"/>
      <c r="B251" s="719"/>
      <c r="C251" s="719"/>
      <c r="D251" s="719"/>
      <c r="E251" s="719"/>
      <c r="F251" s="719"/>
      <c r="G251" s="719"/>
      <c r="H251" s="719"/>
      <c r="I251" s="719"/>
      <c r="J251" s="719"/>
      <c r="K251" s="719"/>
      <c r="L251" s="719"/>
      <c r="M251" s="719"/>
      <c r="N251" s="721"/>
      <c r="O251" s="721"/>
      <c r="P251" s="719"/>
      <c r="Q251" s="719"/>
      <c r="R251" s="719"/>
      <c r="S251" s="721"/>
      <c r="T251" s="721"/>
      <c r="U251" s="719"/>
      <c r="V251" s="719"/>
      <c r="W251" s="719"/>
      <c r="X251" s="721"/>
      <c r="Y251" s="721"/>
      <c r="Z251" s="719"/>
      <c r="AA251" s="719"/>
      <c r="AB251" s="719"/>
      <c r="AC251" s="721"/>
      <c r="AD251" s="721"/>
      <c r="AE251" s="719"/>
      <c r="AF251" s="719"/>
      <c r="AG251" s="719"/>
      <c r="AH251" s="721"/>
      <c r="AI251" s="721"/>
      <c r="AJ251" s="719"/>
      <c r="AK251" s="719"/>
      <c r="AL251" s="719"/>
      <c r="AM251" s="719"/>
      <c r="AN251" s="719"/>
      <c r="AO251" s="719"/>
      <c r="AP251" s="719"/>
      <c r="AQ251" s="719"/>
      <c r="AR251" s="719"/>
      <c r="AS251" s="719"/>
      <c r="AT251" s="719"/>
      <c r="AU251" s="719"/>
      <c r="AV251" s="719"/>
      <c r="AW251" s="719"/>
      <c r="AX251" s="719"/>
      <c r="AY251" s="719"/>
      <c r="AZ251" s="719"/>
      <c r="BA251" s="719"/>
      <c r="BB251" s="719"/>
      <c r="BC251" s="719"/>
      <c r="BD251" s="719"/>
      <c r="BE251" s="719"/>
      <c r="BF251" s="719"/>
      <c r="BG251" s="719"/>
      <c r="BH251" s="719"/>
      <c r="BI251" s="719"/>
      <c r="BJ251" s="719"/>
      <c r="BK251" s="719"/>
      <c r="BL251" s="719"/>
      <c r="BM251" s="719"/>
      <c r="BN251" s="719"/>
      <c r="BO251" s="719"/>
      <c r="BP251" s="719"/>
      <c r="BQ251" s="719"/>
      <c r="BR251" s="719"/>
      <c r="BS251" s="719"/>
      <c r="BT251" s="719"/>
      <c r="BU251" s="719"/>
      <c r="BV251" s="719"/>
      <c r="BW251" s="719"/>
      <c r="BX251" s="719"/>
      <c r="BY251" s="719"/>
      <c r="BZ251" s="719"/>
      <c r="CA251" s="719"/>
      <c r="CB251" s="719"/>
      <c r="CC251" s="719"/>
      <c r="CD251" s="719"/>
      <c r="CE251" s="719"/>
      <c r="CF251" s="719"/>
      <c r="CG251" s="719"/>
      <c r="CH251" s="719"/>
      <c r="CI251" s="719"/>
      <c r="CJ251" s="719"/>
      <c r="CK251" s="719"/>
      <c r="CL251" s="719"/>
      <c r="CM251" s="719"/>
      <c r="CN251" s="719"/>
      <c r="CO251" s="719"/>
      <c r="CP251" s="719"/>
      <c r="CQ251" s="719"/>
      <c r="CR251" s="719"/>
      <c r="CS251" s="719"/>
      <c r="CT251" s="719"/>
      <c r="CU251" s="719"/>
      <c r="CV251" s="719"/>
      <c r="CW251" s="719"/>
      <c r="CX251" s="719"/>
      <c r="CY251" s="719"/>
      <c r="CZ251" s="719"/>
      <c r="DA251" s="719"/>
      <c r="DB251" s="719"/>
      <c r="DC251" s="719"/>
      <c r="DD251" s="719"/>
      <c r="DE251" s="719"/>
      <c r="DF251" s="719"/>
      <c r="DG251" s="719"/>
      <c r="DH251" s="719"/>
      <c r="DI251" s="719"/>
      <c r="DJ251" s="719"/>
      <c r="DK251" s="719"/>
      <c r="DL251" s="719"/>
      <c r="DM251" s="719"/>
      <c r="DN251" s="719"/>
      <c r="DO251" s="719"/>
      <c r="DP251" s="719"/>
      <c r="DQ251" s="719"/>
      <c r="DR251" s="719"/>
    </row>
    <row r="252" spans="1:122" s="275" customFormat="1">
      <c r="A252" s="719"/>
      <c r="B252" s="719"/>
      <c r="C252" s="719"/>
      <c r="D252" s="719"/>
      <c r="E252" s="719"/>
      <c r="F252" s="719"/>
      <c r="G252" s="719"/>
      <c r="H252" s="719"/>
      <c r="I252" s="719"/>
      <c r="J252" s="719"/>
      <c r="K252" s="719"/>
      <c r="L252" s="719"/>
      <c r="M252" s="719"/>
      <c r="N252" s="721"/>
      <c r="O252" s="721"/>
      <c r="P252" s="719"/>
      <c r="Q252" s="719"/>
      <c r="R252" s="719"/>
      <c r="S252" s="721"/>
      <c r="T252" s="721"/>
      <c r="U252" s="719"/>
      <c r="V252" s="719"/>
      <c r="W252" s="719"/>
      <c r="X252" s="721"/>
      <c r="Y252" s="721"/>
      <c r="Z252" s="719"/>
      <c r="AA252" s="719"/>
      <c r="AB252" s="719"/>
      <c r="AC252" s="721"/>
      <c r="AD252" s="721"/>
      <c r="AE252" s="719"/>
      <c r="AF252" s="719"/>
      <c r="AG252" s="719"/>
      <c r="AH252" s="721"/>
      <c r="AI252" s="721"/>
      <c r="AJ252" s="719"/>
      <c r="AK252" s="719"/>
      <c r="AL252" s="719"/>
      <c r="AM252" s="719"/>
      <c r="AN252" s="719"/>
      <c r="AO252" s="719"/>
      <c r="AP252" s="719"/>
      <c r="AQ252" s="719"/>
      <c r="AR252" s="719"/>
      <c r="AS252" s="719"/>
      <c r="AT252" s="719"/>
      <c r="AU252" s="719"/>
      <c r="AV252" s="719"/>
      <c r="AW252" s="719"/>
      <c r="AX252" s="719"/>
      <c r="AY252" s="719"/>
      <c r="AZ252" s="719"/>
      <c r="BA252" s="719"/>
      <c r="BB252" s="719"/>
      <c r="BC252" s="719"/>
      <c r="BD252" s="719"/>
      <c r="BE252" s="719"/>
      <c r="BF252" s="719"/>
      <c r="BG252" s="719"/>
      <c r="BH252" s="719"/>
      <c r="BI252" s="719"/>
      <c r="BJ252" s="719"/>
      <c r="BK252" s="719"/>
      <c r="BL252" s="719"/>
      <c r="BM252" s="719"/>
      <c r="BN252" s="719"/>
      <c r="BO252" s="719"/>
      <c r="BP252" s="719"/>
      <c r="BQ252" s="719"/>
      <c r="BR252" s="719"/>
      <c r="BS252" s="719"/>
      <c r="BT252" s="719"/>
      <c r="BU252" s="719"/>
      <c r="BV252" s="719"/>
      <c r="BW252" s="719"/>
      <c r="BX252" s="719"/>
      <c r="BY252" s="719"/>
      <c r="BZ252" s="719"/>
      <c r="CA252" s="719"/>
      <c r="CB252" s="719"/>
      <c r="CC252" s="719"/>
      <c r="CD252" s="719"/>
      <c r="CE252" s="719"/>
      <c r="CF252" s="719"/>
      <c r="CG252" s="719"/>
      <c r="CH252" s="719"/>
      <c r="CI252" s="719"/>
      <c r="CJ252" s="719"/>
      <c r="CK252" s="719"/>
      <c r="CL252" s="719"/>
      <c r="CM252" s="719"/>
      <c r="CN252" s="719"/>
      <c r="CO252" s="719"/>
      <c r="CP252" s="719"/>
      <c r="CQ252" s="719"/>
      <c r="CR252" s="719"/>
      <c r="CS252" s="719"/>
      <c r="CT252" s="719"/>
      <c r="CU252" s="719"/>
      <c r="CV252" s="719"/>
      <c r="CW252" s="719"/>
      <c r="CX252" s="719"/>
      <c r="CY252" s="719"/>
      <c r="CZ252" s="719"/>
      <c r="DA252" s="719"/>
      <c r="DB252" s="719"/>
      <c r="DC252" s="719"/>
      <c r="DD252" s="719"/>
      <c r="DE252" s="719"/>
      <c r="DF252" s="719"/>
      <c r="DG252" s="719"/>
      <c r="DH252" s="719"/>
      <c r="DI252" s="719"/>
      <c r="DJ252" s="719"/>
      <c r="DK252" s="719"/>
      <c r="DL252" s="719"/>
      <c r="DM252" s="719"/>
      <c r="DN252" s="719"/>
      <c r="DO252" s="719"/>
      <c r="DP252" s="719"/>
      <c r="DQ252" s="719"/>
      <c r="DR252" s="719"/>
    </row>
    <row r="253" spans="1:122" s="275" customFormat="1">
      <c r="A253" s="719"/>
      <c r="B253" s="719"/>
      <c r="C253" s="719"/>
      <c r="D253" s="719"/>
      <c r="E253" s="719"/>
      <c r="F253" s="719"/>
      <c r="G253" s="719"/>
      <c r="H253" s="719"/>
      <c r="I253" s="719"/>
      <c r="J253" s="719"/>
      <c r="K253" s="719"/>
      <c r="L253" s="719"/>
      <c r="M253" s="719"/>
      <c r="N253" s="721"/>
      <c r="O253" s="721"/>
      <c r="P253" s="719"/>
      <c r="Q253" s="719"/>
      <c r="R253" s="719"/>
      <c r="S253" s="721"/>
      <c r="T253" s="721"/>
      <c r="U253" s="719"/>
      <c r="V253" s="719"/>
      <c r="W253" s="719"/>
      <c r="X253" s="721"/>
      <c r="Y253" s="721"/>
      <c r="Z253" s="719"/>
      <c r="AA253" s="719"/>
      <c r="AB253" s="719"/>
      <c r="AC253" s="721"/>
      <c r="AD253" s="721"/>
      <c r="AE253" s="719"/>
      <c r="AF253" s="719"/>
      <c r="AG253" s="719"/>
      <c r="AH253" s="721"/>
      <c r="AI253" s="721"/>
      <c r="AJ253" s="719"/>
      <c r="AK253" s="719"/>
      <c r="AL253" s="719"/>
      <c r="AM253" s="719"/>
      <c r="AN253" s="719"/>
      <c r="AO253" s="719"/>
      <c r="AP253" s="719"/>
      <c r="AQ253" s="719"/>
      <c r="AR253" s="719"/>
      <c r="AS253" s="719"/>
      <c r="AT253" s="719"/>
      <c r="AU253" s="719"/>
      <c r="AV253" s="719"/>
      <c r="AW253" s="719"/>
      <c r="AX253" s="719"/>
      <c r="AY253" s="719"/>
      <c r="AZ253" s="719"/>
      <c r="BA253" s="719"/>
      <c r="BB253" s="719"/>
      <c r="BC253" s="719"/>
      <c r="BD253" s="719"/>
      <c r="BE253" s="719"/>
      <c r="BF253" s="719"/>
      <c r="BG253" s="719"/>
      <c r="BH253" s="719"/>
      <c r="BI253" s="719"/>
      <c r="BJ253" s="719"/>
      <c r="BK253" s="719"/>
      <c r="BL253" s="719"/>
      <c r="BM253" s="719"/>
      <c r="BN253" s="719"/>
      <c r="BO253" s="719"/>
      <c r="BP253" s="719"/>
      <c r="BQ253" s="719"/>
      <c r="BR253" s="719"/>
      <c r="BS253" s="719"/>
      <c r="BT253" s="719"/>
      <c r="BU253" s="719"/>
      <c r="BV253" s="719"/>
      <c r="BW253" s="719"/>
      <c r="BX253" s="719"/>
      <c r="BY253" s="719"/>
      <c r="BZ253" s="719"/>
      <c r="CA253" s="719"/>
      <c r="CB253" s="719"/>
      <c r="CC253" s="719"/>
      <c r="CD253" s="719"/>
      <c r="CE253" s="719"/>
      <c r="CF253" s="719"/>
      <c r="CG253" s="719"/>
      <c r="CH253" s="719"/>
      <c r="CI253" s="719"/>
      <c r="CJ253" s="719"/>
      <c r="CK253" s="719"/>
      <c r="CL253" s="719"/>
      <c r="CM253" s="719"/>
      <c r="CN253" s="719"/>
      <c r="CO253" s="719"/>
      <c r="CP253" s="719"/>
      <c r="CQ253" s="719"/>
      <c r="CR253" s="719"/>
      <c r="CS253" s="719"/>
      <c r="CT253" s="719"/>
      <c r="CU253" s="719"/>
      <c r="CV253" s="719"/>
      <c r="CW253" s="719"/>
      <c r="CX253" s="719"/>
      <c r="CY253" s="719"/>
      <c r="CZ253" s="719"/>
      <c r="DA253" s="719"/>
      <c r="DB253" s="719"/>
      <c r="DC253" s="719"/>
      <c r="DD253" s="719"/>
      <c r="DE253" s="719"/>
      <c r="DF253" s="719"/>
      <c r="DG253" s="719"/>
      <c r="DH253" s="719"/>
      <c r="DI253" s="719"/>
      <c r="DJ253" s="719"/>
      <c r="DK253" s="719"/>
      <c r="DL253" s="719"/>
      <c r="DM253" s="719"/>
      <c r="DN253" s="719"/>
      <c r="DO253" s="719"/>
      <c r="DP253" s="719"/>
      <c r="DQ253" s="719"/>
      <c r="DR253" s="719"/>
    </row>
    <row r="254" spans="1:122" s="275" customFormat="1">
      <c r="A254" s="719"/>
      <c r="N254" s="276"/>
      <c r="O254" s="276"/>
      <c r="S254" s="276"/>
      <c r="T254" s="276"/>
      <c r="X254" s="276"/>
      <c r="Y254" s="276"/>
      <c r="AC254" s="276"/>
      <c r="AD254" s="276"/>
      <c r="AH254" s="276"/>
      <c r="AI254" s="276"/>
      <c r="CC254" s="719"/>
      <c r="CD254" s="719"/>
      <c r="CE254" s="719"/>
      <c r="CF254" s="719"/>
      <c r="CG254" s="719"/>
      <c r="CH254" s="719"/>
      <c r="CI254" s="719"/>
      <c r="CJ254" s="719"/>
      <c r="CK254" s="719"/>
      <c r="CL254" s="719"/>
      <c r="CM254" s="719"/>
      <c r="CN254" s="719"/>
      <c r="CO254" s="719"/>
      <c r="CP254" s="719"/>
      <c r="CQ254" s="719"/>
      <c r="CR254" s="719"/>
      <c r="CS254" s="719"/>
      <c r="CT254" s="719"/>
      <c r="CU254" s="719"/>
      <c r="CV254" s="719"/>
      <c r="CW254" s="719"/>
      <c r="CX254" s="719"/>
      <c r="CY254" s="719"/>
      <c r="CZ254" s="719"/>
      <c r="DA254" s="719"/>
      <c r="DB254" s="719"/>
      <c r="DC254" s="719"/>
      <c r="DD254" s="719"/>
      <c r="DE254" s="719"/>
      <c r="DF254" s="719"/>
      <c r="DG254" s="719"/>
      <c r="DH254" s="719"/>
      <c r="DI254" s="719"/>
      <c r="DJ254" s="719"/>
      <c r="DK254" s="719"/>
      <c r="DL254" s="719"/>
      <c r="DM254" s="719"/>
      <c r="DN254" s="719"/>
      <c r="DO254" s="719"/>
      <c r="DP254" s="719"/>
      <c r="DQ254" s="719"/>
      <c r="DR254" s="719"/>
    </row>
    <row r="255" spans="1:122" s="275" customFormat="1">
      <c r="A255" s="719"/>
      <c r="N255" s="276"/>
      <c r="O255" s="276"/>
      <c r="S255" s="276"/>
      <c r="T255" s="276"/>
      <c r="X255" s="276"/>
      <c r="Y255" s="276"/>
      <c r="AC255" s="276"/>
      <c r="AD255" s="276"/>
      <c r="AH255" s="276"/>
      <c r="AI255" s="276"/>
      <c r="CC255" s="719"/>
      <c r="CD255" s="719"/>
      <c r="CE255" s="719"/>
      <c r="CF255" s="719"/>
      <c r="CG255" s="719"/>
      <c r="CH255" s="719"/>
      <c r="CI255" s="719"/>
      <c r="CJ255" s="719"/>
      <c r="CK255" s="719"/>
      <c r="CL255" s="719"/>
      <c r="CM255" s="719"/>
      <c r="CN255" s="719"/>
      <c r="CO255" s="719"/>
      <c r="CP255" s="719"/>
      <c r="CQ255" s="719"/>
      <c r="CR255" s="719"/>
      <c r="CS255" s="719"/>
      <c r="CT255" s="719"/>
      <c r="CU255" s="719"/>
      <c r="CV255" s="719"/>
      <c r="CW255" s="719"/>
      <c r="CX255" s="719"/>
      <c r="CY255" s="719"/>
      <c r="CZ255" s="719"/>
      <c r="DA255" s="719"/>
      <c r="DB255" s="719"/>
      <c r="DC255" s="719"/>
      <c r="DD255" s="719"/>
      <c r="DE255" s="719"/>
      <c r="DF255" s="719"/>
      <c r="DG255" s="719"/>
      <c r="DH255" s="719"/>
      <c r="DI255" s="719"/>
      <c r="DJ255" s="719"/>
      <c r="DK255" s="719"/>
      <c r="DL255" s="719"/>
      <c r="DM255" s="719"/>
      <c r="DN255" s="719"/>
      <c r="DO255" s="719"/>
      <c r="DP255" s="719"/>
      <c r="DQ255" s="719"/>
      <c r="DR255" s="719"/>
    </row>
    <row r="256" spans="1:122" s="275" customFormat="1">
      <c r="A256" s="719"/>
      <c r="N256" s="276"/>
      <c r="O256" s="276"/>
      <c r="S256" s="276"/>
      <c r="T256" s="276"/>
      <c r="X256" s="276"/>
      <c r="Y256" s="276"/>
      <c r="AC256" s="276"/>
      <c r="AD256" s="276"/>
      <c r="AH256" s="276"/>
      <c r="AI256" s="276"/>
      <c r="CC256" s="719"/>
      <c r="CD256" s="719"/>
      <c r="CE256" s="719"/>
      <c r="CF256" s="719"/>
      <c r="CG256" s="719"/>
      <c r="CH256" s="719"/>
      <c r="CI256" s="719"/>
      <c r="CJ256" s="719"/>
      <c r="CK256" s="719"/>
      <c r="CL256" s="719"/>
      <c r="CM256" s="719"/>
      <c r="CN256" s="719"/>
      <c r="CO256" s="719"/>
      <c r="CP256" s="719"/>
      <c r="CQ256" s="719"/>
      <c r="CR256" s="719"/>
      <c r="CS256" s="719"/>
      <c r="CT256" s="719"/>
      <c r="CU256" s="719"/>
      <c r="CV256" s="719"/>
      <c r="CW256" s="719"/>
      <c r="CX256" s="719"/>
      <c r="CY256" s="719"/>
      <c r="CZ256" s="719"/>
      <c r="DA256" s="719"/>
      <c r="DB256" s="719"/>
      <c r="DC256" s="719"/>
      <c r="DD256" s="719"/>
      <c r="DE256" s="719"/>
      <c r="DF256" s="719"/>
      <c r="DG256" s="719"/>
      <c r="DH256" s="719"/>
      <c r="DI256" s="719"/>
      <c r="DJ256" s="719"/>
      <c r="DK256" s="719"/>
      <c r="DL256" s="719"/>
      <c r="DM256" s="719"/>
      <c r="DN256" s="719"/>
      <c r="DO256" s="719"/>
      <c r="DP256" s="719"/>
      <c r="DQ256" s="719"/>
      <c r="DR256" s="719"/>
    </row>
    <row r="257" spans="1:122" s="275" customFormat="1">
      <c r="A257" s="719"/>
      <c r="N257" s="276"/>
      <c r="O257" s="276"/>
      <c r="S257" s="276"/>
      <c r="T257" s="276"/>
      <c r="X257" s="276"/>
      <c r="Y257" s="276"/>
      <c r="AC257" s="276"/>
      <c r="AD257" s="276"/>
      <c r="AH257" s="276"/>
      <c r="AI257" s="276"/>
      <c r="CC257" s="719"/>
      <c r="CD257" s="719"/>
      <c r="CE257" s="719"/>
      <c r="CF257" s="719"/>
      <c r="CG257" s="719"/>
      <c r="CH257" s="719"/>
      <c r="CI257" s="719"/>
      <c r="CJ257" s="719"/>
      <c r="CK257" s="719"/>
      <c r="CL257" s="719"/>
      <c r="CM257" s="719"/>
      <c r="CN257" s="719"/>
      <c r="CO257" s="719"/>
      <c r="CP257" s="719"/>
      <c r="CQ257" s="719"/>
      <c r="CR257" s="719"/>
      <c r="CS257" s="719"/>
      <c r="CT257" s="719"/>
      <c r="CU257" s="719"/>
      <c r="CV257" s="719"/>
      <c r="CW257" s="719"/>
      <c r="CX257" s="719"/>
      <c r="CY257" s="719"/>
      <c r="CZ257" s="719"/>
      <c r="DA257" s="719"/>
      <c r="DB257" s="719"/>
      <c r="DC257" s="719"/>
      <c r="DD257" s="719"/>
      <c r="DE257" s="719"/>
      <c r="DF257" s="719"/>
      <c r="DG257" s="719"/>
      <c r="DH257" s="719"/>
      <c r="DI257" s="719"/>
      <c r="DJ257" s="719"/>
      <c r="DK257" s="719"/>
      <c r="DL257" s="719"/>
      <c r="DM257" s="719"/>
      <c r="DN257" s="719"/>
      <c r="DO257" s="719"/>
      <c r="DP257" s="719"/>
      <c r="DQ257" s="719"/>
      <c r="DR257" s="719"/>
    </row>
    <row r="258" spans="1:122" s="275" customFormat="1">
      <c r="A258" s="719"/>
      <c r="N258" s="276"/>
      <c r="O258" s="276"/>
      <c r="S258" s="276"/>
      <c r="T258" s="276"/>
      <c r="X258" s="276"/>
      <c r="Y258" s="276"/>
      <c r="AC258" s="276"/>
      <c r="AD258" s="276"/>
      <c r="AH258" s="276"/>
      <c r="AI258" s="276"/>
      <c r="CC258" s="719"/>
      <c r="CD258" s="719"/>
      <c r="CE258" s="719"/>
      <c r="CF258" s="719"/>
      <c r="CG258" s="719"/>
      <c r="CH258" s="719"/>
      <c r="CI258" s="719"/>
      <c r="CJ258" s="719"/>
      <c r="CK258" s="719"/>
      <c r="CL258" s="719"/>
      <c r="CM258" s="719"/>
      <c r="CN258" s="719"/>
      <c r="CO258" s="719"/>
      <c r="CP258" s="719"/>
      <c r="CQ258" s="719"/>
      <c r="CR258" s="719"/>
      <c r="CS258" s="719"/>
      <c r="CT258" s="719"/>
      <c r="CU258" s="719"/>
      <c r="CV258" s="719"/>
      <c r="CW258" s="719"/>
      <c r="CX258" s="719"/>
      <c r="CY258" s="719"/>
      <c r="CZ258" s="719"/>
      <c r="DA258" s="719"/>
      <c r="DB258" s="719"/>
      <c r="DC258" s="719"/>
      <c r="DD258" s="719"/>
      <c r="DE258" s="719"/>
      <c r="DF258" s="719"/>
      <c r="DG258" s="719"/>
      <c r="DH258" s="719"/>
      <c r="DI258" s="719"/>
      <c r="DJ258" s="719"/>
      <c r="DK258" s="719"/>
      <c r="DL258" s="719"/>
      <c r="DM258" s="719"/>
      <c r="DN258" s="719"/>
      <c r="DO258" s="719"/>
      <c r="DP258" s="719"/>
      <c r="DQ258" s="719"/>
      <c r="DR258" s="719"/>
    </row>
    <row r="259" spans="1:122" s="275" customFormat="1">
      <c r="A259" s="719"/>
      <c r="N259" s="276"/>
      <c r="O259" s="276"/>
      <c r="S259" s="276"/>
      <c r="T259" s="276"/>
      <c r="X259" s="276"/>
      <c r="Y259" s="276"/>
      <c r="AC259" s="276"/>
      <c r="AD259" s="276"/>
      <c r="AH259" s="276"/>
      <c r="AI259" s="276"/>
      <c r="CC259" s="719"/>
      <c r="CD259" s="719"/>
      <c r="CE259" s="719"/>
      <c r="CF259" s="719"/>
      <c r="CG259" s="719"/>
      <c r="CH259" s="719"/>
      <c r="CI259" s="719"/>
      <c r="CJ259" s="719"/>
      <c r="CK259" s="719"/>
      <c r="CL259" s="719"/>
      <c r="CM259" s="719"/>
      <c r="CN259" s="719"/>
      <c r="CO259" s="719"/>
      <c r="CP259" s="719"/>
      <c r="CQ259" s="719"/>
      <c r="CR259" s="719"/>
      <c r="CS259" s="719"/>
      <c r="CT259" s="719"/>
      <c r="CU259" s="719"/>
      <c r="CV259" s="719"/>
      <c r="CW259" s="719"/>
      <c r="CX259" s="719"/>
      <c r="CY259" s="719"/>
      <c r="CZ259" s="719"/>
      <c r="DA259" s="719"/>
      <c r="DB259" s="719"/>
      <c r="DC259" s="719"/>
      <c r="DD259" s="719"/>
      <c r="DE259" s="719"/>
      <c r="DF259" s="719"/>
      <c r="DG259" s="719"/>
      <c r="DH259" s="719"/>
      <c r="DI259" s="719"/>
      <c r="DJ259" s="719"/>
      <c r="DK259" s="719"/>
      <c r="DL259" s="719"/>
      <c r="DM259" s="719"/>
      <c r="DN259" s="719"/>
      <c r="DO259" s="719"/>
      <c r="DP259" s="719"/>
      <c r="DQ259" s="719"/>
      <c r="DR259" s="719"/>
    </row>
    <row r="260" spans="1:122" s="275" customFormat="1">
      <c r="A260" s="719"/>
      <c r="N260" s="276"/>
      <c r="O260" s="276"/>
      <c r="S260" s="276"/>
      <c r="T260" s="276"/>
      <c r="X260" s="276"/>
      <c r="Y260" s="276"/>
      <c r="AC260" s="276"/>
      <c r="AD260" s="276"/>
      <c r="AH260" s="276"/>
      <c r="AI260" s="276"/>
      <c r="CC260" s="719"/>
      <c r="CD260" s="719"/>
      <c r="CE260" s="719"/>
      <c r="CF260" s="719"/>
      <c r="CG260" s="719"/>
      <c r="CH260" s="719"/>
      <c r="CI260" s="719"/>
      <c r="CJ260" s="719"/>
      <c r="CK260" s="719"/>
      <c r="CL260" s="719"/>
      <c r="CM260" s="719"/>
      <c r="CN260" s="719"/>
      <c r="CO260" s="719"/>
      <c r="CP260" s="719"/>
      <c r="CQ260" s="719"/>
      <c r="CR260" s="719"/>
      <c r="CS260" s="719"/>
      <c r="CT260" s="719"/>
      <c r="CU260" s="719"/>
      <c r="CV260" s="719"/>
      <c r="CW260" s="719"/>
      <c r="CX260" s="719"/>
      <c r="CY260" s="719"/>
      <c r="CZ260" s="719"/>
      <c r="DA260" s="719"/>
      <c r="DB260" s="719"/>
      <c r="DC260" s="719"/>
      <c r="DD260" s="719"/>
      <c r="DE260" s="719"/>
      <c r="DF260" s="719"/>
      <c r="DG260" s="719"/>
      <c r="DH260" s="719"/>
      <c r="DI260" s="719"/>
      <c r="DJ260" s="719"/>
      <c r="DK260" s="719"/>
      <c r="DL260" s="719"/>
      <c r="DM260" s="719"/>
      <c r="DN260" s="719"/>
      <c r="DO260" s="719"/>
      <c r="DP260" s="719"/>
      <c r="DQ260" s="719"/>
      <c r="DR260" s="719"/>
    </row>
    <row r="261" spans="1:122" s="275" customFormat="1">
      <c r="A261" s="719"/>
      <c r="N261" s="276"/>
      <c r="O261" s="276"/>
      <c r="S261" s="276"/>
      <c r="T261" s="276"/>
      <c r="X261" s="276"/>
      <c r="Y261" s="276"/>
      <c r="AC261" s="276"/>
      <c r="AD261" s="276"/>
      <c r="AH261" s="276"/>
      <c r="AI261" s="276"/>
      <c r="CC261" s="719"/>
      <c r="CD261" s="719"/>
      <c r="CE261" s="719"/>
      <c r="CF261" s="719"/>
      <c r="CG261" s="719"/>
      <c r="CH261" s="719"/>
      <c r="CI261" s="719"/>
      <c r="CJ261" s="719"/>
      <c r="CK261" s="719"/>
      <c r="CL261" s="719"/>
      <c r="CM261" s="719"/>
      <c r="CN261" s="719"/>
      <c r="CO261" s="719"/>
      <c r="CP261" s="719"/>
      <c r="CQ261" s="719"/>
      <c r="CR261" s="719"/>
      <c r="CS261" s="719"/>
      <c r="CT261" s="719"/>
      <c r="CU261" s="719"/>
      <c r="CV261" s="719"/>
      <c r="CW261" s="719"/>
      <c r="CX261" s="719"/>
      <c r="CY261" s="719"/>
      <c r="CZ261" s="719"/>
      <c r="DA261" s="719"/>
      <c r="DB261" s="719"/>
      <c r="DC261" s="719"/>
      <c r="DD261" s="719"/>
      <c r="DE261" s="719"/>
      <c r="DF261" s="719"/>
      <c r="DG261" s="719"/>
      <c r="DH261" s="719"/>
      <c r="DI261" s="719"/>
      <c r="DJ261" s="719"/>
      <c r="DK261" s="719"/>
      <c r="DL261" s="719"/>
      <c r="DM261" s="719"/>
      <c r="DN261" s="719"/>
      <c r="DO261" s="719"/>
      <c r="DP261" s="719"/>
      <c r="DQ261" s="719"/>
      <c r="DR261" s="719"/>
    </row>
    <row r="262" spans="1:122" s="275" customFormat="1">
      <c r="A262" s="719"/>
      <c r="N262" s="276"/>
      <c r="O262" s="276"/>
      <c r="S262" s="276"/>
      <c r="T262" s="276"/>
      <c r="X262" s="276"/>
      <c r="Y262" s="276"/>
      <c r="AC262" s="276"/>
      <c r="AD262" s="276"/>
      <c r="AH262" s="276"/>
      <c r="AI262" s="276"/>
      <c r="CC262" s="719"/>
      <c r="CD262" s="719"/>
      <c r="CE262" s="719"/>
      <c r="CF262" s="719"/>
      <c r="CG262" s="719"/>
      <c r="CH262" s="719"/>
      <c r="CI262" s="719"/>
      <c r="CJ262" s="719"/>
      <c r="CK262" s="719"/>
      <c r="CL262" s="719"/>
      <c r="CM262" s="719"/>
      <c r="CN262" s="719"/>
      <c r="CO262" s="719"/>
      <c r="CP262" s="719"/>
      <c r="CQ262" s="719"/>
      <c r="CR262" s="719"/>
      <c r="CS262" s="719"/>
      <c r="CT262" s="719"/>
      <c r="CU262" s="719"/>
      <c r="CV262" s="719"/>
      <c r="CW262" s="719"/>
      <c r="CX262" s="719"/>
      <c r="CY262" s="719"/>
      <c r="CZ262" s="719"/>
      <c r="DA262" s="719"/>
      <c r="DB262" s="719"/>
      <c r="DC262" s="719"/>
      <c r="DD262" s="719"/>
      <c r="DE262" s="719"/>
      <c r="DF262" s="719"/>
      <c r="DG262" s="719"/>
      <c r="DH262" s="719"/>
      <c r="DI262" s="719"/>
      <c r="DJ262" s="719"/>
      <c r="DK262" s="719"/>
      <c r="DL262" s="719"/>
      <c r="DM262" s="719"/>
      <c r="DN262" s="719"/>
      <c r="DO262" s="719"/>
      <c r="DP262" s="719"/>
      <c r="DQ262" s="719"/>
      <c r="DR262" s="719"/>
    </row>
  </sheetData>
  <mergeCells count="352">
    <mergeCell ref="L126:M127"/>
    <mergeCell ref="N126:O127"/>
    <mergeCell ref="L128:M129"/>
    <mergeCell ref="N128:O129"/>
    <mergeCell ref="L130:M131"/>
    <mergeCell ref="N130:O131"/>
    <mergeCell ref="Y116:Z116"/>
    <mergeCell ref="AA116:AB116"/>
    <mergeCell ref="AF116:AG116"/>
    <mergeCell ref="AH116:AI116"/>
    <mergeCell ref="AJ116:AK116"/>
    <mergeCell ref="AL116:AM116"/>
    <mergeCell ref="AJ115:AK115"/>
    <mergeCell ref="AL115:AM115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U115:V115"/>
    <mergeCell ref="W115:X115"/>
    <mergeCell ref="Y115:Z115"/>
    <mergeCell ref="AA115:AB115"/>
    <mergeCell ref="AF115:AG115"/>
    <mergeCell ref="AH115:AI115"/>
    <mergeCell ref="I115:J115"/>
    <mergeCell ref="K115:L115"/>
    <mergeCell ref="M115:N115"/>
    <mergeCell ref="O115:P115"/>
    <mergeCell ref="Q115:R115"/>
    <mergeCell ref="S115:T115"/>
    <mergeCell ref="Y114:Z114"/>
    <mergeCell ref="AA114:AB114"/>
    <mergeCell ref="AF114:AG114"/>
    <mergeCell ref="AH114:AI114"/>
    <mergeCell ref="AJ114:AK114"/>
    <mergeCell ref="AL114:AM114"/>
    <mergeCell ref="AJ113:AK113"/>
    <mergeCell ref="AL113:AM113"/>
    <mergeCell ref="Y113:Z113"/>
    <mergeCell ref="AA113:AB113"/>
    <mergeCell ref="AF113:AG113"/>
    <mergeCell ref="AH113:AI113"/>
    <mergeCell ref="I114:J114"/>
    <mergeCell ref="K114:L114"/>
    <mergeCell ref="M114:N114"/>
    <mergeCell ref="O114:P114"/>
    <mergeCell ref="Q114:R114"/>
    <mergeCell ref="S114:T114"/>
    <mergeCell ref="U114:V114"/>
    <mergeCell ref="W114:X114"/>
    <mergeCell ref="U113:V113"/>
    <mergeCell ref="W113:X113"/>
    <mergeCell ref="I113:J113"/>
    <mergeCell ref="K113:L113"/>
    <mergeCell ref="M113:N113"/>
    <mergeCell ref="O113:P113"/>
    <mergeCell ref="Q113:R113"/>
    <mergeCell ref="S113:T113"/>
    <mergeCell ref="Y112:Z112"/>
    <mergeCell ref="AA112:AB112"/>
    <mergeCell ref="AF112:AG112"/>
    <mergeCell ref="AH112:AI112"/>
    <mergeCell ref="AJ112:AK112"/>
    <mergeCell ref="AL112:AM112"/>
    <mergeCell ref="AJ111:AK111"/>
    <mergeCell ref="AL111:AM111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U111:V111"/>
    <mergeCell ref="W111:X111"/>
    <mergeCell ref="Y111:Z111"/>
    <mergeCell ref="AA111:AB111"/>
    <mergeCell ref="AF111:AG111"/>
    <mergeCell ref="AH111:AI111"/>
    <mergeCell ref="I111:J111"/>
    <mergeCell ref="K111:L111"/>
    <mergeCell ref="M111:N111"/>
    <mergeCell ref="O111:P111"/>
    <mergeCell ref="Q111:R111"/>
    <mergeCell ref="S111:T111"/>
    <mergeCell ref="Y110:Z110"/>
    <mergeCell ref="AA110:AB110"/>
    <mergeCell ref="AF110:AG110"/>
    <mergeCell ref="AH110:AI110"/>
    <mergeCell ref="AJ110:AK110"/>
    <mergeCell ref="AL110:AM110"/>
    <mergeCell ref="AJ109:AK109"/>
    <mergeCell ref="AL109:AM109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U109:V109"/>
    <mergeCell ref="W109:X109"/>
    <mergeCell ref="Y109:Z109"/>
    <mergeCell ref="AA109:AB109"/>
    <mergeCell ref="AF109:AG109"/>
    <mergeCell ref="AH109:AI109"/>
    <mergeCell ref="I109:J109"/>
    <mergeCell ref="K109:L109"/>
    <mergeCell ref="M109:N109"/>
    <mergeCell ref="O109:P109"/>
    <mergeCell ref="Q109:R109"/>
    <mergeCell ref="S109:T109"/>
    <mergeCell ref="B73:B74"/>
    <mergeCell ref="B76:B77"/>
    <mergeCell ref="B78:B83"/>
    <mergeCell ref="L90:AI90"/>
    <mergeCell ref="L91:O91"/>
    <mergeCell ref="Q91:T91"/>
    <mergeCell ref="V91:Y91"/>
    <mergeCell ref="AA91:AD91"/>
    <mergeCell ref="AF91:AI91"/>
    <mergeCell ref="L71:AI71"/>
    <mergeCell ref="L72:O72"/>
    <mergeCell ref="Q72:T72"/>
    <mergeCell ref="V72:Y72"/>
    <mergeCell ref="AA72:AD72"/>
    <mergeCell ref="AF72:AI72"/>
    <mergeCell ref="L52:AO52"/>
    <mergeCell ref="B53:C53"/>
    <mergeCell ref="L53:O53"/>
    <mergeCell ref="Q53:T53"/>
    <mergeCell ref="V53:Y53"/>
    <mergeCell ref="AA53:AD53"/>
    <mergeCell ref="AF53:AI53"/>
    <mergeCell ref="AK53:AN53"/>
    <mergeCell ref="BW30:CB30"/>
    <mergeCell ref="C47:D47"/>
    <mergeCell ref="BG50:BH50"/>
    <mergeCell ref="U30:Z30"/>
    <mergeCell ref="AA30:AF30"/>
    <mergeCell ref="AG30:AL30"/>
    <mergeCell ref="AM30:AR30"/>
    <mergeCell ref="AS30:AX30"/>
    <mergeCell ref="AY30:BD30"/>
    <mergeCell ref="D27:E27"/>
    <mergeCell ref="B28:C28"/>
    <mergeCell ref="D28:E28"/>
    <mergeCell ref="B29:E29"/>
    <mergeCell ref="I30:N30"/>
    <mergeCell ref="O30:T30"/>
    <mergeCell ref="BM26:BN26"/>
    <mergeCell ref="BO26:BP26"/>
    <mergeCell ref="BS26:BT26"/>
    <mergeCell ref="AC26:AD26"/>
    <mergeCell ref="AE26:AF26"/>
    <mergeCell ref="AI26:AJ26"/>
    <mergeCell ref="AK26:AL26"/>
    <mergeCell ref="AO26:AP26"/>
    <mergeCell ref="AQ26:AR26"/>
    <mergeCell ref="K26:L26"/>
    <mergeCell ref="M26:N26"/>
    <mergeCell ref="Q26:R26"/>
    <mergeCell ref="S26:T26"/>
    <mergeCell ref="W26:X26"/>
    <mergeCell ref="Y26:Z26"/>
    <mergeCell ref="BE30:BJ30"/>
    <mergeCell ref="BK30:BP30"/>
    <mergeCell ref="BQ30:BV30"/>
    <mergeCell ref="BU26:BV26"/>
    <mergeCell ref="BY26:BZ26"/>
    <mergeCell ref="CA26:CB26"/>
    <mergeCell ref="AU26:AV26"/>
    <mergeCell ref="AW26:AX26"/>
    <mergeCell ref="BA26:BB26"/>
    <mergeCell ref="BC26:BD26"/>
    <mergeCell ref="BG26:BH26"/>
    <mergeCell ref="BI26:BJ26"/>
    <mergeCell ref="C25:F25"/>
    <mergeCell ref="K25:L25"/>
    <mergeCell ref="Q25:R25"/>
    <mergeCell ref="W25:X25"/>
    <mergeCell ref="AC25:AD25"/>
    <mergeCell ref="AI25:AJ25"/>
    <mergeCell ref="BU24:BU25"/>
    <mergeCell ref="BV24:BV25"/>
    <mergeCell ref="BW24:BX24"/>
    <mergeCell ref="BC24:BC25"/>
    <mergeCell ref="BD24:BD25"/>
    <mergeCell ref="BE24:BF24"/>
    <mergeCell ref="BG24:BH24"/>
    <mergeCell ref="BI24:BI25"/>
    <mergeCell ref="BJ24:BJ25"/>
    <mergeCell ref="BG25:BH25"/>
    <mergeCell ref="AS24:AT24"/>
    <mergeCell ref="AU24:AV24"/>
    <mergeCell ref="AW24:AW25"/>
    <mergeCell ref="AX24:AX25"/>
    <mergeCell ref="AY24:AZ24"/>
    <mergeCell ref="BA24:BB24"/>
    <mergeCell ref="AU25:AV25"/>
    <mergeCell ref="BA25:BB25"/>
    <mergeCell ref="BY24:BZ24"/>
    <mergeCell ref="CA24:CA25"/>
    <mergeCell ref="CB24:CB25"/>
    <mergeCell ref="BY25:BZ25"/>
    <mergeCell ref="BK24:BL24"/>
    <mergeCell ref="BM24:BN24"/>
    <mergeCell ref="BO24:BO25"/>
    <mergeCell ref="BP24:BP25"/>
    <mergeCell ref="BQ24:BR24"/>
    <mergeCell ref="BS24:BT24"/>
    <mergeCell ref="BM25:BN25"/>
    <mergeCell ref="BS25:BT25"/>
    <mergeCell ref="AK24:AK25"/>
    <mergeCell ref="AL24:AL25"/>
    <mergeCell ref="AM24:AN24"/>
    <mergeCell ref="AO24:AP24"/>
    <mergeCell ref="AQ24:AQ25"/>
    <mergeCell ref="AR24:AR25"/>
    <mergeCell ref="AO25:AP25"/>
    <mergeCell ref="AA24:AB24"/>
    <mergeCell ref="AC24:AD24"/>
    <mergeCell ref="AE24:AE25"/>
    <mergeCell ref="AF24:AF25"/>
    <mergeCell ref="AG24:AH24"/>
    <mergeCell ref="AI24:AJ24"/>
    <mergeCell ref="S24:S25"/>
    <mergeCell ref="T24:T25"/>
    <mergeCell ref="U24:V24"/>
    <mergeCell ref="W24:X24"/>
    <mergeCell ref="Y24:Y25"/>
    <mergeCell ref="Z24:Z25"/>
    <mergeCell ref="I24:J24"/>
    <mergeCell ref="K24:L24"/>
    <mergeCell ref="M24:M25"/>
    <mergeCell ref="N24:N25"/>
    <mergeCell ref="O24:P24"/>
    <mergeCell ref="Q24:R24"/>
    <mergeCell ref="BU23:BV23"/>
    <mergeCell ref="BW23:BX23"/>
    <mergeCell ref="CA23:CB23"/>
    <mergeCell ref="AS23:AT23"/>
    <mergeCell ref="AW23:AX23"/>
    <mergeCell ref="AY23:AZ23"/>
    <mergeCell ref="BC23:BD23"/>
    <mergeCell ref="BE23:BF23"/>
    <mergeCell ref="BI23:BJ23"/>
    <mergeCell ref="I23:J23"/>
    <mergeCell ref="M23:N23"/>
    <mergeCell ref="O23:P23"/>
    <mergeCell ref="S23:T23"/>
    <mergeCell ref="U23:V23"/>
    <mergeCell ref="Y23:Z23"/>
    <mergeCell ref="BK23:BL23"/>
    <mergeCell ref="BO23:BP23"/>
    <mergeCell ref="BQ23:BR23"/>
    <mergeCell ref="BE16:BF16"/>
    <mergeCell ref="Y16:Z16"/>
    <mergeCell ref="AA16:AB16"/>
    <mergeCell ref="AA23:AB23"/>
    <mergeCell ref="AE23:AF23"/>
    <mergeCell ref="AG23:AH23"/>
    <mergeCell ref="AK23:AL23"/>
    <mergeCell ref="AM23:AN23"/>
    <mergeCell ref="AQ23:AR23"/>
    <mergeCell ref="O16:P16"/>
    <mergeCell ref="S16:T16"/>
    <mergeCell ref="U16:V16"/>
    <mergeCell ref="CA16:CB16"/>
    <mergeCell ref="B17:B23"/>
    <mergeCell ref="C17:C23"/>
    <mergeCell ref="D17:D23"/>
    <mergeCell ref="E17:E23"/>
    <mergeCell ref="F17:F23"/>
    <mergeCell ref="AY17:BC22"/>
    <mergeCell ref="BE17:BI18"/>
    <mergeCell ref="BE20:BI22"/>
    <mergeCell ref="G23:H23"/>
    <mergeCell ref="BI16:BJ16"/>
    <mergeCell ref="BK16:BL16"/>
    <mergeCell ref="BO16:BP16"/>
    <mergeCell ref="BQ16:BR16"/>
    <mergeCell ref="BU16:BV16"/>
    <mergeCell ref="BW16:BX16"/>
    <mergeCell ref="AQ16:AR16"/>
    <mergeCell ref="AS16:AT16"/>
    <mergeCell ref="AW16:AX16"/>
    <mergeCell ref="AY16:AZ16"/>
    <mergeCell ref="BC16:BD16"/>
    <mergeCell ref="B10:B16"/>
    <mergeCell ref="C10:C16"/>
    <mergeCell ref="D10:D16"/>
    <mergeCell ref="E10:E16"/>
    <mergeCell ref="F10:F16"/>
    <mergeCell ref="AW9:AX9"/>
    <mergeCell ref="AY9:AZ9"/>
    <mergeCell ref="BC9:BD9"/>
    <mergeCell ref="BE9:BF9"/>
    <mergeCell ref="AE9:AF9"/>
    <mergeCell ref="AG9:AH9"/>
    <mergeCell ref="AK9:AL9"/>
    <mergeCell ref="AM9:AN9"/>
    <mergeCell ref="AQ9:AR9"/>
    <mergeCell ref="AS9:AT9"/>
    <mergeCell ref="M9:N9"/>
    <mergeCell ref="O9:P9"/>
    <mergeCell ref="AE16:AF16"/>
    <mergeCell ref="AG16:AH16"/>
    <mergeCell ref="AK16:AL16"/>
    <mergeCell ref="AM16:AN16"/>
    <mergeCell ref="G16:H16"/>
    <mergeCell ref="I16:J16"/>
    <mergeCell ref="M16:N16"/>
    <mergeCell ref="B4:B9"/>
    <mergeCell ref="C4:C9"/>
    <mergeCell ref="D4:D9"/>
    <mergeCell ref="E4:E9"/>
    <mergeCell ref="F4:F9"/>
    <mergeCell ref="G9:H9"/>
    <mergeCell ref="I9:J9"/>
    <mergeCell ref="AM2:AR2"/>
    <mergeCell ref="AS2:AX2"/>
    <mergeCell ref="B2:H2"/>
    <mergeCell ref="I2:N2"/>
    <mergeCell ref="O2:T2"/>
    <mergeCell ref="U2:Z2"/>
    <mergeCell ref="AA2:AF2"/>
    <mergeCell ref="AG2:AL2"/>
    <mergeCell ref="S9:T9"/>
    <mergeCell ref="U9:V9"/>
    <mergeCell ref="Y9:Z9"/>
    <mergeCell ref="AA9:AB9"/>
    <mergeCell ref="BW2:CB2"/>
    <mergeCell ref="C3:D3"/>
    <mergeCell ref="E3:F3"/>
    <mergeCell ref="AY2:BD2"/>
    <mergeCell ref="BE2:BJ2"/>
    <mergeCell ref="BK2:BP2"/>
    <mergeCell ref="BQ2:BV2"/>
    <mergeCell ref="BO9:BP9"/>
    <mergeCell ref="BQ9:BR9"/>
    <mergeCell ref="BU9:BV9"/>
    <mergeCell ref="BW9:BX9"/>
    <mergeCell ref="CA9:CB9"/>
    <mergeCell ref="BI9:BJ9"/>
    <mergeCell ref="BK9:BL9"/>
  </mergeCells>
  <conditionalFormatting sqref="I2:I3 G4:H8 J3:N3 G10:H15 G9 AA2:AA3 AB3:AF3 AS2:AS3 AT3:AX3 BK2:BK3 BL3:BP3">
    <cfRule type="expression" dxfId="23" priority="17">
      <formula>G2=0</formula>
    </cfRule>
  </conditionalFormatting>
  <conditionalFormatting sqref="O2:O3 P3:T3 AG2:AG3 AH3:AL3 AY2:AY3 AZ3:BD3 BQ2:BQ3 BR3:BV3">
    <cfRule type="expression" dxfId="22" priority="16">
      <formula>O2=0</formula>
    </cfRule>
  </conditionalFormatting>
  <conditionalFormatting sqref="U2:U3 V3:Z3 AM2:AM3 AN3:AR3 BE2:BE3 BF3:BJ3 BW2:BW3 BX3:CB3">
    <cfRule type="expression" dxfId="21" priority="15">
      <formula>U2=0</formula>
    </cfRule>
  </conditionalFormatting>
  <conditionalFormatting sqref="G16">
    <cfRule type="expression" dxfId="20" priority="14">
      <formula>G16=0</formula>
    </cfRule>
  </conditionalFormatting>
  <conditionalFormatting sqref="G23">
    <cfRule type="expression" dxfId="19" priority="13">
      <formula>G23=0</formula>
    </cfRule>
  </conditionalFormatting>
  <conditionalFormatting sqref="BU23">
    <cfRule type="expression" dxfId="18" priority="2">
      <formula>BU23=0</formula>
    </cfRule>
  </conditionalFormatting>
  <conditionalFormatting sqref="M23">
    <cfRule type="expression" dxfId="17" priority="12">
      <formula>M23=0</formula>
    </cfRule>
  </conditionalFormatting>
  <conditionalFormatting sqref="S23">
    <cfRule type="expression" dxfId="16" priority="11">
      <formula>S23=0</formula>
    </cfRule>
  </conditionalFormatting>
  <conditionalFormatting sqref="Y23">
    <cfRule type="expression" dxfId="15" priority="10">
      <formula>Y23=0</formula>
    </cfRule>
  </conditionalFormatting>
  <conditionalFormatting sqref="AE23">
    <cfRule type="expression" dxfId="14" priority="9">
      <formula>AE23=0</formula>
    </cfRule>
  </conditionalFormatting>
  <conditionalFormatting sqref="AK23">
    <cfRule type="expression" dxfId="13" priority="8">
      <formula>AK23=0</formula>
    </cfRule>
  </conditionalFormatting>
  <conditionalFormatting sqref="AQ23">
    <cfRule type="expression" dxfId="12" priority="7">
      <formula>AQ23=0</formula>
    </cfRule>
  </conditionalFormatting>
  <conditionalFormatting sqref="AW23">
    <cfRule type="expression" dxfId="11" priority="6">
      <formula>AW23=0</formula>
    </cfRule>
  </conditionalFormatting>
  <conditionalFormatting sqref="BC23">
    <cfRule type="expression" dxfId="10" priority="5">
      <formula>BC23=0</formula>
    </cfRule>
  </conditionalFormatting>
  <conditionalFormatting sqref="BI23">
    <cfRule type="expression" dxfId="9" priority="4">
      <formula>BI23=0</formula>
    </cfRule>
  </conditionalFormatting>
  <conditionalFormatting sqref="BO23">
    <cfRule type="expression" dxfId="8" priority="3">
      <formula>BO23=0</formula>
    </cfRule>
  </conditionalFormatting>
  <conditionalFormatting sqref="CA23">
    <cfRule type="expression" dxfId="7" priority="1">
      <formula>CA23=0</formula>
    </cfRule>
  </conditionalFormatting>
  <hyperlinks>
    <hyperlink ref="G32" r:id="rId1"/>
    <hyperlink ref="G33" r:id="rId2"/>
    <hyperlink ref="G34" r:id="rId3"/>
    <hyperlink ref="G35" r:id="rId4"/>
    <hyperlink ref="G36" r:id="rId5"/>
    <hyperlink ref="G37" r:id="rId6"/>
    <hyperlink ref="G38" r:id="rId7"/>
    <hyperlink ref="G39" r:id="rId8"/>
    <hyperlink ref="G40" r:id="rId9"/>
    <hyperlink ref="G41" r:id="rId10"/>
    <hyperlink ref="G42" r:id="rId11"/>
    <hyperlink ref="G43" r:id="rId12"/>
    <hyperlink ref="G44" r:id="rId13"/>
    <hyperlink ref="G45" r:id="rId14"/>
    <hyperlink ref="G46" r:id="rId15"/>
    <hyperlink ref="G47" r:id="rId16"/>
  </hyperlinks>
  <pageMargins left="0.511811024" right="0.511811024" top="0.78740157499999996" bottom="0.78740157499999996" header="0.31496062000000002" footer="0.31496062000000002"/>
  <pageSetup paperSize="9" orientation="portrait" r:id="rId17"/>
  <legacyDrawing r:id="rId18"/>
</worksheet>
</file>

<file path=xl/worksheets/sheet26.xml><?xml version="1.0" encoding="utf-8"?>
<worksheet xmlns="http://schemas.openxmlformats.org/spreadsheetml/2006/main" xmlns:r="http://schemas.openxmlformats.org/officeDocument/2006/relationships">
  <dimension ref="G5:N13"/>
  <sheetViews>
    <sheetView workbookViewId="0">
      <selection activeCell="K13" sqref="K13"/>
    </sheetView>
  </sheetViews>
  <sheetFormatPr defaultRowHeight="15"/>
  <sheetData>
    <row r="5" spans="7:14">
      <c r="G5">
        <v>15000</v>
      </c>
      <c r="J5">
        <f>G5-J13</f>
        <v>675</v>
      </c>
    </row>
    <row r="6" spans="7:14">
      <c r="I6" t="s">
        <v>564</v>
      </c>
      <c r="J6">
        <v>3350</v>
      </c>
      <c r="K6">
        <v>85.82</v>
      </c>
      <c r="L6">
        <f>J6/K6</f>
        <v>39.035189932416692</v>
      </c>
    </row>
    <row r="7" spans="7:14">
      <c r="I7" t="s">
        <v>565</v>
      </c>
      <c r="J7">
        <v>2850</v>
      </c>
      <c r="K7">
        <v>8.07</v>
      </c>
      <c r="L7">
        <f t="shared" ref="L7:L12" si="0">J7/K7</f>
        <v>353.15985130111522</v>
      </c>
    </row>
    <row r="8" spans="7:14">
      <c r="I8" t="s">
        <v>702</v>
      </c>
      <c r="J8">
        <v>1950</v>
      </c>
      <c r="K8">
        <v>84.78</v>
      </c>
      <c r="L8">
        <f t="shared" si="0"/>
        <v>23.000707714083511</v>
      </c>
    </row>
    <row r="9" spans="7:14">
      <c r="I9" t="s">
        <v>703</v>
      </c>
      <c r="J9">
        <v>675</v>
      </c>
      <c r="K9">
        <v>8.9700000000000006</v>
      </c>
      <c r="L9">
        <f t="shared" si="0"/>
        <v>75.250836120401331</v>
      </c>
      <c r="N9">
        <f>1350/2</f>
        <v>675</v>
      </c>
    </row>
    <row r="10" spans="7:14">
      <c r="I10" t="s">
        <v>704</v>
      </c>
      <c r="J10">
        <v>2350</v>
      </c>
      <c r="K10">
        <v>55.01</v>
      </c>
      <c r="L10">
        <f t="shared" si="0"/>
        <v>42.719505544446463</v>
      </c>
    </row>
    <row r="11" spans="7:14">
      <c r="I11" t="s">
        <v>705</v>
      </c>
      <c r="J11">
        <v>1850</v>
      </c>
      <c r="K11">
        <v>72.5</v>
      </c>
      <c r="L11">
        <f t="shared" si="0"/>
        <v>25.517241379310345</v>
      </c>
    </row>
    <row r="12" spans="7:14">
      <c r="I12" t="s">
        <v>706</v>
      </c>
      <c r="J12">
        <v>1300</v>
      </c>
      <c r="K12">
        <v>118.06</v>
      </c>
      <c r="L12">
        <f t="shared" si="0"/>
        <v>11.011350160935118</v>
      </c>
    </row>
    <row r="13" spans="7:14">
      <c r="J13">
        <f>SUM(J6:J12)</f>
        <v>14325</v>
      </c>
      <c r="L13">
        <f>J5/7</f>
        <v>96.428571428571431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26</vt:i4>
      </vt:variant>
    </vt:vector>
  </HeadingPairs>
  <TitlesOfParts>
    <vt:vector size="26" baseType="lpstr">
      <vt:lpstr>JAN</vt:lpstr>
      <vt:lpstr>FEV</vt:lpstr>
      <vt:lpstr>MAR</vt:lpstr>
      <vt:lpstr>ABR</vt:lpstr>
      <vt:lpstr>MAI</vt:lpstr>
      <vt:lpstr>JUN</vt:lpstr>
      <vt:lpstr>JUL</vt:lpstr>
      <vt:lpstr>AGO</vt:lpstr>
      <vt:lpstr>SET</vt:lpstr>
      <vt:lpstr>OUT</vt:lpstr>
      <vt:lpstr>NOV</vt:lpstr>
      <vt:lpstr>DEZ</vt:lpstr>
      <vt:lpstr>ANUAL</vt:lpstr>
      <vt:lpstr>MODELO</vt:lpstr>
      <vt:lpstr>SEGUROS</vt:lpstr>
      <vt:lpstr>SIMULAÇÃO</vt:lpstr>
      <vt:lpstr>COTAS</vt:lpstr>
      <vt:lpstr>RENDA VARIAVEL</vt:lpstr>
      <vt:lpstr>FII 2023B</vt:lpstr>
      <vt:lpstr>ESPECULAÇÃO</vt:lpstr>
      <vt:lpstr>RENDA FIXA</vt:lpstr>
      <vt:lpstr>CV DOLLAR</vt:lpstr>
      <vt:lpstr>2022b</vt:lpstr>
      <vt:lpstr>2022</vt:lpstr>
      <vt:lpstr>FII 2024</vt:lpstr>
      <vt:lpstr>Plan1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Escobar</dc:creator>
  <cp:lastModifiedBy>luciano dutra</cp:lastModifiedBy>
  <dcterms:created xsi:type="dcterms:W3CDTF">2022-01-05T15:25:31Z</dcterms:created>
  <dcterms:modified xsi:type="dcterms:W3CDTF">2024-01-11T02:42:01Z</dcterms:modified>
</cp:coreProperties>
</file>