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Characteristics!$A$1:$O$437</definedName>
    <definedName name="_xlnm._FilterDatabase" localSheetId="1" hidden="1">Performance!$A$1:$I$437</definedName>
  </definedNames>
  <calcPr calcId="124519" fullCalcOnLoad="1"/>
</workbook>
</file>

<file path=xl/sharedStrings.xml><?xml version="1.0" encoding="utf-8"?>
<sst xmlns="http://schemas.openxmlformats.org/spreadsheetml/2006/main" count="1720" uniqueCount="533">
  <si>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</si>
  <si>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</si>
  <si>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</si>
  <si>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</si>
  <si>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</si>
  <si>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</si>
  <si>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</si>
  <si>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</si>
  <si>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</si>
  <si>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</si>
  <si>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</si>
  <si>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</si>
  <si>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</si>
  <si>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</si>
  <si>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</t>
  </si>
  <si>
    <t>AAL</t>
  </si>
  <si>
    <t>AAPL</t>
  </si>
  <si>
    <t>ABBV</t>
  </si>
  <si>
    <t>ABC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</si>
  <si>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</si>
  <si>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</si>
  <si>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</si>
  <si>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</si>
  <si>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</si>
  <si>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</si>
  <si>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</si>
  <si>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</si>
  <si>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</si>
  <si>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</si>
  <si>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</si>
  <si>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</si>
  <si>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AJG</t>
  </si>
  <si>
    <t>AKAM</t>
  </si>
  <si>
    <t>ALB</t>
  </si>
  <si>
    <t>ALGN</t>
  </si>
  <si>
    <t>ALL</t>
  </si>
  <si>
    <t>ALLE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</si>
  <si>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</si>
  <si>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</si>
  <si>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</si>
  <si>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</si>
  <si>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</si>
  <si>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</si>
  <si>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</si>
  <si>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</si>
  <si>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</si>
  <si>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</si>
  <si>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</si>
  <si>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</si>
  <si>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</si>
  <si>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</si>
  <si>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</si>
  <si>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</si>
  <si>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</si>
  <si>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</si>
  <si>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</si>
  <si>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</si>
  <si>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</si>
  <si>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</si>
  <si>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</si>
  <si>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</si>
  <si>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</si>
  <si>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</si>
  <si>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</si>
  <si>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</si>
  <si>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</si>
  <si>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BBY</t>
  </si>
  <si>
    <t>BDX</t>
  </si>
  <si>
    <t>BEN</t>
  </si>
  <si>
    <t>BF.B</t>
  </si>
  <si>
    <t>BIIB</t>
  </si>
  <si>
    <t>BIO</t>
  </si>
  <si>
    <t>BK</t>
  </si>
  <si>
    <t>BKNG</t>
  </si>
  <si>
    <t>BKR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</si>
  <si>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</si>
  <si>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</si>
  <si>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</si>
  <si>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</si>
  <si>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</si>
  <si>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</si>
  <si>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</si>
  <si>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</si>
  <si>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</si>
  <si>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</si>
  <si>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</si>
  <si>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</si>
  <si>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</si>
  <si>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</si>
  <si>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</si>
  <si>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</si>
  <si>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</si>
  <si>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</si>
  <si>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</si>
  <si>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</si>
  <si>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</si>
  <si>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</si>
  <si>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</si>
  <si>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</si>
  <si>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</si>
  <si>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</si>
  <si>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</si>
  <si>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</si>
  <si>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</si>
  <si>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</si>
  <si>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</si>
  <si>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</si>
  <si>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</si>
  <si>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</si>
  <si>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</si>
  <si>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</si>
  <si>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</si>
  <si>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</si>
  <si>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</si>
  <si>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</si>
  <si>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COST</t>
  </si>
  <si>
    <t>CPB</t>
  </si>
  <si>
    <t>CPRT</t>
  </si>
  <si>
    <t>CRM</t>
  </si>
  <si>
    <t>CSCO</t>
  </si>
  <si>
    <t>CSX</t>
  </si>
  <si>
    <t>CTAS</t>
  </si>
  <si>
    <t>CTSH</t>
  </si>
  <si>
    <t>CTVA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</si>
  <si>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</si>
  <si>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</si>
  <si>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</si>
  <si>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</si>
  <si>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</si>
  <si>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</si>
  <si>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</si>
  <si>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</si>
  <si>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</si>
  <si>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</si>
  <si>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</si>
  <si>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</si>
  <si>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</si>
  <si>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DISCK</t>
  </si>
  <si>
    <t>DLR</t>
  </si>
  <si>
    <t>DLTR</t>
  </si>
  <si>
    <t>DOV</t>
  </si>
  <si>
    <t>DOW</t>
  </si>
  <si>
    <t>DPZ</t>
  </si>
  <si>
    <t>DRE</t>
  </si>
  <si>
    <t>DRI</t>
  </si>
  <si>
    <t>DTE</t>
  </si>
  <si>
    <t>DUK</t>
  </si>
  <si>
    <t>DVN</t>
  </si>
  <si>
    <t>DXCM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</si>
  <si>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</si>
  <si>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</si>
  <si>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</si>
  <si>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</si>
  <si>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</si>
  <si>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</si>
  <si>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</si>
  <si>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</si>
  <si>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</si>
  <si>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</si>
  <si>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</si>
  <si>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</si>
  <si>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</si>
  <si>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</si>
  <si>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</si>
  <si>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</si>
  <si>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</si>
  <si>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</si>
  <si>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</si>
  <si>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</si>
  <si>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</si>
  <si>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</si>
  <si>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</si>
  <si>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</si>
  <si>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</si>
  <si>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</si>
  <si>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FCX</t>
  </si>
  <si>
    <t>FDX</t>
  </si>
  <si>
    <t>FE</t>
  </si>
  <si>
    <t>FIS</t>
  </si>
  <si>
    <t>FISV</t>
  </si>
  <si>
    <t>FITB</t>
  </si>
  <si>
    <t>FLT</t>
  </si>
  <si>
    <t>FMC</t>
  </si>
  <si>
    <t>FOX</t>
  </si>
  <si>
    <t>FOXA</t>
  </si>
  <si>
    <t>FRC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</si>
  <si>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</si>
  <si>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</si>
  <si>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</si>
  <si>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</si>
  <si>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</si>
  <si>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</si>
  <si>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</si>
  <si>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</si>
  <si>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</si>
  <si>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</si>
  <si>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</si>
  <si>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</si>
  <si>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</si>
  <si>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GRMN</t>
  </si>
  <si>
    <t>GS</t>
  </si>
  <si>
    <t>GWW</t>
  </si>
  <si>
    <t>HAL</t>
  </si>
  <si>
    <t>HBAN</t>
  </si>
  <si>
    <t>HCA</t>
  </si>
  <si>
    <t>HD</t>
  </si>
  <si>
    <t>HES</t>
  </si>
  <si>
    <t>HIG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</si>
  <si>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</si>
  <si>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</si>
  <si>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</si>
  <si>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</si>
  <si>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</si>
  <si>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</si>
  <si>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</si>
  <si>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</si>
  <si>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</si>
  <si>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</si>
  <si>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</si>
  <si>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</si>
  <si>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</si>
  <si>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</si>
  <si>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</si>
  <si>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</si>
  <si>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</si>
  <si>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</si>
  <si>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</si>
  <si>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</si>
  <si>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</si>
  <si>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</si>
  <si>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</si>
  <si>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IQV</t>
  </si>
  <si>
    <t>IR</t>
  </si>
  <si>
    <t>IRM</t>
  </si>
  <si>
    <t>ISRG</t>
  </si>
  <si>
    <t>IT</t>
  </si>
  <si>
    <t>ITW</t>
  </si>
  <si>
    <t>J</t>
  </si>
  <si>
    <t>JBHT</t>
  </si>
  <si>
    <t>JCI</t>
  </si>
  <si>
    <t>JKHY</t>
  </si>
  <si>
    <t>JNJ</t>
  </si>
  <si>
    <t>JPM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</si>
  <si>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</si>
  <si>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</si>
  <si>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</si>
  <si>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</si>
  <si>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</si>
  <si>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</si>
  <si>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</si>
  <si>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</si>
  <si>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</si>
  <si>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</si>
  <si>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</si>
  <si>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KSU</t>
  </si>
  <si>
    <t>L</t>
  </si>
  <si>
    <t>LB</t>
  </si>
  <si>
    <t>LDOS</t>
  </si>
  <si>
    <t>LEN</t>
  </si>
  <si>
    <t>LH</t>
  </si>
  <si>
    <t>LHX</t>
  </si>
  <si>
    <t>LKQ</t>
  </si>
  <si>
    <t>LLY</t>
  </si>
  <si>
    <t>LMT</t>
  </si>
  <si>
    <t>LNT</t>
  </si>
  <si>
    <t>LOW</t>
  </si>
  <si>
    <t>LRCX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</si>
  <si>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</si>
  <si>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</si>
  <si>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</si>
  <si>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</si>
  <si>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</si>
  <si>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</si>
  <si>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</si>
  <si>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</si>
  <si>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</si>
  <si>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</si>
  <si>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</si>
  <si>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</si>
  <si>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</si>
  <si>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</si>
  <si>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</si>
  <si>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</si>
  <si>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</si>
  <si>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</si>
  <si>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</si>
  <si>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</si>
  <si>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</si>
  <si>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</si>
  <si>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</si>
  <si>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</si>
  <si>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</si>
  <si>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</si>
  <si>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</si>
  <si>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</si>
  <si>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</si>
  <si>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</si>
  <si>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</si>
  <si>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</si>
  <si>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</si>
  <si>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</si>
  <si>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</si>
  <si>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NDAQ</t>
  </si>
  <si>
    <t>NEE</t>
  </si>
  <si>
    <t>NEM</t>
  </si>
  <si>
    <t>NFLX</t>
  </si>
  <si>
    <t>NI</t>
  </si>
  <si>
    <t>NKE</t>
  </si>
  <si>
    <t>NLOK</t>
  </si>
  <si>
    <t>NLSN</t>
  </si>
  <si>
    <t>NOC</t>
  </si>
  <si>
    <t>NOW</t>
  </si>
  <si>
    <t>NSC</t>
  </si>
  <si>
    <t>NTAP</t>
  </si>
  <si>
    <t>NTRS</t>
  </si>
  <si>
    <t>NUE</t>
  </si>
  <si>
    <t>NVDA</t>
  </si>
  <si>
    <t>NVR</t>
  </si>
  <si>
    <t>O</t>
  </si>
  <si>
    <t>ODFL</t>
  </si>
  <si>
    <t>OKE</t>
  </si>
  <si>
    <t>OMC</t>
  </si>
  <si>
    <t>ORCL</t>
  </si>
  <si>
    <t>ORLY</t>
  </si>
  <si>
    <t>OTIS</t>
  </si>
  <si>
    <t>OXY</t>
  </si>
  <si>
    <t>PAYC</t>
  </si>
  <si>
    <t>PAYX</t>
  </si>
  <si>
    <t>PCAR</t>
  </si>
  <si>
    <t>PEAK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</si>
  <si>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</si>
  <si>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</si>
  <si>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</si>
  <si>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</si>
  <si>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</si>
  <si>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</si>
  <si>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</si>
  <si>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</si>
  <si>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</si>
  <si>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</si>
  <si>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</si>
  <si>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</si>
  <si>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</si>
  <si>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PPG</t>
  </si>
  <si>
    <t>PPL</t>
  </si>
  <si>
    <t>PRU</t>
  </si>
  <si>
    <t>PSA</t>
  </si>
  <si>
    <t>PSX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</si>
  <si>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</si>
  <si>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</si>
  <si>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</si>
  <si>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</si>
  <si>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</si>
  <si>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</si>
  <si>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</si>
  <si>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</si>
  <si>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</si>
  <si>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</si>
  <si>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RJF</t>
  </si>
  <si>
    <t>RMD</t>
  </si>
  <si>
    <t>ROK</t>
  </si>
  <si>
    <t>ROL</t>
  </si>
  <si>
    <t>ROP</t>
  </si>
  <si>
    <t>ROST</t>
  </si>
  <si>
    <t>RSG</t>
  </si>
  <si>
    <t>RTX</t>
  </si>
  <si>
    <t>SBAC</t>
  </si>
  <si>
    <t>SBUX</t>
  </si>
  <si>
    <t>SCHW</t>
  </si>
  <si>
    <t>SHW</t>
  </si>
  <si>
    <t>SIVB</t>
  </si>
  <si>
    <t>SJM</t>
  </si>
  <si>
    <t>SLB</t>
  </si>
  <si>
    <t>SNA</t>
  </si>
  <si>
    <t>SNPS</t>
  </si>
  <si>
    <t>SO</t>
  </si>
  <si>
    <t>SPG</t>
  </si>
  <si>
    <t>SPGI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</si>
  <si>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</si>
  <si>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</si>
  <si>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</si>
  <si>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</si>
  <si>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</si>
  <si>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</si>
  <si>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</si>
  <si>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</si>
  <si>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</si>
  <si>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</si>
  <si>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</si>
  <si>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</si>
  <si>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</si>
  <si>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</si>
  <si>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TEL</t>
  </si>
  <si>
    <t>TFC</t>
  </si>
  <si>
    <t>TFX</t>
  </si>
  <si>
    <t>TGT</t>
  </si>
  <si>
    <t>TIF</t>
  </si>
  <si>
    <t>TJX</t>
  </si>
  <si>
    <t>TMO</t>
  </si>
  <si>
    <t>TMUS</t>
  </si>
  <si>
    <t>TPR</t>
  </si>
  <si>
    <t>TROW</t>
  </si>
  <si>
    <t>TRV</t>
  </si>
  <si>
    <t>TSCO</t>
  </si>
  <si>
    <t>TSN</t>
  </si>
  <si>
    <t>TT</t>
  </si>
  <si>
    <t>TTWO</t>
  </si>
  <si>
    <t>TWTR</t>
  </si>
  <si>
    <t>TXN</t>
  </si>
  <si>
    <t>TXT</t>
  </si>
  <si>
    <t>TYL</t>
  </si>
  <si>
    <t>UAL</t>
  </si>
  <si>
    <t>UDR</t>
  </si>
  <si>
    <t>ULTA</t>
  </si>
  <si>
    <t>UNH</t>
  </si>
  <si>
    <t>UNP</t>
  </si>
  <si>
    <t>UPS</t>
  </si>
  <si>
    <t>URI</t>
  </si>
  <si>
    <t>USB</t>
  </si>
  <si>
    <t>V</t>
  </si>
  <si>
    <t>VAR</t>
  </si>
  <si>
    <t>VFC</t>
  </si>
  <si>
    <t>VLO</t>
  </si>
  <si>
    <t>VMC</t>
  </si>
  <si>
    <t>VRSK</t>
  </si>
  <si>
    <t>VRSN</t>
  </si>
  <si>
    <t>VRTX</t>
  </si>
  <si>
    <t>VTR</t>
  </si>
  <si>
    <t>VZ</t>
  </si>
  <si>
    <t>WAB</t>
  </si>
  <si>
    <t>WAT</t>
  </si>
  <si>
    <t>WBA</t>
  </si>
  <si>
    <t>WDC</t>
  </si>
  <si>
    <t>WEC</t>
  </si>
  <si>
    <t>WELL</t>
  </si>
  <si>
    <t>WFC</t>
  </si>
  <si>
    <t>WM</t>
  </si>
  <si>
    <t>WMB</t>
  </si>
  <si>
    <t>WMT</t>
  </si>
  <si>
    <t>WRB</t>
  </si>
  <si>
    <t>WST</t>
  </si>
  <si>
    <t>WY</t>
  </si>
  <si>
    <t>WYNN</t>
  </si>
  <si>
    <t>XEL</t>
  </si>
  <si>
    <t>XOM</t>
  </si>
  <si>
    <t>XYL</t>
  </si>
  <si>
    <t>YUM</t>
  </si>
  <si>
    <t>ZBH</t>
  </si>
  <si>
    <t>ZBRA</t>
  </si>
  <si>
    <t>ZTS</t>
  </si>
  <si>
    <t>Healthcare</t>
  </si>
  <si>
    <t>Industrials</t>
  </si>
  <si>
    <t>Technology</t>
  </si>
  <si>
    <t>Consumer Defensive</t>
  </si>
  <si>
    <t>Utilities</t>
  </si>
  <si>
    <t>Financial Services</t>
  </si>
  <si>
    <t>Basic Materials</t>
  </si>
  <si>
    <t>Consumer Cyclical</t>
  </si>
  <si>
    <t>Real Estate</t>
  </si>
  <si>
    <t>Energy</t>
  </si>
  <si>
    <t>Communication Services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</si>
  <si>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</si>
  <si>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</si>
  <si>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</si>
  <si>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</si>
  <si>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</si>
  <si>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</si>
  <si>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</si>
  <si>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</si>
  <si>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AAP</t>
  </si>
  <si>
    <t>ABMD</t>
  </si>
  <si>
    <t>AIV</t>
  </si>
  <si>
    <t>AIZ</t>
  </si>
  <si>
    <t>ALK</t>
  </si>
  <si>
    <t>ALXN</t>
  </si>
  <si>
    <t>CERN</t>
  </si>
  <si>
    <t>CMA</t>
  </si>
  <si>
    <t>COG</t>
  </si>
  <si>
    <t>COTY</t>
  </si>
  <si>
    <t>CTXS</t>
  </si>
  <si>
    <t>DISH</t>
  </si>
  <si>
    <t>DVA</t>
  </si>
  <si>
    <t>DXC</t>
  </si>
  <si>
    <t>FBHS</t>
  </si>
  <si>
    <t>FFIV</t>
  </si>
  <si>
    <t>FLIR</t>
  </si>
  <si>
    <t>FLS</t>
  </si>
  <si>
    <t>FRT</t>
  </si>
  <si>
    <t>FTI</t>
  </si>
  <si>
    <t>GPS</t>
  </si>
  <si>
    <t>HAS</t>
  </si>
  <si>
    <t>HBI</t>
  </si>
  <si>
    <t>HII</t>
  </si>
  <si>
    <t>HRB</t>
  </si>
  <si>
    <t>IPGP</t>
  </si>
  <si>
    <t>IVZ</t>
  </si>
  <si>
    <t>JNPR</t>
  </si>
  <si>
    <t>KSS</t>
  </si>
  <si>
    <t>LEG</t>
  </si>
  <si>
    <t>LIN</t>
  </si>
  <si>
    <t>LNC</t>
  </si>
  <si>
    <t>MHK</t>
  </si>
  <si>
    <t>MXIM</t>
  </si>
  <si>
    <t>NCLH</t>
  </si>
  <si>
    <t>NOV</t>
  </si>
  <si>
    <t>NRG</t>
  </si>
  <si>
    <t>NWL</t>
  </si>
  <si>
    <t>NWS</t>
  </si>
  <si>
    <t>NWSA</t>
  </si>
  <si>
    <t>PBCT</t>
  </si>
  <si>
    <t>PNR</t>
  </si>
  <si>
    <t>PNW</t>
  </si>
  <si>
    <t>PRGO</t>
  </si>
  <si>
    <t>PVH</t>
  </si>
  <si>
    <t>RHI</t>
  </si>
  <si>
    <t>RL</t>
  </si>
  <si>
    <t>SEE</t>
  </si>
  <si>
    <t>SLG</t>
  </si>
  <si>
    <t>UA</t>
  </si>
  <si>
    <t>UAA</t>
  </si>
  <si>
    <t>UHS</t>
  </si>
  <si>
    <t>UNM</t>
  </si>
  <si>
    <t>VNO</t>
  </si>
  <si>
    <t>WHR</t>
  </si>
  <si>
    <t>WRK</t>
  </si>
  <si>
    <t>WU</t>
  </si>
  <si>
    <t>XLNX</t>
  </si>
  <si>
    <t>XRAY</t>
  </si>
  <si>
    <t>XRX</t>
  </si>
  <si>
    <t>ZION</t>
  </si>
  <si>
    <t>Notes</t>
  </si>
  <si>
    <t>Data Provided by IEX Cloud</t>
  </si>
  <si>
    <t>Data updated on 2023-03-22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</si>
</sst>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HYPERLINK("https://www.suredividend.com/sure-analysis-research-database/","Agilent Technologies Inc.")</f>
        <v>0</v>
      </c>
      <c r="C2" t="s">
        <v>450</v>
      </c>
      <c r="D2">
        <v>137.01</v>
      </c>
      <c r="E2">
        <v>0.005926263557057001</v>
      </c>
      <c r="F2">
        <v>0.0714285714285714</v>
      </c>
      <c r="G2">
        <v>0.08592354583699713</v>
      </c>
      <c r="H2">
        <v>0.852967113767353</v>
      </c>
      <c r="I2">
        <v>42583.140595</v>
      </c>
      <c r="J2">
        <v>33.95784736423445</v>
      </c>
      <c r="K2">
        <v>0.204059118126161</v>
      </c>
      <c r="M2">
        <v>160.03</v>
      </c>
      <c r="N2">
        <v>111.96</v>
      </c>
    </row>
    <row r="3" spans="1:14">
      <c r="A3" s="1" t="s">
        <v>15</v>
      </c>
      <c r="B3">
        <f>HYPERLINK("https://www.suredividend.com/sure-analysis-research-database/","American Airlines Group Inc")</f>
        <v>0</v>
      </c>
      <c r="C3" t="s">
        <v>451</v>
      </c>
      <c r="D3">
        <v>14.37</v>
      </c>
      <c r="E3">
        <v>0</v>
      </c>
      <c r="F3" t="s">
        <v>461</v>
      </c>
      <c r="G3" t="s">
        <v>461</v>
      </c>
      <c r="H3">
        <v>0</v>
      </c>
      <c r="I3">
        <v>10657.403274</v>
      </c>
      <c r="J3">
        <v>83.91656121637794</v>
      </c>
      <c r="K3">
        <v>0</v>
      </c>
      <c r="M3">
        <v>21.42</v>
      </c>
      <c r="N3">
        <v>11.65</v>
      </c>
    </row>
    <row r="4" spans="1:14">
      <c r="A4" s="1" t="s">
        <v>16</v>
      </c>
      <c r="B4">
        <f>HYPERLINK("https://www.suredividend.com/sure-analysis-AAPL/","Apple Inc")</f>
        <v>0</v>
      </c>
      <c r="C4" t="s">
        <v>452</v>
      </c>
      <c r="D4">
        <v>159.28</v>
      </c>
      <c r="E4">
        <v>0.005775991963837268</v>
      </c>
      <c r="F4">
        <v>0</v>
      </c>
      <c r="G4">
        <v>-0.2062550135223779</v>
      </c>
      <c r="H4">
        <v>0.91700231291622</v>
      </c>
      <c r="I4">
        <v>2389588.50438</v>
      </c>
      <c r="J4">
        <v>25.10836814134558</v>
      </c>
      <c r="K4">
        <v>0.1559527743054796</v>
      </c>
      <c r="M4">
        <v>178.3</v>
      </c>
      <c r="N4">
        <v>123.98</v>
      </c>
    </row>
    <row r="5" spans="1:14">
      <c r="A5" s="1" t="s">
        <v>17</v>
      </c>
      <c r="B5">
        <f>HYPERLINK("https://www.suredividend.com/sure-analysis-ABBV/","Abbvie Inc")</f>
        <v>0</v>
      </c>
      <c r="C5" t="s">
        <v>450</v>
      </c>
      <c r="D5">
        <v>156.77</v>
      </c>
      <c r="E5">
        <v>0.03776232697582445</v>
      </c>
      <c r="F5">
        <v>0.04964539007092195</v>
      </c>
      <c r="G5">
        <v>0.0904307661344419</v>
      </c>
      <c r="H5">
        <v>5.629217055538849</v>
      </c>
      <c r="I5">
        <v>276132.559474</v>
      </c>
      <c r="J5">
        <v>23.43681543662027</v>
      </c>
      <c r="K5">
        <v>0.8490523462351205</v>
      </c>
      <c r="M5">
        <v>169.46</v>
      </c>
      <c r="N5">
        <v>131.49</v>
      </c>
    </row>
    <row r="6" spans="1:14">
      <c r="A6" s="1" t="s">
        <v>18</v>
      </c>
      <c r="B6">
        <f>HYPERLINK("https://www.suredividend.com/sure-analysis-ABC/","Amerisource Bergen Corp.")</f>
        <v>0</v>
      </c>
      <c r="C6" t="s">
        <v>450</v>
      </c>
      <c r="D6">
        <v>156.04</v>
      </c>
      <c r="E6">
        <v>0.01243270956165086</v>
      </c>
      <c r="F6">
        <v>0.05434782608695654</v>
      </c>
      <c r="G6">
        <v>0.05000563166277994</v>
      </c>
      <c r="H6">
        <v>1.877082589788038</v>
      </c>
      <c r="I6">
        <v>31582.616056</v>
      </c>
      <c r="J6">
        <v>18.26154756756445</v>
      </c>
      <c r="K6">
        <v>0.2278012851684512</v>
      </c>
      <c r="M6">
        <v>174.09</v>
      </c>
      <c r="N6">
        <v>133.89</v>
      </c>
    </row>
    <row r="7" spans="1:14">
      <c r="A7" s="1" t="s">
        <v>19</v>
      </c>
      <c r="B7">
        <f>HYPERLINK("https://www.suredividend.com/sure-analysis-ABT/","Abbott Laboratories")</f>
        <v>0</v>
      </c>
      <c r="C7" t="s">
        <v>450</v>
      </c>
      <c r="D7">
        <v>98.33</v>
      </c>
      <c r="E7">
        <v>0.02074646598189769</v>
      </c>
      <c r="F7">
        <v>0.08510638297872331</v>
      </c>
      <c r="G7">
        <v>0.127411418189695</v>
      </c>
      <c r="H7">
        <v>1.907188983280342</v>
      </c>
      <c r="I7">
        <v>181528.484037</v>
      </c>
      <c r="J7">
        <v>26.18325170010818</v>
      </c>
      <c r="K7">
        <v>0.4852898176285858</v>
      </c>
      <c r="M7">
        <v>122.66</v>
      </c>
      <c r="N7">
        <v>92.83</v>
      </c>
    </row>
    <row r="8" spans="1:14">
      <c r="A8" s="1" t="s">
        <v>20</v>
      </c>
      <c r="B8">
        <f>HYPERLINK("https://www.suredividend.com/sure-analysis-ACN/","Accenture plc")</f>
        <v>0</v>
      </c>
      <c r="C8" t="s">
        <v>452</v>
      </c>
      <c r="D8">
        <v>257.62</v>
      </c>
      <c r="E8">
        <v>0.01738995419610279</v>
      </c>
      <c r="F8" t="s">
        <v>461</v>
      </c>
      <c r="G8" t="s">
        <v>461</v>
      </c>
      <c r="H8">
        <v>4.155571743896671</v>
      </c>
      <c r="I8">
        <v>177238.1877</v>
      </c>
      <c r="J8">
        <v>25.136264324846</v>
      </c>
      <c r="K8">
        <v>0.3781229976248108</v>
      </c>
      <c r="M8">
        <v>340.14</v>
      </c>
      <c r="N8">
        <v>241.96</v>
      </c>
    </row>
    <row r="9" spans="1:14">
      <c r="A9" s="1" t="s">
        <v>21</v>
      </c>
      <c r="B9">
        <f>HYPERLINK("https://www.suredividend.com/sure-analysis-research-database/","Adobe Inc")</f>
        <v>0</v>
      </c>
      <c r="C9" t="s">
        <v>452</v>
      </c>
      <c r="D9">
        <v>374.22</v>
      </c>
      <c r="E9">
        <v>0</v>
      </c>
      <c r="F9" t="s">
        <v>461</v>
      </c>
      <c r="G9" t="s">
        <v>461</v>
      </c>
      <c r="H9">
        <v>0</v>
      </c>
      <c r="I9">
        <v>157501.512</v>
      </c>
      <c r="J9">
        <v>33.11638183347351</v>
      </c>
      <c r="K9">
        <v>0</v>
      </c>
      <c r="M9">
        <v>473.49</v>
      </c>
      <c r="N9">
        <v>274.73</v>
      </c>
    </row>
    <row r="10" spans="1:14">
      <c r="A10" s="1" t="s">
        <v>22</v>
      </c>
      <c r="B10">
        <f>HYPERLINK("https://www.suredividend.com/sure-analysis-ADI/","Analog Devices Inc.")</f>
        <v>0</v>
      </c>
      <c r="C10" t="s">
        <v>452</v>
      </c>
      <c r="D10">
        <v>188.4</v>
      </c>
      <c r="E10">
        <v>0.01825902335456476</v>
      </c>
      <c r="F10">
        <v>0.131578947368421</v>
      </c>
      <c r="G10">
        <v>0.1237027476042598</v>
      </c>
      <c r="H10">
        <v>3.119125148978557</v>
      </c>
      <c r="I10">
        <v>94215.02793900001</v>
      </c>
      <c r="J10">
        <v>27.4682745207813</v>
      </c>
      <c r="K10">
        <v>0.4711669409333167</v>
      </c>
      <c r="M10">
        <v>195.5</v>
      </c>
      <c r="N10">
        <v>132.27</v>
      </c>
    </row>
    <row r="11" spans="1:14">
      <c r="A11" s="1" t="s">
        <v>23</v>
      </c>
      <c r="B11">
        <f>HYPERLINK("https://www.suredividend.com/sure-analysis-ADM/","Archer Daniels Midland Co.")</f>
        <v>0</v>
      </c>
      <c r="C11" t="s">
        <v>453</v>
      </c>
      <c r="D11">
        <v>77.69</v>
      </c>
      <c r="E11">
        <v>0.02316900501995109</v>
      </c>
      <c r="F11">
        <v>0.125</v>
      </c>
      <c r="G11">
        <v>0.06080007397849596</v>
      </c>
      <c r="H11">
        <v>1.638251872129853</v>
      </c>
      <c r="I11">
        <v>44421.583601</v>
      </c>
      <c r="J11">
        <v>10.23538792645161</v>
      </c>
      <c r="K11">
        <v>0.2124840301076333</v>
      </c>
      <c r="M11">
        <v>97.59</v>
      </c>
      <c r="N11">
        <v>69.02</v>
      </c>
    </row>
    <row r="12" spans="1:14">
      <c r="A12" s="1" t="s">
        <v>24</v>
      </c>
      <c r="B12">
        <f>HYPERLINK("https://www.suredividend.com/sure-analysis-ADP/","Automatic Data Processing Inc.")</f>
        <v>0</v>
      </c>
      <c r="C12" t="s">
        <v>451</v>
      </c>
      <c r="D12">
        <v>218.1</v>
      </c>
      <c r="E12">
        <v>0.02292526364053187</v>
      </c>
      <c r="F12">
        <v>0.2019230769230769</v>
      </c>
      <c r="G12">
        <v>0.1261913425989749</v>
      </c>
      <c r="H12">
        <v>4.341176810880759</v>
      </c>
      <c r="I12">
        <v>93125.50906500001</v>
      </c>
      <c r="J12">
        <v>29.60030166380598</v>
      </c>
      <c r="K12">
        <v>0.576517504765041</v>
      </c>
      <c r="M12">
        <v>274.92</v>
      </c>
      <c r="N12">
        <v>194.82</v>
      </c>
    </row>
    <row r="13" spans="1:14">
      <c r="A13" s="1" t="s">
        <v>25</v>
      </c>
      <c r="B13">
        <f>HYPERLINK("https://www.suredividend.com/sure-analysis-research-database/","Autodesk Inc.")</f>
        <v>0</v>
      </c>
      <c r="C13" t="s">
        <v>452</v>
      </c>
      <c r="D13">
        <v>207.15</v>
      </c>
      <c r="E13">
        <v>0</v>
      </c>
      <c r="F13" t="s">
        <v>461</v>
      </c>
      <c r="G13" t="s">
        <v>461</v>
      </c>
      <c r="H13">
        <v>0</v>
      </c>
      <c r="I13">
        <v>44763.124305</v>
      </c>
      <c r="J13">
        <v>72.30354434701987</v>
      </c>
      <c r="K13">
        <v>0</v>
      </c>
      <c r="M13">
        <v>235.01</v>
      </c>
      <c r="N13">
        <v>163.2</v>
      </c>
    </row>
    <row r="14" spans="1:14">
      <c r="A14" s="1" t="s">
        <v>26</v>
      </c>
      <c r="B14">
        <f>HYPERLINK("https://www.suredividend.com/sure-analysis-AEE/","Ameren Corp.")</f>
        <v>0</v>
      </c>
      <c r="C14" t="s">
        <v>454</v>
      </c>
      <c r="D14">
        <v>83.73999999999999</v>
      </c>
      <c r="E14">
        <v>0.03009314545020301</v>
      </c>
      <c r="F14">
        <v>0.06779661016949157</v>
      </c>
      <c r="G14">
        <v>0.06608023144802999</v>
      </c>
      <c r="H14">
        <v>2.344319005886511</v>
      </c>
      <c r="I14">
        <v>21939.668745</v>
      </c>
      <c r="J14">
        <v>20.42799696893855</v>
      </c>
      <c r="K14">
        <v>0.5662606294411863</v>
      </c>
      <c r="M14">
        <v>97.91</v>
      </c>
      <c r="N14">
        <v>72.78</v>
      </c>
    </row>
    <row r="15" spans="1:14">
      <c r="A15" s="1" t="s">
        <v>27</v>
      </c>
      <c r="B15">
        <f>HYPERLINK("https://www.suredividend.com/sure-analysis-AEP/","American Electric Power Company Inc.")</f>
        <v>0</v>
      </c>
      <c r="C15" t="s">
        <v>454</v>
      </c>
      <c r="D15">
        <v>88.90000000000001</v>
      </c>
      <c r="E15">
        <v>0.0373453318335208</v>
      </c>
      <c r="F15">
        <v>0.0641025641025641</v>
      </c>
      <c r="G15">
        <v>0.06007667938522787</v>
      </c>
      <c r="H15">
        <v>3.177709772920713</v>
      </c>
      <c r="I15">
        <v>45780.329156</v>
      </c>
      <c r="J15">
        <v>19.84237567453624</v>
      </c>
      <c r="K15">
        <v>0.7077304616749917</v>
      </c>
      <c r="M15">
        <v>103.66</v>
      </c>
      <c r="N15">
        <v>78.81999999999999</v>
      </c>
    </row>
    <row r="16" spans="1:14">
      <c r="A16" s="1" t="s">
        <v>28</v>
      </c>
      <c r="B16">
        <f>HYPERLINK("https://www.suredividend.com/sure-analysis-AES/","AES Corp.")</f>
        <v>0</v>
      </c>
      <c r="C16" t="s">
        <v>454</v>
      </c>
      <c r="D16">
        <v>22.97</v>
      </c>
      <c r="E16">
        <v>0.02873313016978668</v>
      </c>
      <c r="F16">
        <v>0.05000000000000004</v>
      </c>
      <c r="G16">
        <v>0.0499789846479779</v>
      </c>
      <c r="H16">
        <v>0.6339451375305111</v>
      </c>
      <c r="I16">
        <v>16787.497887</v>
      </c>
      <c r="J16" t="s">
        <v>461</v>
      </c>
      <c r="K16" t="s">
        <v>461</v>
      </c>
      <c r="M16">
        <v>29.7</v>
      </c>
      <c r="N16">
        <v>18.26</v>
      </c>
    </row>
    <row r="17" spans="1:14">
      <c r="A17" s="1" t="s">
        <v>29</v>
      </c>
      <c r="B17">
        <f>HYPERLINK("https://www.suredividend.com/sure-analysis-AFL/","Aflac Inc.")</f>
        <v>0</v>
      </c>
      <c r="C17" t="s">
        <v>455</v>
      </c>
      <c r="D17">
        <v>64.7</v>
      </c>
      <c r="E17">
        <v>0.02596599690880989</v>
      </c>
      <c r="F17">
        <v>0.04999999999999982</v>
      </c>
      <c r="G17">
        <v>0.1006650808520966</v>
      </c>
      <c r="H17">
        <v>1.605731211879853</v>
      </c>
      <c r="I17">
        <v>41899.559869</v>
      </c>
      <c r="J17">
        <v>9.973710990030945</v>
      </c>
      <c r="K17">
        <v>0.2436617923945149</v>
      </c>
      <c r="M17">
        <v>73.58</v>
      </c>
      <c r="N17">
        <v>51.13</v>
      </c>
    </row>
    <row r="18" spans="1:14">
      <c r="A18" s="1" t="s">
        <v>30</v>
      </c>
      <c r="B18">
        <f>HYPERLINK("https://www.suredividend.com/sure-analysis-research-database/","American International Group Inc")</f>
        <v>0</v>
      </c>
      <c r="C18" t="s">
        <v>455</v>
      </c>
      <c r="D18">
        <v>51.25</v>
      </c>
      <c r="E18">
        <v>0.021087373414084</v>
      </c>
      <c r="F18">
        <v>0</v>
      </c>
      <c r="G18">
        <v>0</v>
      </c>
      <c r="H18">
        <v>1.269459879527907</v>
      </c>
      <c r="I18">
        <v>44382.292517</v>
      </c>
      <c r="J18">
        <v>4.331247439914121</v>
      </c>
      <c r="K18">
        <v>0.09765075996368516</v>
      </c>
      <c r="M18">
        <v>64.88</v>
      </c>
      <c r="N18">
        <v>46.81</v>
      </c>
    </row>
    <row r="19" spans="1:14">
      <c r="A19" s="1" t="s">
        <v>31</v>
      </c>
      <c r="B19">
        <f>HYPERLINK("https://www.suredividend.com/sure-analysis-AJG/","Arthur J. Gallagher &amp; Co.")</f>
        <v>0</v>
      </c>
      <c r="C19" t="s">
        <v>455</v>
      </c>
      <c r="D19">
        <v>183.88</v>
      </c>
      <c r="E19">
        <v>0.01196432455949532</v>
      </c>
      <c r="F19">
        <v>0.07843137254901977</v>
      </c>
      <c r="G19">
        <v>0.06051243834129849</v>
      </c>
      <c r="H19">
        <v>2.071488858807449</v>
      </c>
      <c r="I19">
        <v>40092.12882</v>
      </c>
      <c r="J19">
        <v>35.98288352180937</v>
      </c>
      <c r="K19">
        <v>0.3991308013116472</v>
      </c>
      <c r="M19">
        <v>201.78</v>
      </c>
      <c r="N19">
        <v>146.82</v>
      </c>
    </row>
    <row r="20" spans="1:14">
      <c r="A20" s="1" t="s">
        <v>32</v>
      </c>
      <c r="B20">
        <f>HYPERLINK("https://www.suredividend.com/sure-analysis-research-database/","Akamai Technologies Inc")</f>
        <v>0</v>
      </c>
      <c r="C20" t="s">
        <v>452</v>
      </c>
      <c r="D20">
        <v>75.7</v>
      </c>
      <c r="E20">
        <v>0</v>
      </c>
      <c r="F20" t="s">
        <v>461</v>
      </c>
      <c r="G20" t="s">
        <v>461</v>
      </c>
      <c r="H20">
        <v>0</v>
      </c>
      <c r="I20">
        <v>11822.263816</v>
      </c>
      <c r="J20">
        <v>22.57570352453444</v>
      </c>
      <c r="K20">
        <v>0</v>
      </c>
      <c r="M20">
        <v>123.25</v>
      </c>
      <c r="N20">
        <v>72.14</v>
      </c>
    </row>
    <row r="21" spans="1:14">
      <c r="A21" s="1" t="s">
        <v>33</v>
      </c>
      <c r="B21">
        <f>HYPERLINK("https://www.suredividend.com/sure-analysis-ALB/","Albemarle Corp.")</f>
        <v>0</v>
      </c>
      <c r="C21" t="s">
        <v>456</v>
      </c>
      <c r="D21">
        <v>222.93</v>
      </c>
      <c r="E21">
        <v>0.007087426546449558</v>
      </c>
      <c r="F21">
        <v>0.01265822784810133</v>
      </c>
      <c r="G21">
        <v>0.03610325209611243</v>
      </c>
      <c r="H21">
        <v>1.576483568438062</v>
      </c>
      <c r="I21">
        <v>30397.639294</v>
      </c>
      <c r="J21">
        <v>11.30101066187799</v>
      </c>
      <c r="K21">
        <v>0.06902292331164896</v>
      </c>
      <c r="M21">
        <v>334.02</v>
      </c>
      <c r="N21">
        <v>168.91</v>
      </c>
    </row>
    <row r="22" spans="1:14">
      <c r="A22" s="1" t="s">
        <v>34</v>
      </c>
      <c r="B22">
        <f>HYPERLINK("https://www.suredividend.com/sure-analysis-research-database/","Align Technology, Inc.")</f>
        <v>0</v>
      </c>
      <c r="C22" t="s">
        <v>450</v>
      </c>
      <c r="D22">
        <v>327.64</v>
      </c>
      <c r="E22">
        <v>0</v>
      </c>
      <c r="F22" t="s">
        <v>461</v>
      </c>
      <c r="G22" t="s">
        <v>461</v>
      </c>
      <c r="H22">
        <v>0</v>
      </c>
      <c r="I22">
        <v>25630.748325</v>
      </c>
      <c r="J22">
        <v>70.88678724528657</v>
      </c>
      <c r="K22">
        <v>0</v>
      </c>
      <c r="M22">
        <v>468.8</v>
      </c>
      <c r="N22">
        <v>172.05</v>
      </c>
    </row>
    <row r="23" spans="1:14">
      <c r="A23" s="1" t="s">
        <v>35</v>
      </c>
      <c r="B23">
        <f>HYPERLINK("https://www.suredividend.com/sure-analysis-ALL/","Allstate Corp (The)")</f>
        <v>0</v>
      </c>
      <c r="C23" t="s">
        <v>455</v>
      </c>
      <c r="D23">
        <v>112.54</v>
      </c>
      <c r="E23">
        <v>0.03163319708548071</v>
      </c>
      <c r="F23">
        <v>0.04705882352941182</v>
      </c>
      <c r="G23">
        <v>0.1411071720529757</v>
      </c>
      <c r="H23">
        <v>3.406193228684602</v>
      </c>
      <c r="I23">
        <v>33740.434461</v>
      </c>
      <c r="J23" t="s">
        <v>461</v>
      </c>
      <c r="K23" t="s">
        <v>461</v>
      </c>
      <c r="M23">
        <v>141.19</v>
      </c>
      <c r="N23">
        <v>109.63</v>
      </c>
    </row>
    <row r="24" spans="1:14">
      <c r="A24" s="1" t="s">
        <v>36</v>
      </c>
      <c r="B24">
        <f>HYPERLINK("https://www.suredividend.com/sure-analysis-research-database/","Allegion plc")</f>
        <v>0</v>
      </c>
      <c r="C24" t="s">
        <v>451</v>
      </c>
      <c r="D24">
        <v>106.92</v>
      </c>
      <c r="E24">
        <v>0.014205640114015</v>
      </c>
      <c r="F24">
        <v>0.09756097560975596</v>
      </c>
      <c r="G24">
        <v>0.1646586157796568</v>
      </c>
      <c r="H24">
        <v>1.630239259484389</v>
      </c>
      <c r="I24">
        <v>10083.666382</v>
      </c>
      <c r="J24">
        <v>22.01673882436681</v>
      </c>
      <c r="K24">
        <v>0.3141116106906337</v>
      </c>
      <c r="M24">
        <v>123.46</v>
      </c>
      <c r="N24">
        <v>87</v>
      </c>
    </row>
    <row r="25" spans="1:14">
      <c r="A25" s="1" t="s">
        <v>37</v>
      </c>
      <c r="B25">
        <f>HYPERLINK("https://www.suredividend.com/sure-analysis-AMAT/","Applied Materials Inc.")</f>
        <v>0</v>
      </c>
      <c r="C25" t="s">
        <v>452</v>
      </c>
      <c r="D25">
        <v>120.4</v>
      </c>
      <c r="E25">
        <v>0.0106312292358804</v>
      </c>
      <c r="F25">
        <v>0.08333333333333348</v>
      </c>
      <c r="G25">
        <v>0.05387395206178347</v>
      </c>
      <c r="H25">
        <v>1.036257260524222</v>
      </c>
      <c r="I25">
        <v>100535.288076</v>
      </c>
      <c r="J25">
        <v>15.58686636835969</v>
      </c>
      <c r="K25">
        <v>0.1389084799630324</v>
      </c>
      <c r="M25">
        <v>140.63</v>
      </c>
      <c r="N25">
        <v>70.78</v>
      </c>
    </row>
    <row r="26" spans="1:14">
      <c r="A26" s="1" t="s">
        <v>38</v>
      </c>
      <c r="B26">
        <f>HYPERLINK("https://www.suredividend.com/sure-analysis-AMCR/","Amcor Plc")</f>
        <v>0</v>
      </c>
      <c r="C26" t="s">
        <v>457</v>
      </c>
      <c r="D26">
        <v>10.99</v>
      </c>
      <c r="E26">
        <v>0.04458598726114649</v>
      </c>
      <c r="F26" t="s">
        <v>461</v>
      </c>
      <c r="G26" t="s">
        <v>461</v>
      </c>
      <c r="H26">
        <v>0.4774658134528441</v>
      </c>
      <c r="I26">
        <v>15897.845658</v>
      </c>
      <c r="J26">
        <v>14.87169846361085</v>
      </c>
      <c r="K26">
        <v>0.667410977708756</v>
      </c>
      <c r="M26">
        <v>13.19</v>
      </c>
      <c r="N26">
        <v>10.2</v>
      </c>
    </row>
    <row r="27" spans="1:14">
      <c r="A27" s="1" t="s">
        <v>39</v>
      </c>
      <c r="B27">
        <f>HYPERLINK("https://www.suredividend.com/sure-analysis-research-database/","Advanced Micro Devices Inc.")</f>
        <v>0</v>
      </c>
      <c r="C27" t="s">
        <v>452</v>
      </c>
      <c r="D27">
        <v>95.93000000000001</v>
      </c>
      <c r="E27">
        <v>0</v>
      </c>
      <c r="F27" t="s">
        <v>461</v>
      </c>
      <c r="G27" t="s">
        <v>461</v>
      </c>
      <c r="H27">
        <v>0</v>
      </c>
      <c r="I27">
        <v>131360.36745</v>
      </c>
      <c r="J27">
        <v>99.51542988624242</v>
      </c>
      <c r="K27">
        <v>0</v>
      </c>
      <c r="M27">
        <v>125.67</v>
      </c>
      <c r="N27">
        <v>54.57</v>
      </c>
    </row>
    <row r="28" spans="1:14">
      <c r="A28" s="1" t="s">
        <v>40</v>
      </c>
      <c r="B28">
        <f>HYPERLINK("https://www.suredividend.com/sure-analysis-research-database/","Ametek Inc")</f>
        <v>0</v>
      </c>
      <c r="C28" t="s">
        <v>451</v>
      </c>
      <c r="D28">
        <v>140.07</v>
      </c>
      <c r="E28">
        <v>0.006098935150300001</v>
      </c>
      <c r="F28">
        <v>0.1363636363636365</v>
      </c>
      <c r="G28">
        <v>0.1229551070568209</v>
      </c>
      <c r="H28">
        <v>0.8778197361828001</v>
      </c>
      <c r="I28">
        <v>33117.402073</v>
      </c>
      <c r="J28">
        <v>28.56076112232244</v>
      </c>
      <c r="K28">
        <v>0.1752135201961677</v>
      </c>
      <c r="M28">
        <v>148.06</v>
      </c>
      <c r="N28">
        <v>105.82</v>
      </c>
    </row>
    <row r="29" spans="1:14">
      <c r="A29" s="1" t="s">
        <v>41</v>
      </c>
      <c r="B29">
        <f>HYPERLINK("https://www.suredividend.com/sure-analysis-AMGN/","AMGEN Inc.")</f>
        <v>0</v>
      </c>
      <c r="C29" t="s">
        <v>450</v>
      </c>
      <c r="D29">
        <v>232.95</v>
      </c>
      <c r="E29">
        <v>0.03657437218287186</v>
      </c>
      <c r="F29">
        <v>0.09793814432989678</v>
      </c>
      <c r="G29">
        <v>0.1004267384562354</v>
      </c>
      <c r="H29">
        <v>7.858178584860549</v>
      </c>
      <c r="I29">
        <v>125382.960445</v>
      </c>
      <c r="J29">
        <v>19.13659347447802</v>
      </c>
      <c r="K29">
        <v>0.6488999657192857</v>
      </c>
      <c r="M29">
        <v>292.06</v>
      </c>
      <c r="N29">
        <v>219.1</v>
      </c>
    </row>
    <row r="30" spans="1:14">
      <c r="A30" s="1" t="s">
        <v>42</v>
      </c>
      <c r="B30">
        <f>HYPERLINK("https://www.suredividend.com/sure-analysis-AMP/","Ameriprise Financial Inc")</f>
        <v>0</v>
      </c>
      <c r="C30" t="s">
        <v>455</v>
      </c>
      <c r="D30">
        <v>301.97</v>
      </c>
      <c r="E30">
        <v>0.01655793621882968</v>
      </c>
      <c r="F30">
        <v>0.1061946902654869</v>
      </c>
      <c r="G30">
        <v>0.06790716584560208</v>
      </c>
      <c r="H30">
        <v>4.97086412503968</v>
      </c>
      <c r="I30">
        <v>36706.484451</v>
      </c>
      <c r="J30">
        <v>14.34407364246581</v>
      </c>
      <c r="K30">
        <v>0.2208291481581377</v>
      </c>
      <c r="M30">
        <v>357.46</v>
      </c>
      <c r="N30">
        <v>217.31</v>
      </c>
    </row>
    <row r="31" spans="1:14">
      <c r="A31" s="1" t="s">
        <v>43</v>
      </c>
      <c r="B31">
        <f>HYPERLINK("https://www.suredividend.com/sure-analysis-AMT/","American Tower Corp.")</f>
        <v>0</v>
      </c>
      <c r="C31" t="s">
        <v>458</v>
      </c>
      <c r="D31">
        <v>198.19</v>
      </c>
      <c r="E31">
        <v>0.03148493869519148</v>
      </c>
      <c r="F31">
        <v>0.1223021582733812</v>
      </c>
      <c r="G31">
        <v>0.1577443413531583</v>
      </c>
      <c r="H31">
        <v>5.831280856072112</v>
      </c>
      <c r="I31">
        <v>94293.326138</v>
      </c>
      <c r="J31">
        <v>53.39977694954128</v>
      </c>
      <c r="K31">
        <v>1.526513313107883</v>
      </c>
      <c r="M31">
        <v>280.43</v>
      </c>
      <c r="N31">
        <v>178.17</v>
      </c>
    </row>
    <row r="32" spans="1:14">
      <c r="A32" s="1" t="s">
        <v>44</v>
      </c>
      <c r="B32">
        <f>HYPERLINK("https://www.suredividend.com/sure-analysis-research-database/","Amazon.com Inc.")</f>
        <v>0</v>
      </c>
      <c r="C32" t="s">
        <v>457</v>
      </c>
      <c r="D32">
        <v>100.46</v>
      </c>
      <c r="E32">
        <v>0</v>
      </c>
      <c r="F32" t="s">
        <v>461</v>
      </c>
      <c r="G32" t="s">
        <v>461</v>
      </c>
      <c r="H32">
        <v>0</v>
      </c>
      <c r="I32">
        <v>972464.950939</v>
      </c>
      <c r="J32" t="s">
        <v>461</v>
      </c>
      <c r="K32">
        <v>-0</v>
      </c>
      <c r="M32">
        <v>170.83</v>
      </c>
      <c r="N32">
        <v>81.43000000000001</v>
      </c>
    </row>
    <row r="33" spans="1:14">
      <c r="A33" s="1" t="s">
        <v>45</v>
      </c>
      <c r="B33">
        <f>HYPERLINK("https://www.suredividend.com/sure-analysis-research-database/","Arista Networks Inc")</f>
        <v>0</v>
      </c>
      <c r="C33" t="s">
        <v>452</v>
      </c>
      <c r="D33">
        <v>168.08</v>
      </c>
      <c r="E33">
        <v>0</v>
      </c>
      <c r="F33" t="s">
        <v>461</v>
      </c>
      <c r="G33" t="s">
        <v>461</v>
      </c>
      <c r="H33">
        <v>0</v>
      </c>
      <c r="I33">
        <v>43103.702621</v>
      </c>
      <c r="J33">
        <v>31.87092321698611</v>
      </c>
      <c r="K33">
        <v>0</v>
      </c>
      <c r="M33">
        <v>145.17</v>
      </c>
      <c r="N33">
        <v>89.12</v>
      </c>
    </row>
    <row r="34" spans="1:14">
      <c r="A34" s="1" t="s">
        <v>46</v>
      </c>
      <c r="B34">
        <f>HYPERLINK("https://www.suredividend.com/sure-analysis-research-database/","Ansys Inc.")</f>
        <v>0</v>
      </c>
      <c r="C34" t="s">
        <v>452</v>
      </c>
      <c r="D34">
        <v>314.42</v>
      </c>
      <c r="E34">
        <v>0</v>
      </c>
      <c r="F34" t="s">
        <v>461</v>
      </c>
      <c r="G34" t="s">
        <v>461</v>
      </c>
      <c r="H34">
        <v>0</v>
      </c>
      <c r="I34">
        <v>27028.847679</v>
      </c>
      <c r="J34">
        <v>51.61033335109125</v>
      </c>
      <c r="K34">
        <v>0</v>
      </c>
      <c r="M34">
        <v>328.94</v>
      </c>
      <c r="N34">
        <v>194.23</v>
      </c>
    </row>
    <row r="35" spans="1:14">
      <c r="A35" s="1" t="s">
        <v>47</v>
      </c>
      <c r="B35">
        <f>HYPERLINK("https://www.suredividend.com/sure-analysis-ANTM/","Anthem Inc")</f>
        <v>0</v>
      </c>
      <c r="C35" t="s">
        <v>450</v>
      </c>
      <c r="D35">
        <v>482.58</v>
      </c>
      <c r="E35">
        <v>0.009949524828726001</v>
      </c>
      <c r="F35" t="s">
        <v>461</v>
      </c>
      <c r="G35" t="s">
        <v>461</v>
      </c>
      <c r="H35">
        <v>4.801441691846593</v>
      </c>
      <c r="I35">
        <v>116342.693132</v>
      </c>
      <c r="J35">
        <v>18.63271831076233</v>
      </c>
      <c r="K35">
        <v>0.1890331374742753</v>
      </c>
      <c r="L35">
        <v>0.6881875553722741</v>
      </c>
      <c r="M35">
        <v>532.3099999999999</v>
      </c>
      <c r="N35">
        <v>352.54</v>
      </c>
    </row>
    <row r="36" spans="1:14">
      <c r="A36" s="1" t="s">
        <v>48</v>
      </c>
      <c r="B36">
        <f>HYPERLINK("https://www.suredividend.com/sure-analysis-AON/","Aon plc.")</f>
        <v>0</v>
      </c>
      <c r="C36" t="s">
        <v>455</v>
      </c>
      <c r="D36">
        <v>304.83</v>
      </c>
      <c r="E36">
        <v>0.007348358101236756</v>
      </c>
      <c r="F36" t="s">
        <v>461</v>
      </c>
      <c r="G36" t="s">
        <v>461</v>
      </c>
      <c r="H36">
        <v>2.233805205552484</v>
      </c>
      <c r="I36">
        <v>62377.643183</v>
      </c>
      <c r="J36">
        <v>0</v>
      </c>
      <c r="K36" t="s">
        <v>461</v>
      </c>
      <c r="M36">
        <v>339.47</v>
      </c>
      <c r="N36">
        <v>244.83</v>
      </c>
    </row>
    <row r="37" spans="1:14">
      <c r="A37" s="1" t="s">
        <v>49</v>
      </c>
      <c r="B37">
        <f>HYPERLINK("https://www.suredividend.com/sure-analysis-AOS/","A.O. Smith Corp.")</f>
        <v>0</v>
      </c>
      <c r="C37" t="s">
        <v>451</v>
      </c>
      <c r="D37">
        <v>66.92</v>
      </c>
      <c r="E37">
        <v>0.01793185893604304</v>
      </c>
      <c r="F37">
        <v>0.0714285714285714</v>
      </c>
      <c r="G37">
        <v>0.1075663432482901</v>
      </c>
      <c r="H37">
        <v>1.151223839387144</v>
      </c>
      <c r="I37">
        <v>10408.596655</v>
      </c>
      <c r="J37">
        <v>36.12422476966483</v>
      </c>
      <c r="K37">
        <v>0.7623998936338703</v>
      </c>
      <c r="M37">
        <v>71.87</v>
      </c>
      <c r="N37">
        <v>46.08</v>
      </c>
    </row>
    <row r="38" spans="1:14">
      <c r="A38" s="1" t="s">
        <v>50</v>
      </c>
      <c r="B38">
        <f>HYPERLINK("https://www.suredividend.com/sure-analysis-APA/","APA Corporation")</f>
        <v>0</v>
      </c>
      <c r="C38" t="s">
        <v>459</v>
      </c>
      <c r="D38">
        <v>35.04</v>
      </c>
      <c r="E38">
        <v>0.02853881278538813</v>
      </c>
      <c r="F38">
        <v>1</v>
      </c>
      <c r="G38">
        <v>0</v>
      </c>
      <c r="H38">
        <v>0.7453075305870691</v>
      </c>
      <c r="I38">
        <v>12795.72311</v>
      </c>
      <c r="J38">
        <v>3.482777112166576</v>
      </c>
      <c r="K38">
        <v>0.06757094565612594</v>
      </c>
      <c r="M38">
        <v>51.17</v>
      </c>
      <c r="N38">
        <v>29.8</v>
      </c>
    </row>
    <row r="39" spans="1:14">
      <c r="A39" s="1" t="s">
        <v>51</v>
      </c>
      <c r="B39">
        <f>HYPERLINK("https://www.suredividend.com/sure-analysis-APD/","Air Products &amp; Chemicals Inc.")</f>
        <v>0</v>
      </c>
      <c r="C39" t="s">
        <v>456</v>
      </c>
      <c r="D39">
        <v>278.81</v>
      </c>
      <c r="E39">
        <v>0.02510670348983178</v>
      </c>
      <c r="F39">
        <v>0.08000000000000007</v>
      </c>
      <c r="G39">
        <v>0.08049924032577382</v>
      </c>
      <c r="H39">
        <v>6.421524823091209</v>
      </c>
      <c r="I39">
        <v>65465.582818</v>
      </c>
      <c r="J39">
        <v>28.86616818103973</v>
      </c>
      <c r="K39">
        <v>0.630179079793053</v>
      </c>
      <c r="M39">
        <v>326.85</v>
      </c>
      <c r="N39">
        <v>210.83</v>
      </c>
    </row>
    <row r="40" spans="1:14">
      <c r="A40" s="1" t="s">
        <v>52</v>
      </c>
      <c r="B40">
        <f>HYPERLINK("https://www.suredividend.com/sure-analysis-APH/","Amphenol Corp.")</f>
        <v>0</v>
      </c>
      <c r="C40" t="s">
        <v>452</v>
      </c>
      <c r="D40">
        <v>78.37</v>
      </c>
      <c r="E40">
        <v>0.01071838713793543</v>
      </c>
      <c r="F40" t="s">
        <v>461</v>
      </c>
      <c r="G40" t="s">
        <v>461</v>
      </c>
      <c r="H40">
        <v>0.806644015314628</v>
      </c>
      <c r="I40">
        <v>47068.893328</v>
      </c>
      <c r="J40">
        <v>24.74314951807812</v>
      </c>
      <c r="K40">
        <v>0.2636091553315778</v>
      </c>
      <c r="M40">
        <v>82.64</v>
      </c>
      <c r="N40">
        <v>61.33</v>
      </c>
    </row>
    <row r="41" spans="1:14">
      <c r="A41" s="1" t="s">
        <v>53</v>
      </c>
      <c r="B41">
        <f>HYPERLINK("https://www.suredividend.com/sure-analysis-research-database/","Aptiv PLC")</f>
        <v>0</v>
      </c>
      <c r="C41" t="s">
        <v>457</v>
      </c>
      <c r="D41">
        <v>110.98</v>
      </c>
      <c r="E41">
        <v>0</v>
      </c>
      <c r="F41" t="s">
        <v>461</v>
      </c>
      <c r="G41" t="s">
        <v>461</v>
      </c>
      <c r="H41">
        <v>0</v>
      </c>
      <c r="I41">
        <v>32324.284775</v>
      </c>
      <c r="J41">
        <v>60.87435927438794</v>
      </c>
      <c r="K41">
        <v>0</v>
      </c>
      <c r="M41">
        <v>129.18</v>
      </c>
      <c r="N41">
        <v>77.95999999999999</v>
      </c>
    </row>
    <row r="42" spans="1:14">
      <c r="A42" s="1" t="s">
        <v>54</v>
      </c>
      <c r="B42">
        <f>HYPERLINK("https://www.suredividend.com/sure-analysis-ARE/","Alexandria Real Estate Equities Inc.")</f>
        <v>0</v>
      </c>
      <c r="C42" t="s">
        <v>458</v>
      </c>
      <c r="D42">
        <v>122.97</v>
      </c>
      <c r="E42">
        <v>0.03935919329917866</v>
      </c>
      <c r="F42">
        <v>0.0521739130434784</v>
      </c>
      <c r="G42">
        <v>0.06098335879266292</v>
      </c>
      <c r="H42">
        <v>4.661855391292268</v>
      </c>
      <c r="I42">
        <v>24895.115723</v>
      </c>
      <c r="J42">
        <v>48.5031518099901</v>
      </c>
      <c r="K42">
        <v>1.465992261412663</v>
      </c>
      <c r="M42">
        <v>201.73</v>
      </c>
      <c r="N42">
        <v>125.67</v>
      </c>
    </row>
    <row r="43" spans="1:14">
      <c r="A43" s="1" t="s">
        <v>55</v>
      </c>
      <c r="B43">
        <f>HYPERLINK("https://www.suredividend.com/sure-analysis-ATO/","Atmos Energy Corp.")</f>
        <v>0</v>
      </c>
      <c r="C43" t="s">
        <v>454</v>
      </c>
      <c r="D43">
        <v>110.21</v>
      </c>
      <c r="E43">
        <v>0.0268578168950186</v>
      </c>
      <c r="F43">
        <v>0.08823529411764697</v>
      </c>
      <c r="G43">
        <v>0.08817312612555162</v>
      </c>
      <c r="H43">
        <v>2.82281665753847</v>
      </c>
      <c r="I43">
        <v>16138.71088</v>
      </c>
      <c r="J43">
        <v>20.26101750018832</v>
      </c>
      <c r="K43">
        <v>0.4969747636511391</v>
      </c>
      <c r="M43">
        <v>120.73</v>
      </c>
      <c r="N43">
        <v>97.09</v>
      </c>
    </row>
    <row r="44" spans="1:14">
      <c r="A44" s="1" t="s">
        <v>56</v>
      </c>
      <c r="B44">
        <f>HYPERLINK("https://www.suredividend.com/sure-analysis-research-database/","Activision Blizzard Inc")</f>
        <v>0</v>
      </c>
      <c r="C44" t="s">
        <v>460</v>
      </c>
      <c r="D44">
        <v>79.75</v>
      </c>
      <c r="E44">
        <v>0.005920141060686001</v>
      </c>
      <c r="F44" t="s">
        <v>461</v>
      </c>
      <c r="G44" t="s">
        <v>461</v>
      </c>
      <c r="H44">
        <v>0.469999998807907</v>
      </c>
      <c r="I44">
        <v>62263.522863</v>
      </c>
      <c r="J44">
        <v>41.15236144292135</v>
      </c>
      <c r="K44">
        <v>0.2447916660457849</v>
      </c>
      <c r="M44">
        <v>81.5</v>
      </c>
      <c r="N44">
        <v>70.94</v>
      </c>
    </row>
    <row r="45" spans="1:14">
      <c r="A45" s="1" t="s">
        <v>57</v>
      </c>
      <c r="B45">
        <f>HYPERLINK("https://www.suredividend.com/sure-analysis-AVB/","Avalonbay Communities Inc.")</f>
        <v>0</v>
      </c>
      <c r="C45" t="s">
        <v>458</v>
      </c>
      <c r="D45">
        <v>161.08</v>
      </c>
      <c r="E45">
        <v>0.04097342935187484</v>
      </c>
      <c r="F45">
        <v>0</v>
      </c>
      <c r="G45">
        <v>0.01581812579551856</v>
      </c>
      <c r="H45">
        <v>6.273465810133874</v>
      </c>
      <c r="I45">
        <v>24304.122586</v>
      </c>
      <c r="J45">
        <v>21.41928729575812</v>
      </c>
      <c r="K45">
        <v>0.7735469556268648</v>
      </c>
      <c r="M45">
        <v>252.02</v>
      </c>
      <c r="N45">
        <v>156.79</v>
      </c>
    </row>
    <row r="46" spans="1:14">
      <c r="A46" s="1" t="s">
        <v>58</v>
      </c>
      <c r="B46">
        <f>HYPERLINK("https://www.suredividend.com/sure-analysis-AVGO/","Broadcom Inc")</f>
        <v>0</v>
      </c>
      <c r="C46" t="s">
        <v>452</v>
      </c>
      <c r="D46">
        <v>636.75</v>
      </c>
      <c r="E46">
        <v>0.02889674126423243</v>
      </c>
      <c r="F46">
        <v>0.1219512195121952</v>
      </c>
      <c r="G46">
        <v>0.2132322791678671</v>
      </c>
      <c r="H46">
        <v>16.73059780726953</v>
      </c>
      <c r="I46">
        <v>263812.617633</v>
      </c>
      <c r="J46">
        <v>23.50642587834269</v>
      </c>
      <c r="K46">
        <v>0.6306293934138535</v>
      </c>
      <c r="M46">
        <v>635.73</v>
      </c>
      <c r="N46">
        <v>411.63</v>
      </c>
    </row>
    <row r="47" spans="1:14">
      <c r="A47" s="1" t="s">
        <v>59</v>
      </c>
      <c r="B47">
        <f>HYPERLINK("https://www.suredividend.com/sure-analysis-AVY/","Avery Dennison Corp.")</f>
        <v>0</v>
      </c>
      <c r="C47" t="s">
        <v>451</v>
      </c>
      <c r="D47">
        <v>172.38</v>
      </c>
      <c r="E47">
        <v>0.01740341106856944</v>
      </c>
      <c r="F47" t="s">
        <v>461</v>
      </c>
      <c r="G47" t="s">
        <v>461</v>
      </c>
      <c r="H47">
        <v>2.984866656831224</v>
      </c>
      <c r="I47">
        <v>14817.636617</v>
      </c>
      <c r="J47">
        <v>19.57157128101968</v>
      </c>
      <c r="K47">
        <v>0.3240897564420439</v>
      </c>
      <c r="M47">
        <v>202.73</v>
      </c>
      <c r="N47">
        <v>150.4</v>
      </c>
    </row>
    <row r="48" spans="1:14">
      <c r="A48" s="1" t="s">
        <v>60</v>
      </c>
      <c r="B48">
        <f>HYPERLINK("https://www.suredividend.com/sure-analysis-AWK/","American Water Works Co. Inc.")</f>
        <v>0</v>
      </c>
      <c r="C48" t="s">
        <v>454</v>
      </c>
      <c r="D48">
        <v>138.86</v>
      </c>
      <c r="E48">
        <v>0.01886792452830189</v>
      </c>
      <c r="F48">
        <v>0.08713692946058083</v>
      </c>
      <c r="G48">
        <v>0.07558808018541208</v>
      </c>
      <c r="H48">
        <v>2.602904216039304</v>
      </c>
      <c r="I48">
        <v>25420.724241</v>
      </c>
      <c r="J48">
        <v>31.0008832207317</v>
      </c>
      <c r="K48">
        <v>0.5771406243989587</v>
      </c>
      <c r="M48">
        <v>170.85</v>
      </c>
      <c r="N48">
        <v>121.68</v>
      </c>
    </row>
    <row r="49" spans="1:14">
      <c r="A49" s="1" t="s">
        <v>61</v>
      </c>
      <c r="B49">
        <f>HYPERLINK("https://www.suredividend.com/sure-analysis-AXP/","American Express Co.")</f>
        <v>0</v>
      </c>
      <c r="C49" t="s">
        <v>455</v>
      </c>
      <c r="D49">
        <v>164.56</v>
      </c>
      <c r="E49">
        <v>0.01458434613514827</v>
      </c>
      <c r="F49">
        <v>0.2093023255813955</v>
      </c>
      <c r="G49">
        <v>0.08239819622948685</v>
      </c>
      <c r="H49">
        <v>2.06874535852568</v>
      </c>
      <c r="I49">
        <v>130107.210091</v>
      </c>
      <c r="J49">
        <v>17.58205541765676</v>
      </c>
      <c r="K49">
        <v>0.2102383494436667</v>
      </c>
      <c r="M49">
        <v>191.68</v>
      </c>
      <c r="N49">
        <v>130.2</v>
      </c>
    </row>
    <row r="50" spans="1:14">
      <c r="A50" s="1" t="s">
        <v>62</v>
      </c>
      <c r="B50">
        <f>HYPERLINK("https://www.suredividend.com/sure-analysis-research-database/","Autozone Inc.")</f>
        <v>0</v>
      </c>
      <c r="C50" t="s">
        <v>457</v>
      </c>
      <c r="D50">
        <v>2394.95</v>
      </c>
      <c r="E50">
        <v>0</v>
      </c>
      <c r="F50" t="s">
        <v>461</v>
      </c>
      <c r="G50" t="s">
        <v>461</v>
      </c>
      <c r="H50">
        <v>0</v>
      </c>
      <c r="I50">
        <v>46864.260815</v>
      </c>
      <c r="J50">
        <v>19.41604724023455</v>
      </c>
      <c r="K50">
        <v>0</v>
      </c>
      <c r="M50">
        <v>2610.05</v>
      </c>
      <c r="N50">
        <v>1703.32</v>
      </c>
    </row>
    <row r="51" spans="1:14">
      <c r="A51" s="1" t="s">
        <v>63</v>
      </c>
      <c r="B51">
        <f>HYPERLINK("https://www.suredividend.com/sure-analysis-research-database/","Boeing Co.")</f>
        <v>0</v>
      </c>
      <c r="C51" t="s">
        <v>451</v>
      </c>
      <c r="D51">
        <v>204.7</v>
      </c>
      <c r="E51">
        <v>0</v>
      </c>
      <c r="F51" t="s">
        <v>461</v>
      </c>
      <c r="G51" t="s">
        <v>461</v>
      </c>
      <c r="H51">
        <v>0</v>
      </c>
      <c r="I51">
        <v>128687.317129</v>
      </c>
      <c r="J51" t="s">
        <v>461</v>
      </c>
      <c r="K51">
        <v>-0</v>
      </c>
      <c r="M51">
        <v>221.33</v>
      </c>
      <c r="N51">
        <v>113.02</v>
      </c>
    </row>
    <row r="52" spans="1:14">
      <c r="A52" s="1" t="s">
        <v>64</v>
      </c>
      <c r="B52">
        <f>HYPERLINK("https://www.suredividend.com/sure-analysis-BAC/","Bank Of America Corp.")</f>
        <v>0</v>
      </c>
      <c r="C52" t="s">
        <v>455</v>
      </c>
      <c r="D52">
        <v>28.59</v>
      </c>
      <c r="E52">
        <v>0.03077999300454705</v>
      </c>
      <c r="F52">
        <v>0.04761904761904767</v>
      </c>
      <c r="G52">
        <v>0.1288813207301975</v>
      </c>
      <c r="H52">
        <v>0.8619704781222121</v>
      </c>
      <c r="I52">
        <v>244437.24984</v>
      </c>
      <c r="J52">
        <v>9.39601191004728</v>
      </c>
      <c r="K52">
        <v>0.2702101812295336</v>
      </c>
      <c r="M52">
        <v>43.55</v>
      </c>
      <c r="N52">
        <v>28.95</v>
      </c>
    </row>
    <row r="53" spans="1:14">
      <c r="A53" s="1" t="s">
        <v>65</v>
      </c>
      <c r="B53">
        <f>HYPERLINK("https://www.suredividend.com/sure-analysis-BAX/","Baxter International Inc.")</f>
        <v>0</v>
      </c>
      <c r="C53" t="s">
        <v>450</v>
      </c>
      <c r="D53">
        <v>39.61</v>
      </c>
      <c r="E53">
        <v>0.0292855339560717</v>
      </c>
      <c r="F53">
        <v>0.03571428571428559</v>
      </c>
      <c r="G53">
        <v>0.08825051007784368</v>
      </c>
      <c r="H53">
        <v>1.149447675840656</v>
      </c>
      <c r="I53">
        <v>20156.60631</v>
      </c>
      <c r="J53" t="s">
        <v>461</v>
      </c>
      <c r="K53" t="s">
        <v>461</v>
      </c>
      <c r="M53">
        <v>83.81999999999999</v>
      </c>
      <c r="N53">
        <v>38.31</v>
      </c>
    </row>
    <row r="54" spans="1:14">
      <c r="A54" s="1" t="s">
        <v>66</v>
      </c>
      <c r="B54">
        <f>HYPERLINK("https://www.suredividend.com/sure-analysis-BBY/","Best Buy Co. Inc.")</f>
        <v>0</v>
      </c>
      <c r="C54" t="s">
        <v>457</v>
      </c>
      <c r="D54">
        <v>76.84999999999999</v>
      </c>
      <c r="E54">
        <v>0.04788549121665583</v>
      </c>
      <c r="F54">
        <v>0.04545454545454541</v>
      </c>
      <c r="G54">
        <v>0.1537588961630676</v>
      </c>
      <c r="H54">
        <v>3.460082091614306</v>
      </c>
      <c r="I54">
        <v>18422.47844</v>
      </c>
      <c r="J54">
        <v>11.88546996131613</v>
      </c>
      <c r="K54">
        <v>0.5133652954917368</v>
      </c>
      <c r="M54">
        <v>104.42</v>
      </c>
      <c r="N54">
        <v>60.13</v>
      </c>
    </row>
    <row r="55" spans="1:14">
      <c r="A55" s="1" t="s">
        <v>67</v>
      </c>
      <c r="B55">
        <f>HYPERLINK("https://www.suredividend.com/sure-analysis-BDX/","Becton, Dickinson And Co.")</f>
        <v>0</v>
      </c>
      <c r="C55" t="s">
        <v>450</v>
      </c>
      <c r="D55">
        <v>240.25</v>
      </c>
      <c r="E55">
        <v>0.01515088449531738</v>
      </c>
      <c r="F55">
        <v>0.04597701149425282</v>
      </c>
      <c r="G55">
        <v>0.03943186329943948</v>
      </c>
      <c r="H55">
        <v>3.48091099720736</v>
      </c>
      <c r="I55">
        <v>67347.147515</v>
      </c>
      <c r="J55">
        <v>44.249111376636</v>
      </c>
      <c r="K55">
        <v>0.6567756598504453</v>
      </c>
      <c r="M55">
        <v>274.41</v>
      </c>
      <c r="N55">
        <v>215.1</v>
      </c>
    </row>
    <row r="56" spans="1:14">
      <c r="A56" s="1" t="s">
        <v>68</v>
      </c>
      <c r="B56">
        <f>HYPERLINK("https://www.suredividend.com/sure-analysis-BEN/","Franklin Resources, Inc.")</f>
        <v>0</v>
      </c>
      <c r="C56" t="s">
        <v>455</v>
      </c>
      <c r="D56">
        <v>26.94</v>
      </c>
      <c r="E56">
        <v>0.04454342984409799</v>
      </c>
      <c r="F56">
        <v>0.03448275862068995</v>
      </c>
      <c r="G56">
        <v>0.05457794330579446</v>
      </c>
      <c r="H56">
        <v>1.1494802436171</v>
      </c>
      <c r="I56">
        <v>14802.635759</v>
      </c>
      <c r="J56">
        <v>15.3905549580786</v>
      </c>
      <c r="K56">
        <v>0.5834925094503045</v>
      </c>
      <c r="M56">
        <v>34.37</v>
      </c>
      <c r="N56">
        <v>20.01</v>
      </c>
    </row>
    <row r="57" spans="1:14">
      <c r="A57" s="1" t="s">
        <v>69</v>
      </c>
      <c r="B57">
        <f>HYPERLINK("https://www.suredividend.com/sure-analysis-BF.B/","Brown-Forman Corp.")</f>
        <v>0</v>
      </c>
      <c r="C57" t="s">
        <v>453</v>
      </c>
      <c r="D57">
        <v>62.38</v>
      </c>
      <c r="E57">
        <v>0.01314523885860853</v>
      </c>
      <c r="F57">
        <v>0.09018567639257302</v>
      </c>
      <c r="G57">
        <v>0.05397654882697389</v>
      </c>
      <c r="H57">
        <v>0.7678990419127231</v>
      </c>
      <c r="I57">
        <v>32107.282527</v>
      </c>
      <c r="J57">
        <v>36.23846786390519</v>
      </c>
      <c r="K57">
        <v>0.4173364358221321</v>
      </c>
      <c r="M57">
        <v>77.73</v>
      </c>
      <c r="N57">
        <v>59.73</v>
      </c>
    </row>
    <row r="58" spans="1:14">
      <c r="A58" s="1" t="s">
        <v>70</v>
      </c>
      <c r="B58">
        <f>HYPERLINK("https://www.suredividend.com/sure-analysis-research-database/","Biogen Inc")</f>
        <v>0</v>
      </c>
      <c r="C58" t="s">
        <v>450</v>
      </c>
      <c r="D58">
        <v>266.15</v>
      </c>
      <c r="E58">
        <v>0</v>
      </c>
      <c r="F58" t="s">
        <v>461</v>
      </c>
      <c r="G58" t="s">
        <v>461</v>
      </c>
      <c r="H58">
        <v>0</v>
      </c>
      <c r="I58">
        <v>39047.245832</v>
      </c>
      <c r="J58">
        <v>12.815401172175</v>
      </c>
      <c r="K58">
        <v>0</v>
      </c>
      <c r="M58">
        <v>311.88</v>
      </c>
      <c r="N58">
        <v>187.16</v>
      </c>
    </row>
    <row r="59" spans="1:14">
      <c r="A59" s="1" t="s">
        <v>71</v>
      </c>
      <c r="B59">
        <f>HYPERLINK("https://www.suredividend.com/sure-analysis-research-database/","Bio-Rad Laboratories Inc.")</f>
        <v>0</v>
      </c>
      <c r="C59" t="s">
        <v>450</v>
      </c>
      <c r="D59">
        <v>480.29</v>
      </c>
      <c r="E59">
        <v>0</v>
      </c>
      <c r="F59" t="s">
        <v>461</v>
      </c>
      <c r="G59" t="s">
        <v>461</v>
      </c>
      <c r="H59">
        <v>0</v>
      </c>
      <c r="I59">
        <v>14387.652689</v>
      </c>
      <c r="J59" t="s">
        <v>461</v>
      </c>
      <c r="K59">
        <v>-0</v>
      </c>
      <c r="M59">
        <v>607.54</v>
      </c>
      <c r="N59">
        <v>344.63</v>
      </c>
    </row>
    <row r="60" spans="1:14">
      <c r="A60" s="1" t="s">
        <v>72</v>
      </c>
      <c r="B60">
        <f>HYPERLINK("https://www.suredividend.com/sure-analysis-BK/","Bank Of New York Mellon Corp")</f>
        <v>0</v>
      </c>
      <c r="C60" t="s">
        <v>455</v>
      </c>
      <c r="D60">
        <v>45.14</v>
      </c>
      <c r="E60">
        <v>0.03278688524590164</v>
      </c>
      <c r="F60">
        <v>0.08823529411764697</v>
      </c>
      <c r="G60">
        <v>0.0904307661344419</v>
      </c>
      <c r="H60">
        <v>1.432718275053774</v>
      </c>
      <c r="I60">
        <v>41047.367232</v>
      </c>
      <c r="J60">
        <v>17.37822490775614</v>
      </c>
      <c r="K60">
        <v>0.4940407845013013</v>
      </c>
      <c r="M60">
        <v>52.26</v>
      </c>
      <c r="N60">
        <v>35.63</v>
      </c>
    </row>
    <row r="61" spans="1:14">
      <c r="A61" s="1" t="s">
        <v>73</v>
      </c>
      <c r="B61">
        <f>HYPERLINK("https://www.suredividend.com/sure-analysis-research-database/","Booking Holdings Inc")</f>
        <v>0</v>
      </c>
      <c r="C61" t="s">
        <v>457</v>
      </c>
      <c r="D61">
        <v>2571.32</v>
      </c>
      <c r="E61">
        <v>0</v>
      </c>
      <c r="F61" t="s">
        <v>461</v>
      </c>
      <c r="G61" t="s">
        <v>461</v>
      </c>
      <c r="H61">
        <v>0</v>
      </c>
      <c r="I61">
        <v>98653.796609</v>
      </c>
      <c r="J61">
        <v>32.26088836141269</v>
      </c>
      <c r="K61">
        <v>0</v>
      </c>
      <c r="M61">
        <v>2628.25</v>
      </c>
      <c r="N61">
        <v>1616.85</v>
      </c>
    </row>
    <row r="62" spans="1:14">
      <c r="A62" s="1" t="s">
        <v>74</v>
      </c>
      <c r="B62">
        <f>HYPERLINK("https://www.suredividend.com/sure-analysis-BKR/","Baker Hughes Co")</f>
        <v>0</v>
      </c>
      <c r="C62" t="s">
        <v>459</v>
      </c>
      <c r="D62">
        <v>28.04</v>
      </c>
      <c r="E62">
        <v>0.02710413694721826</v>
      </c>
      <c r="F62">
        <v>0.05555555555555558</v>
      </c>
      <c r="G62">
        <v>0.01087212085035083</v>
      </c>
      <c r="H62">
        <v>0.7329381636294671</v>
      </c>
      <c r="I62">
        <v>32642.107517</v>
      </c>
      <c r="J62" t="s">
        <v>461</v>
      </c>
      <c r="K62" t="s">
        <v>461</v>
      </c>
      <c r="M62">
        <v>38.79</v>
      </c>
      <c r="N62">
        <v>20.16</v>
      </c>
    </row>
    <row r="63" spans="1:14">
      <c r="A63" s="1" t="s">
        <v>75</v>
      </c>
      <c r="B63">
        <f>HYPERLINK("https://www.suredividend.com/sure-analysis-BLK/","Blackrock Inc.")</f>
        <v>0</v>
      </c>
      <c r="C63" t="s">
        <v>455</v>
      </c>
      <c r="D63">
        <v>662.15</v>
      </c>
      <c r="E63">
        <v>0.0302046364116892</v>
      </c>
      <c r="F63">
        <v>0.02459016393442615</v>
      </c>
      <c r="G63">
        <v>0.1166459711038099</v>
      </c>
      <c r="H63">
        <v>14.57317717186121</v>
      </c>
      <c r="I63">
        <v>104450.335965</v>
      </c>
      <c r="J63">
        <v>20.17194591821553</v>
      </c>
      <c r="K63">
        <v>0.4288751374885582</v>
      </c>
      <c r="M63">
        <v>781.77</v>
      </c>
      <c r="N63">
        <v>499.68</v>
      </c>
    </row>
    <row r="64" spans="1:14">
      <c r="A64" s="1" t="s">
        <v>76</v>
      </c>
      <c r="B64">
        <f>HYPERLINK("https://www.suredividend.com/sure-analysis-research-database/","Ball Corp.")</f>
        <v>0</v>
      </c>
      <c r="C64" t="s">
        <v>457</v>
      </c>
      <c r="D64">
        <v>69.48999999999999</v>
      </c>
      <c r="E64">
        <v>0.010760406380108</v>
      </c>
      <c r="F64" t="s">
        <v>461</v>
      </c>
      <c r="G64" t="s">
        <v>461</v>
      </c>
      <c r="H64">
        <v>0.7477406393537671</v>
      </c>
      <c r="I64">
        <v>22222.129619</v>
      </c>
      <c r="J64">
        <v>19.77057795253558</v>
      </c>
      <c r="K64">
        <v>0.2192787798691399</v>
      </c>
      <c r="M64">
        <v>97.77</v>
      </c>
      <c r="N64">
        <v>69.09999999999999</v>
      </c>
    </row>
    <row r="65" spans="1:14">
      <c r="A65" s="1" t="s">
        <v>77</v>
      </c>
      <c r="B65">
        <f>HYPERLINK("https://www.suredividend.com/sure-analysis-BMY/","Bristol-Myers Squibb Co.")</f>
        <v>0</v>
      </c>
      <c r="C65" t="s">
        <v>450</v>
      </c>
      <c r="D65">
        <v>67.51000000000001</v>
      </c>
      <c r="E65">
        <v>0.03377277440379203</v>
      </c>
      <c r="F65">
        <v>0.05555555555555558</v>
      </c>
      <c r="G65">
        <v>0.07340341554655661</v>
      </c>
      <c r="H65">
        <v>2.165518037152859</v>
      </c>
      <c r="I65">
        <v>145445.175275</v>
      </c>
      <c r="J65">
        <v>22.98801569075391</v>
      </c>
      <c r="K65">
        <v>0.7340739108992742</v>
      </c>
      <c r="M65">
        <v>80.8</v>
      </c>
      <c r="N65">
        <v>64.94</v>
      </c>
    </row>
    <row r="66" spans="1:14">
      <c r="A66" s="1" t="s">
        <v>78</v>
      </c>
      <c r="B66">
        <f>HYPERLINK("https://www.suredividend.com/sure-analysis-BR/","Broadridge Financial Solutions, Inc.")</f>
        <v>0</v>
      </c>
      <c r="C66" t="s">
        <v>452</v>
      </c>
      <c r="D66">
        <v>136.93</v>
      </c>
      <c r="E66">
        <v>0.02117870444752793</v>
      </c>
      <c r="F66">
        <v>0.1328125</v>
      </c>
      <c r="G66">
        <v>0.1471204666826835</v>
      </c>
      <c r="H66">
        <v>2.711506079509004</v>
      </c>
      <c r="I66">
        <v>16960.740536</v>
      </c>
      <c r="J66">
        <v>31.85115593569953</v>
      </c>
      <c r="K66">
        <v>0.6038989041222725</v>
      </c>
      <c r="M66">
        <v>181.63</v>
      </c>
      <c r="N66">
        <v>130.69</v>
      </c>
    </row>
    <row r="67" spans="1:14">
      <c r="A67" s="1" t="s">
        <v>79</v>
      </c>
      <c r="B67">
        <f>HYPERLINK("https://www.suredividend.com/sure-analysis-research-database/","Berkshire Hathaway Inc.")</f>
        <v>0</v>
      </c>
      <c r="C67" t="s">
        <v>455</v>
      </c>
      <c r="D67">
        <v>303.85</v>
      </c>
      <c r="E67">
        <v>0</v>
      </c>
      <c r="F67" t="s">
        <v>461</v>
      </c>
      <c r="G67" t="s">
        <v>461</v>
      </c>
      <c r="H67">
        <v>0</v>
      </c>
      <c r="I67">
        <v>686145.044677</v>
      </c>
      <c r="J67">
        <v>0</v>
      </c>
      <c r="K67" t="s">
        <v>461</v>
      </c>
      <c r="M67">
        <v>362.1</v>
      </c>
      <c r="N67">
        <v>259.85</v>
      </c>
    </row>
    <row r="68" spans="1:14">
      <c r="A68" s="1" t="s">
        <v>80</v>
      </c>
      <c r="B68">
        <f>HYPERLINK("https://www.suredividend.com/sure-analysis-research-database/","Boston Scientific Corp.")</f>
        <v>0</v>
      </c>
      <c r="C68" t="s">
        <v>450</v>
      </c>
      <c r="D68">
        <v>48.84</v>
      </c>
      <c r="E68">
        <v>0</v>
      </c>
      <c r="F68" t="s">
        <v>461</v>
      </c>
      <c r="G68" t="s">
        <v>461</v>
      </c>
      <c r="H68">
        <v>0</v>
      </c>
      <c r="I68">
        <v>68611.18457300001</v>
      </c>
      <c r="J68">
        <v>107.20497589575</v>
      </c>
      <c r="K68">
        <v>0</v>
      </c>
      <c r="M68">
        <v>48.87</v>
      </c>
      <c r="N68">
        <v>34.98</v>
      </c>
    </row>
    <row r="69" spans="1:14">
      <c r="A69" s="1" t="s">
        <v>81</v>
      </c>
      <c r="B69">
        <f>HYPERLINK("https://www.suredividend.com/sure-analysis-BWA/","BorgWarner Inc")</f>
        <v>0</v>
      </c>
      <c r="C69" t="s">
        <v>457</v>
      </c>
      <c r="D69">
        <v>47.21</v>
      </c>
      <c r="E69">
        <v>0.01440372802372379</v>
      </c>
      <c r="F69">
        <v>0</v>
      </c>
      <c r="G69">
        <v>0</v>
      </c>
      <c r="H69">
        <v>0.6761478450835631</v>
      </c>
      <c r="I69">
        <v>11896.18605</v>
      </c>
      <c r="J69">
        <v>12.6018920017161</v>
      </c>
      <c r="K69">
        <v>0.169460612802898</v>
      </c>
      <c r="M69">
        <v>51.14</v>
      </c>
      <c r="N69">
        <v>30.91</v>
      </c>
    </row>
    <row r="70" spans="1:14">
      <c r="A70" s="1" t="s">
        <v>82</v>
      </c>
      <c r="B70">
        <f>HYPERLINK("https://www.suredividend.com/sure-analysis-BXP/","Boston Properties, Inc.")</f>
        <v>0</v>
      </c>
      <c r="C70" t="s">
        <v>458</v>
      </c>
      <c r="D70">
        <v>53.59</v>
      </c>
      <c r="E70">
        <v>0.0731479753685389</v>
      </c>
      <c r="F70">
        <v>0</v>
      </c>
      <c r="G70">
        <v>0.04142312668144399</v>
      </c>
      <c r="H70">
        <v>3.841611751504421</v>
      </c>
      <c r="I70">
        <v>10296.978613</v>
      </c>
      <c r="J70">
        <v>12.12911832342891</v>
      </c>
      <c r="K70">
        <v>0.7114095836119297</v>
      </c>
      <c r="M70">
        <v>127.41</v>
      </c>
      <c r="N70">
        <v>63.39</v>
      </c>
    </row>
    <row r="71" spans="1:14">
      <c r="A71" s="1" t="s">
        <v>83</v>
      </c>
      <c r="B71">
        <f>HYPERLINK("https://www.suredividend.com/sure-analysis-C/","Citigroup Inc")</f>
        <v>0</v>
      </c>
      <c r="C71" t="s">
        <v>455</v>
      </c>
      <c r="D71">
        <v>45.07</v>
      </c>
      <c r="E71">
        <v>0.04526292433991569</v>
      </c>
      <c r="F71">
        <v>0</v>
      </c>
      <c r="G71">
        <v>0.09770094871374502</v>
      </c>
      <c r="H71">
        <v>2.00862723974275</v>
      </c>
      <c r="I71">
        <v>101753.346025</v>
      </c>
      <c r="J71">
        <v>7.427251534642336</v>
      </c>
      <c r="K71">
        <v>0.288181813449462</v>
      </c>
      <c r="M71">
        <v>55.89</v>
      </c>
      <c r="N71">
        <v>39.16</v>
      </c>
    </row>
    <row r="72" spans="1:14">
      <c r="A72" s="1" t="s">
        <v>84</v>
      </c>
      <c r="B72">
        <f>HYPERLINK("https://www.suredividend.com/sure-analysis-CAG/","Conagra Brands Inc")</f>
        <v>0</v>
      </c>
      <c r="C72" t="s">
        <v>453</v>
      </c>
      <c r="D72">
        <v>36.42</v>
      </c>
      <c r="E72">
        <v>0.03624382207578253</v>
      </c>
      <c r="F72">
        <v>0.05600000000000005</v>
      </c>
      <c r="G72">
        <v>0.09202102764142772</v>
      </c>
      <c r="H72">
        <v>1.285098921343473</v>
      </c>
      <c r="I72">
        <v>17082.150436</v>
      </c>
      <c r="J72">
        <v>25.05816405433476</v>
      </c>
      <c r="K72">
        <v>0.9049992403827276</v>
      </c>
      <c r="M72">
        <v>40.93</v>
      </c>
      <c r="N72">
        <v>28.98</v>
      </c>
    </row>
    <row r="73" spans="1:14">
      <c r="A73" s="1" t="s">
        <v>85</v>
      </c>
      <c r="B73">
        <f>HYPERLINK("https://www.suredividend.com/sure-analysis-CAH/","Cardinal Health, Inc.")</f>
        <v>0</v>
      </c>
      <c r="C73" t="s">
        <v>450</v>
      </c>
      <c r="D73">
        <v>72.26000000000001</v>
      </c>
      <c r="E73">
        <v>0.02740105175754221</v>
      </c>
      <c r="F73">
        <v>0.009983700081499514</v>
      </c>
      <c r="G73">
        <v>0.01400528535156087</v>
      </c>
      <c r="H73">
        <v>1.956809231659648</v>
      </c>
      <c r="I73">
        <v>19374.457237</v>
      </c>
      <c r="J73" t="s">
        <v>461</v>
      </c>
      <c r="K73" t="s">
        <v>461</v>
      </c>
      <c r="M73">
        <v>81.05</v>
      </c>
      <c r="N73">
        <v>48.57</v>
      </c>
    </row>
    <row r="74" spans="1:14">
      <c r="A74" s="1" t="s">
        <v>86</v>
      </c>
      <c r="B74">
        <f>HYPERLINK("https://www.suredividend.com/sure-analysis-CARR/","Carrier Global Corp")</f>
        <v>0</v>
      </c>
      <c r="C74" t="s">
        <v>451</v>
      </c>
      <c r="D74">
        <v>45.2</v>
      </c>
      <c r="E74">
        <v>0.0163716814159292</v>
      </c>
      <c r="F74" t="s">
        <v>461</v>
      </c>
      <c r="G74" t="s">
        <v>461</v>
      </c>
      <c r="H74">
        <v>0.6311441463455041</v>
      </c>
      <c r="I74">
        <v>39865.841748</v>
      </c>
      <c r="J74">
        <v>11.28065697458404</v>
      </c>
      <c r="K74">
        <v>0.1539375966696352</v>
      </c>
      <c r="M74">
        <v>47.92</v>
      </c>
      <c r="N74">
        <v>32.82</v>
      </c>
    </row>
    <row r="75" spans="1:14">
      <c r="A75" s="1" t="s">
        <v>87</v>
      </c>
      <c r="B75">
        <f>HYPERLINK("https://www.suredividend.com/sure-analysis-CAT/","Caterpillar Inc.")</f>
        <v>0</v>
      </c>
      <c r="C75" t="s">
        <v>451</v>
      </c>
      <c r="D75">
        <v>224.92</v>
      </c>
      <c r="E75">
        <v>0.02134092121643251</v>
      </c>
      <c r="F75">
        <v>0.08108108108108092</v>
      </c>
      <c r="G75">
        <v>0.08997698704834534</v>
      </c>
      <c r="H75">
        <v>4.670468570311398</v>
      </c>
      <c r="I75">
        <v>131828.167052</v>
      </c>
      <c r="J75">
        <v>19.66117331124534</v>
      </c>
      <c r="K75">
        <v>0.369499095752484</v>
      </c>
      <c r="M75">
        <v>266.04</v>
      </c>
      <c r="N75">
        <v>158.78</v>
      </c>
    </row>
    <row r="76" spans="1:14">
      <c r="A76" s="1" t="s">
        <v>88</v>
      </c>
      <c r="B76">
        <f>HYPERLINK("https://www.suredividend.com/sure-analysis-CB/","Chubb Limited")</f>
        <v>0</v>
      </c>
      <c r="C76" t="s">
        <v>455</v>
      </c>
      <c r="D76">
        <v>194.29</v>
      </c>
      <c r="E76">
        <v>0.01708785835606567</v>
      </c>
      <c r="F76">
        <v>0.03750000000000009</v>
      </c>
      <c r="G76">
        <v>0.02600870726911864</v>
      </c>
      <c r="H76">
        <v>3.270304337105089</v>
      </c>
      <c r="I76">
        <v>85637.158044</v>
      </c>
      <c r="J76">
        <v>16.11841860410314</v>
      </c>
      <c r="K76">
        <v>0.2607898195458604</v>
      </c>
      <c r="M76">
        <v>231.37</v>
      </c>
      <c r="N76">
        <v>173.11</v>
      </c>
    </row>
    <row r="77" spans="1:14">
      <c r="A77" s="1" t="s">
        <v>89</v>
      </c>
      <c r="B77">
        <f>HYPERLINK("https://www.suredividend.com/sure-analysis-CBOE/","Cboe Global Markets Inc.")</f>
        <v>0</v>
      </c>
      <c r="C77" t="s">
        <v>455</v>
      </c>
      <c r="D77">
        <v>128.38</v>
      </c>
      <c r="E77">
        <v>0.01557875058420315</v>
      </c>
      <c r="F77">
        <v>0.04166666666666674</v>
      </c>
      <c r="G77">
        <v>0.1311527300905295</v>
      </c>
      <c r="H77">
        <v>1.968399960117828</v>
      </c>
      <c r="I77">
        <v>13366.925605</v>
      </c>
      <c r="J77">
        <v>57.09921232584366</v>
      </c>
      <c r="K77">
        <v>0.8988127671770905</v>
      </c>
      <c r="M77">
        <v>131.5</v>
      </c>
      <c r="N77">
        <v>102.13</v>
      </c>
    </row>
    <row r="78" spans="1:14">
      <c r="A78" s="1" t="s">
        <v>90</v>
      </c>
      <c r="B78">
        <f>HYPERLINK("https://www.suredividend.com/sure-analysis-research-database/","CBRE Group Inc")</f>
        <v>0</v>
      </c>
      <c r="C78" t="s">
        <v>458</v>
      </c>
      <c r="D78">
        <v>75.17</v>
      </c>
      <c r="E78">
        <v>0</v>
      </c>
      <c r="F78" t="s">
        <v>461</v>
      </c>
      <c r="G78" t="s">
        <v>461</v>
      </c>
      <c r="H78">
        <v>0</v>
      </c>
      <c r="I78">
        <v>26625.919437</v>
      </c>
      <c r="J78">
        <v>18.91891928712421</v>
      </c>
      <c r="K78">
        <v>0</v>
      </c>
      <c r="M78">
        <v>94.20999999999999</v>
      </c>
      <c r="N78">
        <v>66.31</v>
      </c>
    </row>
    <row r="79" spans="1:14">
      <c r="A79" s="1" t="s">
        <v>91</v>
      </c>
      <c r="B79">
        <f>HYPERLINK("https://www.suredividend.com/sure-analysis-CCI/","Crown Castle Inc")</f>
        <v>0</v>
      </c>
      <c r="C79" t="s">
        <v>458</v>
      </c>
      <c r="D79">
        <v>129.49</v>
      </c>
      <c r="E79">
        <v>0.04834350142868175</v>
      </c>
      <c r="F79">
        <v>0.06462585034013602</v>
      </c>
      <c r="G79">
        <v>0.08309115338903572</v>
      </c>
      <c r="H79">
        <v>5.889352860790911</v>
      </c>
      <c r="I79">
        <v>57001.364836</v>
      </c>
      <c r="J79">
        <v>34.03066557369552</v>
      </c>
      <c r="K79">
        <v>1.525739083106454</v>
      </c>
      <c r="M79">
        <v>194.36</v>
      </c>
      <c r="N79">
        <v>120.4</v>
      </c>
    </row>
    <row r="80" spans="1:14">
      <c r="A80" s="1" t="s">
        <v>92</v>
      </c>
      <c r="B80">
        <f>HYPERLINK("https://www.suredividend.com/sure-analysis-research-database/","Carnival Corp.")</f>
        <v>0</v>
      </c>
      <c r="C80" t="s">
        <v>457</v>
      </c>
      <c r="D80">
        <v>9.119999999999999</v>
      </c>
      <c r="E80">
        <v>0</v>
      </c>
      <c r="F80" t="s">
        <v>461</v>
      </c>
      <c r="G80" t="s">
        <v>461</v>
      </c>
      <c r="H80">
        <v>0</v>
      </c>
      <c r="I80">
        <v>12370.757412</v>
      </c>
      <c r="J80" t="s">
        <v>461</v>
      </c>
      <c r="K80">
        <v>-0</v>
      </c>
      <c r="M80">
        <v>21.5</v>
      </c>
      <c r="N80">
        <v>6.11</v>
      </c>
    </row>
    <row r="81" spans="1:14">
      <c r="A81" s="1" t="s">
        <v>93</v>
      </c>
      <c r="B81">
        <f>HYPERLINK("https://www.suredividend.com/sure-analysis-research-database/","Cadence Design Systems, Inc.")</f>
        <v>0</v>
      </c>
      <c r="C81" t="s">
        <v>452</v>
      </c>
      <c r="D81">
        <v>207.88</v>
      </c>
      <c r="E81">
        <v>0</v>
      </c>
      <c r="F81" t="s">
        <v>461</v>
      </c>
      <c r="G81" t="s">
        <v>461</v>
      </c>
      <c r="H81">
        <v>0</v>
      </c>
      <c r="I81">
        <v>53632.71</v>
      </c>
      <c r="J81">
        <v>63.1751971842931</v>
      </c>
      <c r="K81">
        <v>0</v>
      </c>
      <c r="M81">
        <v>202.96</v>
      </c>
      <c r="N81">
        <v>132.32</v>
      </c>
    </row>
    <row r="82" spans="1:14">
      <c r="A82" s="1" t="s">
        <v>94</v>
      </c>
      <c r="B82">
        <f>HYPERLINK("https://www.suredividend.com/sure-analysis-research-database/","CDW Corp")</f>
        <v>0</v>
      </c>
      <c r="C82" t="s">
        <v>452</v>
      </c>
      <c r="D82">
        <v>194.49</v>
      </c>
      <c r="E82">
        <v>0.010766931050004</v>
      </c>
      <c r="F82">
        <v>0.1799999999999999</v>
      </c>
      <c r="G82">
        <v>0.2294943671353116</v>
      </c>
      <c r="H82">
        <v>2.170936307612439</v>
      </c>
      <c r="I82">
        <v>27339.325436</v>
      </c>
      <c r="J82">
        <v>24.53057464</v>
      </c>
      <c r="K82">
        <v>0.2666997920899802</v>
      </c>
      <c r="M82">
        <v>214.38</v>
      </c>
      <c r="N82">
        <v>147.02</v>
      </c>
    </row>
    <row r="83" spans="1:14">
      <c r="A83" s="1" t="s">
        <v>95</v>
      </c>
      <c r="B83">
        <f>HYPERLINK("https://www.suredividend.com/sure-analysis-CE/","Celanese Corp")</f>
        <v>0</v>
      </c>
      <c r="C83" t="s">
        <v>456</v>
      </c>
      <c r="D83">
        <v>105.17</v>
      </c>
      <c r="E83">
        <v>0.02662356185223923</v>
      </c>
      <c r="F83">
        <v>0.02941176470588247</v>
      </c>
      <c r="G83">
        <v>0.05327276858309049</v>
      </c>
      <c r="H83">
        <v>2.734267417910586</v>
      </c>
      <c r="I83">
        <v>13509.367901</v>
      </c>
      <c r="J83">
        <v>7.132718004815207</v>
      </c>
      <c r="K83">
        <v>0.1576855488991111</v>
      </c>
      <c r="M83">
        <v>158.33</v>
      </c>
      <c r="N83">
        <v>85.56999999999999</v>
      </c>
    </row>
    <row r="84" spans="1:14">
      <c r="A84" s="1" t="s">
        <v>96</v>
      </c>
      <c r="B84">
        <f>HYPERLINK("https://www.suredividend.com/sure-analysis-CF/","CF Industries Holdings Inc")</f>
        <v>0</v>
      </c>
      <c r="C84" t="s">
        <v>456</v>
      </c>
      <c r="D84">
        <v>74.69</v>
      </c>
      <c r="E84">
        <v>0.02142187709198019</v>
      </c>
      <c r="F84">
        <v>0.3333333333333333</v>
      </c>
      <c r="G84">
        <v>0.05922384104881218</v>
      </c>
      <c r="H84">
        <v>1.589825778397973</v>
      </c>
      <c r="I84">
        <v>16867.400088</v>
      </c>
      <c r="J84">
        <v>5.041063983335326</v>
      </c>
      <c r="K84">
        <v>0.09699974242818626</v>
      </c>
      <c r="M84">
        <v>118.58</v>
      </c>
      <c r="N84">
        <v>78.2</v>
      </c>
    </row>
    <row r="85" spans="1:14">
      <c r="A85" s="1" t="s">
        <v>97</v>
      </c>
      <c r="B85">
        <f>HYPERLINK("https://www.suredividend.com/sure-analysis-CFG/","Citizens Financial Group Inc")</f>
        <v>0</v>
      </c>
      <c r="C85" t="s">
        <v>455</v>
      </c>
      <c r="D85">
        <v>33.02</v>
      </c>
      <c r="E85">
        <v>0.05087825560266505</v>
      </c>
      <c r="F85">
        <v>0.07692307692307687</v>
      </c>
      <c r="G85">
        <v>0.09238846414037294</v>
      </c>
      <c r="H85">
        <v>1.625601113186779</v>
      </c>
      <c r="I85">
        <v>19838.682731</v>
      </c>
      <c r="J85">
        <v>10.12177690346939</v>
      </c>
      <c r="K85">
        <v>0.3964880763870193</v>
      </c>
      <c r="M85">
        <v>48.89</v>
      </c>
      <c r="N85">
        <v>32.01</v>
      </c>
    </row>
    <row r="86" spans="1:14">
      <c r="A86" s="1" t="s">
        <v>98</v>
      </c>
      <c r="B86">
        <f>HYPERLINK("https://www.suredividend.com/sure-analysis-CHD/","Church &amp; Dwight Co., Inc.")</f>
        <v>0</v>
      </c>
      <c r="C86" t="s">
        <v>453</v>
      </c>
      <c r="D86">
        <v>84.54000000000001</v>
      </c>
      <c r="E86">
        <v>0.01289330494440502</v>
      </c>
      <c r="F86">
        <v>0.03809523809523818</v>
      </c>
      <c r="G86">
        <v>0.04611986494485665</v>
      </c>
      <c r="H86">
        <v>1.054800746289309</v>
      </c>
      <c r="I86">
        <v>20553.108175</v>
      </c>
      <c r="J86">
        <v>49.65718331746799</v>
      </c>
      <c r="K86">
        <v>0.6278575870769696</v>
      </c>
      <c r="M86">
        <v>103.97</v>
      </c>
      <c r="N86">
        <v>69.68000000000001</v>
      </c>
    </row>
    <row r="87" spans="1:14">
      <c r="A87" s="1" t="s">
        <v>99</v>
      </c>
      <c r="B87">
        <f>HYPERLINK("https://www.suredividend.com/sure-analysis-CHRW/","C.H. Robinson Worldwide, Inc.")</f>
        <v>0</v>
      </c>
      <c r="C87" t="s">
        <v>451</v>
      </c>
      <c r="D87">
        <v>96.62</v>
      </c>
      <c r="E87">
        <v>0.02525357068929828</v>
      </c>
      <c r="F87">
        <v>0.1090909090909089</v>
      </c>
      <c r="G87">
        <v>0.05806999970214632</v>
      </c>
      <c r="H87">
        <v>2.241942877390161</v>
      </c>
      <c r="I87">
        <v>11690.656346</v>
      </c>
      <c r="J87">
        <v>12.42993942261973</v>
      </c>
      <c r="K87">
        <v>0.3029652537013731</v>
      </c>
      <c r="L87">
        <v>0.7505753287846411</v>
      </c>
      <c r="M87">
        <v>119.91</v>
      </c>
      <c r="N87">
        <v>86.06999999999999</v>
      </c>
    </row>
    <row r="88" spans="1:14">
      <c r="A88" s="1" t="s">
        <v>100</v>
      </c>
      <c r="B88">
        <f>HYPERLINK("https://www.suredividend.com/sure-analysis-research-database/","Charter Communications Inc.")</f>
        <v>0</v>
      </c>
      <c r="C88" t="s">
        <v>460</v>
      </c>
      <c r="D88">
        <v>352.29</v>
      </c>
      <c r="E88">
        <v>0</v>
      </c>
      <c r="F88" t="s">
        <v>461</v>
      </c>
      <c r="G88" t="s">
        <v>461</v>
      </c>
      <c r="H88">
        <v>0</v>
      </c>
      <c r="I88">
        <v>56477.963492</v>
      </c>
      <c r="J88">
        <v>11.17269307459545</v>
      </c>
      <c r="K88">
        <v>0</v>
      </c>
      <c r="M88">
        <v>583.72</v>
      </c>
      <c r="N88">
        <v>297.66</v>
      </c>
    </row>
    <row r="89" spans="1:14">
      <c r="A89" s="1" t="s">
        <v>101</v>
      </c>
      <c r="B89">
        <f>HYPERLINK("https://www.suredividend.com/sure-analysis-CI/","Cigna Group (The)")</f>
        <v>0</v>
      </c>
      <c r="C89" t="s">
        <v>450</v>
      </c>
      <c r="D89">
        <v>276.62</v>
      </c>
      <c r="E89">
        <v>0.01778613260067963</v>
      </c>
      <c r="F89" t="s">
        <v>461</v>
      </c>
      <c r="G89" t="s">
        <v>461</v>
      </c>
      <c r="H89">
        <v>4.463659441157708</v>
      </c>
      <c r="I89">
        <v>85247.300452</v>
      </c>
      <c r="J89">
        <v>12.78453816013948</v>
      </c>
      <c r="K89">
        <v>0.2095614761106905</v>
      </c>
      <c r="M89">
        <v>340.11</v>
      </c>
      <c r="N89">
        <v>222.48</v>
      </c>
    </row>
    <row r="90" spans="1:14">
      <c r="A90" s="1" t="s">
        <v>102</v>
      </c>
      <c r="B90">
        <f>HYPERLINK("https://www.suredividend.com/sure-analysis-CINF/","Cincinnati Financial Corp.")</f>
        <v>0</v>
      </c>
      <c r="C90" t="s">
        <v>455</v>
      </c>
      <c r="D90">
        <v>111.27</v>
      </c>
      <c r="E90">
        <v>0.02696144513345915</v>
      </c>
      <c r="F90">
        <v>0.08695652173913038</v>
      </c>
      <c r="G90">
        <v>0.0719069301576436</v>
      </c>
      <c r="H90">
        <v>2.733139092982854</v>
      </c>
      <c r="I90">
        <v>19035.541709</v>
      </c>
      <c r="J90" t="s">
        <v>461</v>
      </c>
      <c r="K90" t="s">
        <v>461</v>
      </c>
      <c r="M90">
        <v>140.48</v>
      </c>
      <c r="N90">
        <v>88.09</v>
      </c>
    </row>
    <row r="91" spans="1:14">
      <c r="A91" s="1" t="s">
        <v>103</v>
      </c>
      <c r="B91">
        <f>HYPERLINK("https://www.suredividend.com/sure-analysis-CL/","Colgate-Palmolive Co.")</f>
        <v>0</v>
      </c>
      <c r="C91" t="s">
        <v>453</v>
      </c>
      <c r="D91">
        <v>72.38</v>
      </c>
      <c r="E91">
        <v>0.02652666482453717</v>
      </c>
      <c r="F91">
        <v>0.04444444444444451</v>
      </c>
      <c r="G91">
        <v>0.02275053066212362</v>
      </c>
      <c r="H91">
        <v>1.862255252757989</v>
      </c>
      <c r="I91">
        <v>61406.511521</v>
      </c>
      <c r="J91">
        <v>34.40140701428572</v>
      </c>
      <c r="K91">
        <v>0.8742982407314502</v>
      </c>
      <c r="M91">
        <v>82.73999999999999</v>
      </c>
      <c r="N91">
        <v>66.97</v>
      </c>
    </row>
    <row r="92" spans="1:14">
      <c r="A92" s="1" t="s">
        <v>104</v>
      </c>
      <c r="B92">
        <f>HYPERLINK("https://www.suredividend.com/sure-analysis-CLX/","Clorox Co.")</f>
        <v>0</v>
      </c>
      <c r="C92" t="s">
        <v>453</v>
      </c>
      <c r="D92">
        <v>156.73</v>
      </c>
      <c r="E92">
        <v>0.03011548522937536</v>
      </c>
      <c r="F92">
        <v>0.01724137931034475</v>
      </c>
      <c r="G92">
        <v>0.0421306158714021</v>
      </c>
      <c r="H92">
        <v>4.642052470367682</v>
      </c>
      <c r="I92">
        <v>19248.88953</v>
      </c>
      <c r="J92">
        <v>44.25032075917242</v>
      </c>
      <c r="K92">
        <v>1.322522071329824</v>
      </c>
      <c r="M92">
        <v>157.77</v>
      </c>
      <c r="N92">
        <v>117.54</v>
      </c>
    </row>
    <row r="93" spans="1:14">
      <c r="A93" s="1" t="s">
        <v>105</v>
      </c>
      <c r="B93">
        <f>HYPERLINK("https://www.suredividend.com/sure-analysis-CMCSA/","Comcast Corp")</f>
        <v>0</v>
      </c>
      <c r="C93" t="s">
        <v>460</v>
      </c>
      <c r="D93">
        <v>36.99</v>
      </c>
      <c r="E93">
        <v>0.03135982698026493</v>
      </c>
      <c r="F93">
        <v>0.08000000000000007</v>
      </c>
      <c r="G93">
        <v>0.07280807218764251</v>
      </c>
      <c r="H93">
        <v>1.075239806190308</v>
      </c>
      <c r="I93">
        <v>156612.16301</v>
      </c>
      <c r="J93">
        <v>29.15884621303109</v>
      </c>
      <c r="K93">
        <v>0.8886279390002547</v>
      </c>
      <c r="M93">
        <v>47.99</v>
      </c>
      <c r="N93">
        <v>28.39</v>
      </c>
    </row>
    <row r="94" spans="1:14">
      <c r="A94" s="1" t="s">
        <v>106</v>
      </c>
      <c r="B94">
        <f>HYPERLINK("https://www.suredividend.com/sure-analysis-CME/","CME Group Inc")</f>
        <v>0</v>
      </c>
      <c r="C94" t="s">
        <v>455</v>
      </c>
      <c r="D94">
        <v>182.71</v>
      </c>
      <c r="E94">
        <v>0.02408187838651415</v>
      </c>
      <c r="F94">
        <v>0.1000000000000001</v>
      </c>
      <c r="G94">
        <v>0.0796084730466029</v>
      </c>
      <c r="H94">
        <v>8.365051555486657</v>
      </c>
      <c r="I94">
        <v>66651.994985</v>
      </c>
      <c r="J94">
        <v>25.08354470313488</v>
      </c>
      <c r="K94">
        <v>1.130412372363062</v>
      </c>
      <c r="M94">
        <v>241.62</v>
      </c>
      <c r="N94">
        <v>161.33</v>
      </c>
    </row>
    <row r="95" spans="1:14">
      <c r="A95" s="1" t="s">
        <v>107</v>
      </c>
      <c r="B95">
        <f>HYPERLINK("https://www.suredividend.com/sure-analysis-research-database/","Chipotle Mexican Grill")</f>
        <v>0</v>
      </c>
      <c r="C95" t="s">
        <v>457</v>
      </c>
      <c r="D95">
        <v>1627.96</v>
      </c>
      <c r="E95">
        <v>0</v>
      </c>
      <c r="F95" t="s">
        <v>461</v>
      </c>
      <c r="G95" t="s">
        <v>461</v>
      </c>
      <c r="H95">
        <v>0</v>
      </c>
      <c r="I95">
        <v>41708.98897</v>
      </c>
      <c r="J95">
        <v>46.38965919290491</v>
      </c>
      <c r="K95">
        <v>0</v>
      </c>
      <c r="M95">
        <v>1754.56</v>
      </c>
      <c r="N95">
        <v>1196.28</v>
      </c>
    </row>
    <row r="96" spans="1:14">
      <c r="A96" s="1" t="s">
        <v>108</v>
      </c>
      <c r="B96">
        <f>HYPERLINK("https://www.suredividend.com/sure-analysis-CMI/","Cummins Inc.")</f>
        <v>0</v>
      </c>
      <c r="C96" t="s">
        <v>451</v>
      </c>
      <c r="D96">
        <v>234.37</v>
      </c>
      <c r="E96">
        <v>0.02679523829841703</v>
      </c>
      <c r="F96">
        <v>0.08275862068965534</v>
      </c>
      <c r="G96">
        <v>0.07769329136442726</v>
      </c>
      <c r="H96">
        <v>6.102568098150506</v>
      </c>
      <c r="I96">
        <v>36483.298563</v>
      </c>
      <c r="J96">
        <v>16.96108719821478</v>
      </c>
      <c r="K96">
        <v>0.4036090012004303</v>
      </c>
      <c r="M96">
        <v>258.5</v>
      </c>
      <c r="N96">
        <v>180.73</v>
      </c>
    </row>
    <row r="97" spans="1:14">
      <c r="A97" s="1" t="s">
        <v>109</v>
      </c>
      <c r="B97">
        <f>HYPERLINK("https://www.suredividend.com/sure-analysis-CMS/","CMS Energy Corporation")</f>
        <v>0</v>
      </c>
      <c r="C97" t="s">
        <v>454</v>
      </c>
      <c r="D97">
        <v>59.95</v>
      </c>
      <c r="E97">
        <v>0.03252710592160133</v>
      </c>
      <c r="F97">
        <v>0.05978260869565233</v>
      </c>
      <c r="G97">
        <v>0.06399531281508364</v>
      </c>
      <c r="H97">
        <v>1.846018086250389</v>
      </c>
      <c r="I97">
        <v>17449.363268</v>
      </c>
      <c r="J97">
        <v>21.09959282766626</v>
      </c>
      <c r="K97">
        <v>0.6477256442983821</v>
      </c>
      <c r="M97">
        <v>71.61</v>
      </c>
      <c r="N97">
        <v>51.57</v>
      </c>
    </row>
    <row r="98" spans="1:14">
      <c r="A98" s="1" t="s">
        <v>110</v>
      </c>
      <c r="B98">
        <f>HYPERLINK("https://www.suredividend.com/sure-analysis-research-database/","Centene Corp.")</f>
        <v>0</v>
      </c>
      <c r="C98" t="s">
        <v>450</v>
      </c>
      <c r="D98">
        <v>65.29000000000001</v>
      </c>
      <c r="E98">
        <v>0</v>
      </c>
      <c r="F98" t="s">
        <v>461</v>
      </c>
      <c r="G98" t="s">
        <v>461</v>
      </c>
      <c r="H98">
        <v>0</v>
      </c>
      <c r="I98">
        <v>38075.84309</v>
      </c>
      <c r="J98">
        <v>31.67707411824459</v>
      </c>
      <c r="K98">
        <v>0</v>
      </c>
      <c r="M98">
        <v>98.53</v>
      </c>
      <c r="N98">
        <v>67.42</v>
      </c>
    </row>
    <row r="99" spans="1:14">
      <c r="A99" s="1" t="s">
        <v>111</v>
      </c>
      <c r="B99">
        <f>HYPERLINK("https://www.suredividend.com/sure-analysis-CNP/","Centerpoint Energy Inc.")</f>
        <v>0</v>
      </c>
      <c r="C99" t="s">
        <v>454</v>
      </c>
      <c r="D99">
        <v>28.24</v>
      </c>
      <c r="E99">
        <v>0.02691218130311615</v>
      </c>
      <c r="F99">
        <v>0.1176470588235294</v>
      </c>
      <c r="G99">
        <v>-0.07296074886636328</v>
      </c>
      <c r="H99">
        <v>0.9034924999504781</v>
      </c>
      <c r="I99">
        <v>17892.297649</v>
      </c>
      <c r="J99">
        <v>17.75029528654762</v>
      </c>
      <c r="K99">
        <v>0.568234276698414</v>
      </c>
      <c r="M99">
        <v>33.08</v>
      </c>
      <c r="N99">
        <v>24.71</v>
      </c>
    </row>
    <row r="100" spans="1:14">
      <c r="A100" s="1" t="s">
        <v>112</v>
      </c>
      <c r="B100">
        <f>HYPERLINK("https://www.suredividend.com/sure-analysis-COF/","Capital One Financial Corp.")</f>
        <v>0</v>
      </c>
      <c r="C100" t="s">
        <v>455</v>
      </c>
      <c r="D100">
        <v>94.56</v>
      </c>
      <c r="E100">
        <v>0.02538071065989848</v>
      </c>
      <c r="F100">
        <v>0</v>
      </c>
      <c r="G100">
        <v>0.08447177119769855</v>
      </c>
      <c r="H100">
        <v>2.371321645577174</v>
      </c>
      <c r="I100">
        <v>38466.189258</v>
      </c>
      <c r="J100">
        <v>5.460844585238501</v>
      </c>
      <c r="K100">
        <v>0.1324021019306071</v>
      </c>
      <c r="M100">
        <v>140.86</v>
      </c>
      <c r="N100">
        <v>86.55</v>
      </c>
    </row>
    <row r="101" spans="1:14">
      <c r="A101" s="1" t="s">
        <v>113</v>
      </c>
      <c r="B101">
        <f>HYPERLINK("https://www.suredividend.com/sure-analysis-research-database/","Cooper Companies, Inc.")</f>
        <v>0</v>
      </c>
      <c r="C101" t="s">
        <v>450</v>
      </c>
      <c r="D101">
        <v>350.83</v>
      </c>
      <c r="E101">
        <v>0.000170539136461</v>
      </c>
      <c r="F101" t="s">
        <v>461</v>
      </c>
      <c r="G101" t="s">
        <v>461</v>
      </c>
      <c r="H101">
        <v>0.059997373598635</v>
      </c>
      <c r="I101">
        <v>17388.328865</v>
      </c>
      <c r="J101">
        <v>45.08252233704952</v>
      </c>
      <c r="K101">
        <v>0.007731620309102449</v>
      </c>
      <c r="M101">
        <v>429.81</v>
      </c>
      <c r="N101">
        <v>244.19</v>
      </c>
    </row>
    <row r="102" spans="1:14">
      <c r="A102" s="1" t="s">
        <v>114</v>
      </c>
      <c r="B102">
        <f>HYPERLINK("https://www.suredividend.com/sure-analysis-COP/","Conoco Phillips")</f>
        <v>0</v>
      </c>
      <c r="C102" t="s">
        <v>459</v>
      </c>
      <c r="D102">
        <v>99.70999999999999</v>
      </c>
      <c r="E102">
        <v>0.02045933206298265</v>
      </c>
      <c r="F102">
        <v>-0.6357142857142857</v>
      </c>
      <c r="G102">
        <v>0.03959498820755258</v>
      </c>
      <c r="H102">
        <v>4.944744366935354</v>
      </c>
      <c r="I102">
        <v>132407.878308</v>
      </c>
      <c r="J102">
        <v>7.088216183520342</v>
      </c>
      <c r="K102">
        <v>0.3384493064295246</v>
      </c>
      <c r="M102">
        <v>136.5</v>
      </c>
      <c r="N102">
        <v>75.78</v>
      </c>
    </row>
    <row r="103" spans="1:14">
      <c r="A103" s="1" t="s">
        <v>115</v>
      </c>
      <c r="B103">
        <f>HYPERLINK("https://www.suredividend.com/sure-analysis-COST/","Costco Wholesale Corp")</f>
        <v>0</v>
      </c>
      <c r="C103" t="s">
        <v>453</v>
      </c>
      <c r="D103">
        <v>490.85</v>
      </c>
      <c r="E103">
        <v>0.007334216155648365</v>
      </c>
      <c r="F103">
        <v>0.139240506329114</v>
      </c>
      <c r="G103">
        <v>0.09565425774785385</v>
      </c>
      <c r="H103">
        <v>3.590524641960494</v>
      </c>
      <c r="I103">
        <v>210886.661649</v>
      </c>
      <c r="J103">
        <v>35.84069708520734</v>
      </c>
      <c r="K103">
        <v>0.2713926411156836</v>
      </c>
      <c r="M103">
        <v>608.0599999999999</v>
      </c>
      <c r="N103">
        <v>404.37</v>
      </c>
    </row>
    <row r="104" spans="1:14">
      <c r="A104" s="1" t="s">
        <v>116</v>
      </c>
      <c r="B104">
        <f>HYPERLINK("https://www.suredividend.com/sure-analysis-CPB/","Campbell Soup Co.")</f>
        <v>0</v>
      </c>
      <c r="C104" t="s">
        <v>453</v>
      </c>
      <c r="D104">
        <v>54.08</v>
      </c>
      <c r="E104">
        <v>0.02736686390532544</v>
      </c>
      <c r="F104">
        <v>0</v>
      </c>
      <c r="G104">
        <v>0.0111759598354646</v>
      </c>
      <c r="H104">
        <v>1.464236120833399</v>
      </c>
      <c r="I104">
        <v>15695.095029</v>
      </c>
      <c r="J104">
        <v>19.7920492172005</v>
      </c>
      <c r="K104">
        <v>0.5567437721799996</v>
      </c>
      <c r="M104">
        <v>57.39</v>
      </c>
      <c r="N104">
        <v>40.48</v>
      </c>
    </row>
    <row r="105" spans="1:14">
      <c r="A105" s="1" t="s">
        <v>117</v>
      </c>
      <c r="B105">
        <f>HYPERLINK("https://www.suredividend.com/sure-analysis-research-database/","Copart, Inc.")</f>
        <v>0</v>
      </c>
      <c r="C105" t="s">
        <v>451</v>
      </c>
      <c r="D105">
        <v>71.17</v>
      </c>
      <c r="E105">
        <v>0</v>
      </c>
      <c r="F105" t="s">
        <v>461</v>
      </c>
      <c r="G105" t="s">
        <v>461</v>
      </c>
      <c r="H105">
        <v>0</v>
      </c>
      <c r="I105">
        <v>34038.237493</v>
      </c>
      <c r="J105">
        <v>31.4621191746959</v>
      </c>
      <c r="K105">
        <v>0</v>
      </c>
      <c r="M105">
        <v>71.68000000000001</v>
      </c>
      <c r="N105">
        <v>51.11</v>
      </c>
    </row>
    <row r="106" spans="1:14">
      <c r="A106" s="1" t="s">
        <v>118</v>
      </c>
      <c r="B106">
        <f>HYPERLINK("https://www.suredividend.com/sure-analysis-research-database/","Salesforce Inc")</f>
        <v>0</v>
      </c>
      <c r="C106" t="s">
        <v>452</v>
      </c>
      <c r="D106">
        <v>188.68</v>
      </c>
      <c r="E106">
        <v>0</v>
      </c>
      <c r="F106" t="s">
        <v>461</v>
      </c>
      <c r="G106" t="s">
        <v>461</v>
      </c>
      <c r="H106">
        <v>0</v>
      </c>
      <c r="I106">
        <v>186430</v>
      </c>
      <c r="J106">
        <v>670.6115107913669</v>
      </c>
      <c r="K106">
        <v>0</v>
      </c>
      <c r="M106">
        <v>222.16</v>
      </c>
      <c r="N106">
        <v>126.34</v>
      </c>
    </row>
    <row r="107" spans="1:14">
      <c r="A107" s="1" t="s">
        <v>119</v>
      </c>
      <c r="B107">
        <f>HYPERLINK("https://www.suredividend.com/sure-analysis-CSCO/","Cisco Systems, Inc.")</f>
        <v>0</v>
      </c>
      <c r="C107" t="s">
        <v>452</v>
      </c>
      <c r="D107">
        <v>50.67</v>
      </c>
      <c r="E107">
        <v>0.03078744819419775</v>
      </c>
      <c r="F107">
        <v>0.02702702702702697</v>
      </c>
      <c r="G107">
        <v>0.02861755351046824</v>
      </c>
      <c r="H107">
        <v>1.504024367613984</v>
      </c>
      <c r="I107">
        <v>201842.173062</v>
      </c>
      <c r="J107">
        <v>17.85897832788533</v>
      </c>
      <c r="K107">
        <v>0.5509246767816791</v>
      </c>
      <c r="M107">
        <v>55.59</v>
      </c>
      <c r="N107">
        <v>38.3</v>
      </c>
    </row>
    <row r="108" spans="1:14">
      <c r="A108" s="1" t="s">
        <v>120</v>
      </c>
      <c r="B108">
        <f>HYPERLINK("https://www.suredividend.com/sure-analysis-CSX/","CSX Corp.")</f>
        <v>0</v>
      </c>
      <c r="C108" t="s">
        <v>451</v>
      </c>
      <c r="D108">
        <v>29.32</v>
      </c>
      <c r="E108">
        <v>0.01500682128240109</v>
      </c>
      <c r="F108">
        <v>0.09999999999999987</v>
      </c>
      <c r="G108">
        <v>-0.1294494367038759</v>
      </c>
      <c r="H108">
        <v>0.407994624789446</v>
      </c>
      <c r="I108">
        <v>64250.159269</v>
      </c>
      <c r="J108">
        <v>15.42250582551608</v>
      </c>
      <c r="K108">
        <v>0.2092280127125364</v>
      </c>
      <c r="M108">
        <v>38.13</v>
      </c>
      <c r="N108">
        <v>25.63</v>
      </c>
    </row>
    <row r="109" spans="1:14">
      <c r="A109" s="1" t="s">
        <v>121</v>
      </c>
      <c r="B109">
        <f>HYPERLINK("https://www.suredividend.com/sure-analysis-CTAS/","Cintas Corporation")</f>
        <v>0</v>
      </c>
      <c r="C109" t="s">
        <v>451</v>
      </c>
      <c r="D109">
        <v>443.12</v>
      </c>
      <c r="E109">
        <v>0.01038093518685683</v>
      </c>
      <c r="F109" t="s">
        <v>461</v>
      </c>
      <c r="G109" t="s">
        <v>461</v>
      </c>
      <c r="H109">
        <v>4.383700498777509</v>
      </c>
      <c r="I109">
        <v>44901.008646</v>
      </c>
      <c r="J109">
        <v>35.0754328642002</v>
      </c>
      <c r="K109">
        <v>0.3566884051080154</v>
      </c>
      <c r="M109">
        <v>469.02</v>
      </c>
      <c r="N109">
        <v>341.17</v>
      </c>
    </row>
    <row r="110" spans="1:14">
      <c r="A110" s="1" t="s">
        <v>122</v>
      </c>
      <c r="B110">
        <f>HYPERLINK("https://www.suredividend.com/sure-analysis-CTSH/","Cognizant Technology Solutions Corp.")</f>
        <v>0</v>
      </c>
      <c r="C110" t="s">
        <v>452</v>
      </c>
      <c r="D110">
        <v>59.18</v>
      </c>
      <c r="E110">
        <v>0.01960121662723893</v>
      </c>
      <c r="F110">
        <v>0.07407407407407396</v>
      </c>
      <c r="G110">
        <v>0.07714358779274311</v>
      </c>
      <c r="H110">
        <v>1.093008527033306</v>
      </c>
      <c r="I110">
        <v>31851.28541</v>
      </c>
      <c r="J110">
        <v>13.90885825751965</v>
      </c>
      <c r="K110">
        <v>0.2478477385563052</v>
      </c>
      <c r="M110">
        <v>91.92</v>
      </c>
      <c r="N110">
        <v>50.88</v>
      </c>
    </row>
    <row r="111" spans="1:14">
      <c r="A111" s="1" t="s">
        <v>123</v>
      </c>
      <c r="B111">
        <f>HYPERLINK("https://www.suredividend.com/sure-analysis-research-database/","Corteva Inc")</f>
        <v>0</v>
      </c>
      <c r="C111" t="s">
        <v>456</v>
      </c>
      <c r="D111">
        <v>58.51</v>
      </c>
      <c r="E111">
        <v>0.009214521394416001</v>
      </c>
      <c r="F111" t="s">
        <v>461</v>
      </c>
      <c r="G111" t="s">
        <v>461</v>
      </c>
      <c r="H111">
        <v>0.586965012824343</v>
      </c>
      <c r="I111">
        <v>45406.8251</v>
      </c>
      <c r="J111">
        <v>39.58746739319965</v>
      </c>
      <c r="K111">
        <v>0.3714968435597107</v>
      </c>
      <c r="M111">
        <v>67.95999999999999</v>
      </c>
      <c r="N111">
        <v>48.97</v>
      </c>
    </row>
    <row r="112" spans="1:14">
      <c r="A112" s="1" t="s">
        <v>124</v>
      </c>
      <c r="B112">
        <f>HYPERLINK("https://www.suredividend.com/sure-analysis-CVS/","CVS Health Corp")</f>
        <v>0</v>
      </c>
      <c r="C112" t="s">
        <v>450</v>
      </c>
      <c r="D112">
        <v>75.56</v>
      </c>
      <c r="E112">
        <v>0.03202752779248279</v>
      </c>
      <c r="F112">
        <v>0.09999999999999987</v>
      </c>
      <c r="G112">
        <v>0.03886011825408464</v>
      </c>
      <c r="H112">
        <v>2.233988210483355</v>
      </c>
      <c r="I112">
        <v>105053.175477</v>
      </c>
      <c r="J112">
        <v>33.31848254908659</v>
      </c>
      <c r="K112">
        <v>0.9386505086064516</v>
      </c>
      <c r="M112">
        <v>107.1</v>
      </c>
      <c r="N112">
        <v>81.22</v>
      </c>
    </row>
    <row r="113" spans="1:14">
      <c r="A113" s="1" t="s">
        <v>125</v>
      </c>
      <c r="B113">
        <f>HYPERLINK("https://www.suredividend.com/sure-analysis-CVX/","Chevron Corp.")</f>
        <v>0</v>
      </c>
      <c r="C113" t="s">
        <v>459</v>
      </c>
      <c r="D113">
        <v>159.31</v>
      </c>
      <c r="E113">
        <v>0.037913501977277</v>
      </c>
      <c r="F113">
        <v>0.06338028169014098</v>
      </c>
      <c r="G113">
        <v>0.06157769502902544</v>
      </c>
      <c r="H113">
        <v>5.698485004240697</v>
      </c>
      <c r="I113">
        <v>314524.950298</v>
      </c>
      <c r="J113">
        <v>8.86860144644692</v>
      </c>
      <c r="K113">
        <v>0.3117333153304539</v>
      </c>
      <c r="M113">
        <v>186.57</v>
      </c>
      <c r="N113">
        <v>129.2</v>
      </c>
    </row>
    <row r="114" spans="1:14">
      <c r="A114" s="1" t="s">
        <v>126</v>
      </c>
      <c r="B114">
        <f>HYPERLINK("https://www.suredividend.com/sure-analysis-research-database/","Concho Resources Inc")</f>
        <v>0</v>
      </c>
      <c r="C114" t="s">
        <v>459</v>
      </c>
      <c r="D114">
        <v>65.59999999999999</v>
      </c>
      <c r="E114">
        <v>0.01212016019638</v>
      </c>
      <c r="F114" t="s">
        <v>461</v>
      </c>
      <c r="G114" t="s">
        <v>461</v>
      </c>
      <c r="H114">
        <v>0.795082508882577</v>
      </c>
      <c r="I114">
        <v>12877.584384</v>
      </c>
      <c r="J114" t="s">
        <v>461</v>
      </c>
      <c r="K114" t="s">
        <v>461</v>
      </c>
      <c r="L114">
        <v>1.354776460504515</v>
      </c>
      <c r="M114">
        <v>86.81</v>
      </c>
      <c r="N114">
        <v>35.58</v>
      </c>
    </row>
    <row r="115" spans="1:14">
      <c r="A115" s="1" t="s">
        <v>127</v>
      </c>
      <c r="B115">
        <f>HYPERLINK("https://www.suredividend.com/sure-analysis-D/","Dominion Energy Inc")</f>
        <v>0</v>
      </c>
      <c r="C115" t="s">
        <v>454</v>
      </c>
      <c r="D115">
        <v>54.09</v>
      </c>
      <c r="E115">
        <v>0.04936217415418746</v>
      </c>
      <c r="F115">
        <v>0</v>
      </c>
      <c r="G115">
        <v>-0.04379070963534237</v>
      </c>
      <c r="H115">
        <v>2.625855656319028</v>
      </c>
      <c r="I115">
        <v>46720.730935</v>
      </c>
      <c r="J115">
        <v>52.37750104818385</v>
      </c>
      <c r="K115">
        <v>2.431347829925026</v>
      </c>
      <c r="M115">
        <v>85.34999999999999</v>
      </c>
      <c r="N115">
        <v>53.71</v>
      </c>
    </row>
    <row r="116" spans="1:14">
      <c r="A116" s="1" t="s">
        <v>128</v>
      </c>
      <c r="B116">
        <f>HYPERLINK("https://www.suredividend.com/sure-analysis-research-database/","Delta Air Lines, Inc.")</f>
        <v>0</v>
      </c>
      <c r="C116" t="s">
        <v>451</v>
      </c>
      <c r="D116">
        <v>33.89</v>
      </c>
      <c r="E116">
        <v>0</v>
      </c>
      <c r="F116" t="s">
        <v>461</v>
      </c>
      <c r="G116" t="s">
        <v>461</v>
      </c>
      <c r="H116">
        <v>0</v>
      </c>
      <c r="I116">
        <v>24912.121747</v>
      </c>
      <c r="J116">
        <v>18.90145807795903</v>
      </c>
      <c r="K116">
        <v>0</v>
      </c>
      <c r="M116">
        <v>46.27</v>
      </c>
      <c r="N116">
        <v>27.2</v>
      </c>
    </row>
    <row r="117" spans="1:14">
      <c r="A117" s="1" t="s">
        <v>129</v>
      </c>
      <c r="B117">
        <f>HYPERLINK("https://www.suredividend.com/sure-analysis-DD/","DuPont de Nemours Inc")</f>
        <v>0</v>
      </c>
      <c r="C117" t="s">
        <v>456</v>
      </c>
      <c r="D117">
        <v>69.67</v>
      </c>
      <c r="E117">
        <v>0.02066886751830056</v>
      </c>
      <c r="F117">
        <v>0.09090909090909083</v>
      </c>
      <c r="G117">
        <v>-0.01075518913431428</v>
      </c>
      <c r="H117">
        <v>1.340172592722466</v>
      </c>
      <c r="I117">
        <v>34214.935582</v>
      </c>
      <c r="J117">
        <v>5.830766118234492</v>
      </c>
      <c r="K117">
        <v>0.1140572419338269</v>
      </c>
      <c r="M117">
        <v>78.01000000000001</v>
      </c>
      <c r="N117">
        <v>49.04</v>
      </c>
    </row>
    <row r="118" spans="1:14">
      <c r="A118" s="1" t="s">
        <v>130</v>
      </c>
      <c r="B118">
        <f>HYPERLINK("https://www.suredividend.com/sure-analysis-DE/","Deere &amp; Co.")</f>
        <v>0</v>
      </c>
      <c r="C118" t="s">
        <v>451</v>
      </c>
      <c r="D118">
        <v>402.59</v>
      </c>
      <c r="E118">
        <v>0.01241958319878785</v>
      </c>
      <c r="F118">
        <v>0.1428571428571428</v>
      </c>
      <c r="G118">
        <v>0.1486983549970349</v>
      </c>
      <c r="H118">
        <v>4.48985035752166</v>
      </c>
      <c r="I118">
        <v>127501.547626</v>
      </c>
      <c r="J118">
        <v>15.57365917020154</v>
      </c>
      <c r="K118">
        <v>0.166537476169201</v>
      </c>
      <c r="M118">
        <v>447.15</v>
      </c>
      <c r="N118">
        <v>282.09</v>
      </c>
    </row>
    <row r="119" spans="1:14">
      <c r="A119" s="1" t="s">
        <v>131</v>
      </c>
      <c r="B119">
        <f>HYPERLINK("https://www.suredividend.com/sure-analysis-DFS/","Discover Financial Services")</f>
        <v>0</v>
      </c>
      <c r="C119" t="s">
        <v>455</v>
      </c>
      <c r="D119">
        <v>98.34</v>
      </c>
      <c r="E119">
        <v>0.02440512507626601</v>
      </c>
      <c r="F119" t="s">
        <v>461</v>
      </c>
      <c r="G119" t="s">
        <v>461</v>
      </c>
      <c r="H119">
        <v>2.38008055230927</v>
      </c>
      <c r="I119">
        <v>30062.215908</v>
      </c>
      <c r="J119">
        <v>6.984715592086431</v>
      </c>
      <c r="K119">
        <v>0.1537519736633895</v>
      </c>
      <c r="M119">
        <v>119.25</v>
      </c>
      <c r="N119">
        <v>86.55</v>
      </c>
    </row>
    <row r="120" spans="1:14">
      <c r="A120" s="1" t="s">
        <v>132</v>
      </c>
      <c r="B120">
        <f>HYPERLINK("https://www.suredividend.com/sure-analysis-DG/","Dollar General Corp.")</f>
        <v>0</v>
      </c>
      <c r="C120" t="s">
        <v>453</v>
      </c>
      <c r="D120">
        <v>210.09</v>
      </c>
      <c r="E120">
        <v>0.01123328097482031</v>
      </c>
      <c r="F120">
        <v>0.3095238095238098</v>
      </c>
      <c r="G120">
        <v>0.1365614939721804</v>
      </c>
      <c r="H120">
        <v>2.192597485989101</v>
      </c>
      <c r="I120">
        <v>48669.997994</v>
      </c>
      <c r="J120">
        <v>20.67292475144704</v>
      </c>
      <c r="K120">
        <v>0.2130804165198349</v>
      </c>
      <c r="M120">
        <v>261.01</v>
      </c>
      <c r="N120">
        <v>182.02</v>
      </c>
    </row>
    <row r="121" spans="1:14">
      <c r="A121" s="1" t="s">
        <v>133</v>
      </c>
      <c r="B121">
        <f>HYPERLINK("https://www.suredividend.com/sure-analysis-DGX/","Quest Diagnostics, Inc.")</f>
        <v>0</v>
      </c>
      <c r="C121" t="s">
        <v>450</v>
      </c>
      <c r="D121">
        <v>135.91</v>
      </c>
      <c r="E121">
        <v>0.02089618129644618</v>
      </c>
      <c r="F121">
        <v>0.06451612903225823</v>
      </c>
      <c r="G121">
        <v>0.05709686837461603</v>
      </c>
      <c r="H121">
        <v>2.632899023263872</v>
      </c>
      <c r="I121">
        <v>15674.278822</v>
      </c>
      <c r="J121">
        <v>16.63936180721868</v>
      </c>
      <c r="K121">
        <v>0.3299372209603849</v>
      </c>
      <c r="M121">
        <v>158.34</v>
      </c>
      <c r="N121">
        <v>119.75</v>
      </c>
    </row>
    <row r="122" spans="1:14">
      <c r="A122" s="1" t="s">
        <v>134</v>
      </c>
      <c r="B122">
        <f>HYPERLINK("https://www.suredividend.com/sure-analysis-DHI/","D.R. Horton Inc.")</f>
        <v>0</v>
      </c>
      <c r="C122" t="s">
        <v>457</v>
      </c>
      <c r="D122">
        <v>96.84</v>
      </c>
      <c r="E122">
        <v>0.01032631144155308</v>
      </c>
      <c r="F122">
        <v>0.1111111111111112</v>
      </c>
      <c r="G122">
        <v>0.1486983549970351</v>
      </c>
      <c r="H122">
        <v>0.946256753323325</v>
      </c>
      <c r="I122">
        <v>31860.03492</v>
      </c>
      <c r="J122">
        <v>5.614498805240898</v>
      </c>
      <c r="K122">
        <v>0.05862805163093712</v>
      </c>
      <c r="M122">
        <v>103.88</v>
      </c>
      <c r="N122">
        <v>58.75</v>
      </c>
    </row>
    <row r="123" spans="1:14">
      <c r="A123" s="1" t="s">
        <v>135</v>
      </c>
      <c r="B123">
        <f>HYPERLINK("https://www.suredividend.com/sure-analysis-DHR/","Danaher Corp.")</f>
        <v>0</v>
      </c>
      <c r="C123" t="s">
        <v>450</v>
      </c>
      <c r="D123">
        <v>248.38</v>
      </c>
      <c r="E123">
        <v>0.004026089057089943</v>
      </c>
      <c r="F123">
        <v>0.1904761904761905</v>
      </c>
      <c r="G123">
        <v>0.09336207394327811</v>
      </c>
      <c r="H123">
        <v>0.9985543095827801</v>
      </c>
      <c r="I123">
        <v>184431.952922</v>
      </c>
      <c r="J123">
        <v>25.96536011854709</v>
      </c>
      <c r="K123">
        <v>0.1035844719484212</v>
      </c>
      <c r="M123">
        <v>303.24</v>
      </c>
      <c r="N123">
        <v>233.03</v>
      </c>
    </row>
    <row r="124" spans="1:14">
      <c r="A124" s="1" t="s">
        <v>136</v>
      </c>
      <c r="B124">
        <f>HYPERLINK("https://www.suredividend.com/sure-analysis-research-database/","Walt Disney Co (The)")</f>
        <v>0</v>
      </c>
      <c r="C124" t="s">
        <v>460</v>
      </c>
      <c r="D124">
        <v>96.54000000000001</v>
      </c>
      <c r="E124">
        <v>0</v>
      </c>
      <c r="F124" t="s">
        <v>461</v>
      </c>
      <c r="G124" t="s">
        <v>461</v>
      </c>
      <c r="H124">
        <v>0</v>
      </c>
      <c r="I124">
        <v>184763.282939</v>
      </c>
      <c r="J124">
        <v>58.74826166574881</v>
      </c>
      <c r="K124">
        <v>0</v>
      </c>
      <c r="M124">
        <v>144.46</v>
      </c>
      <c r="N124">
        <v>84.06999999999999</v>
      </c>
    </row>
    <row r="125" spans="1:14">
      <c r="A125" s="1" t="s">
        <v>137</v>
      </c>
      <c r="B125">
        <f>HYPERLINK("https://www.suredividend.com/sure-analysis-research-database/","Warner Bros.Discovery Inc")</f>
        <v>0</v>
      </c>
      <c r="C125" t="s">
        <v>460</v>
      </c>
      <c r="D125">
        <v>24.42</v>
      </c>
      <c r="E125">
        <v>0</v>
      </c>
      <c r="F125" t="s">
        <v>461</v>
      </c>
      <c r="G125" t="s">
        <v>461</v>
      </c>
      <c r="H125">
        <v>0</v>
      </c>
      <c r="I125">
        <v>59712</v>
      </c>
      <c r="J125">
        <v>0</v>
      </c>
      <c r="K125" t="s">
        <v>461</v>
      </c>
    </row>
    <row r="126" spans="1:14">
      <c r="A126" s="1" t="s">
        <v>138</v>
      </c>
      <c r="B126">
        <f>HYPERLINK("https://www.suredividend.com/sure-analysis-DLR/","Digital Realty Trust Inc")</f>
        <v>0</v>
      </c>
      <c r="C126" t="s">
        <v>458</v>
      </c>
      <c r="D126">
        <v>97.83</v>
      </c>
      <c r="E126">
        <v>0.04988244914647859</v>
      </c>
      <c r="F126">
        <v>0</v>
      </c>
      <c r="G126">
        <v>0.03850284678617966</v>
      </c>
      <c r="H126">
        <v>4.80384910607919</v>
      </c>
      <c r="I126">
        <v>30862.658112</v>
      </c>
      <c r="J126">
        <v>91.59145925925928</v>
      </c>
      <c r="K126">
        <v>4.251193899185124</v>
      </c>
      <c r="M126">
        <v>148.83</v>
      </c>
      <c r="N126">
        <v>84.81999999999999</v>
      </c>
    </row>
    <row r="127" spans="1:14">
      <c r="A127" s="1" t="s">
        <v>139</v>
      </c>
      <c r="B127">
        <f>HYPERLINK("https://www.suredividend.com/sure-analysis-research-database/","Dollar Tree Inc")</f>
        <v>0</v>
      </c>
      <c r="C127" t="s">
        <v>453</v>
      </c>
      <c r="D127">
        <v>140.98</v>
      </c>
      <c r="E127">
        <v>0</v>
      </c>
      <c r="F127" t="s">
        <v>461</v>
      </c>
      <c r="G127" t="s">
        <v>461</v>
      </c>
      <c r="H127">
        <v>0</v>
      </c>
      <c r="I127">
        <v>33400.19833</v>
      </c>
      <c r="J127">
        <v>20.65054923318289</v>
      </c>
      <c r="K127">
        <v>0</v>
      </c>
      <c r="M127">
        <v>177.19</v>
      </c>
      <c r="N127">
        <v>124.76</v>
      </c>
    </row>
    <row r="128" spans="1:14">
      <c r="A128" s="1" t="s">
        <v>140</v>
      </c>
      <c r="B128">
        <f>HYPERLINK("https://www.suredividend.com/sure-analysis-DOV/","Dover Corp.")</f>
        <v>0</v>
      </c>
      <c r="C128" t="s">
        <v>451</v>
      </c>
      <c r="D128">
        <v>142.21</v>
      </c>
      <c r="E128">
        <v>0.01420434568595739</v>
      </c>
      <c r="F128">
        <v>0.01000000000000001</v>
      </c>
      <c r="G128">
        <v>0.01446882147577422</v>
      </c>
      <c r="H128">
        <v>2.004263522986496</v>
      </c>
      <c r="I128">
        <v>21606.64638</v>
      </c>
      <c r="J128">
        <v>20.28077071381372</v>
      </c>
      <c r="K128">
        <v>0.2701163777609832</v>
      </c>
      <c r="M128">
        <v>160.49</v>
      </c>
      <c r="N128">
        <v>113.69</v>
      </c>
    </row>
    <row r="129" spans="1:14">
      <c r="A129" s="1" t="s">
        <v>141</v>
      </c>
      <c r="B129">
        <f>HYPERLINK("https://www.suredividend.com/sure-analysis-DOW/","Dow Inc")</f>
        <v>0</v>
      </c>
      <c r="C129" t="s">
        <v>456</v>
      </c>
      <c r="D129">
        <v>52.06</v>
      </c>
      <c r="E129">
        <v>0.05378409527468305</v>
      </c>
      <c r="F129" t="s">
        <v>461</v>
      </c>
      <c r="G129" t="s">
        <v>461</v>
      </c>
      <c r="H129">
        <v>2.746367922752095</v>
      </c>
      <c r="I129">
        <v>41108.596934</v>
      </c>
      <c r="J129">
        <v>8.971758388127455</v>
      </c>
      <c r="K129">
        <v>0.4352405582808392</v>
      </c>
      <c r="M129">
        <v>68.37</v>
      </c>
      <c r="N129">
        <v>41.8</v>
      </c>
    </row>
    <row r="130" spans="1:14">
      <c r="A130" s="1" t="s">
        <v>142</v>
      </c>
      <c r="B130">
        <f>HYPERLINK("https://www.suredividend.com/sure-analysis-DPZ/","Dominos Pizza Inc")</f>
        <v>0</v>
      </c>
      <c r="C130" t="s">
        <v>457</v>
      </c>
      <c r="D130">
        <v>317.64</v>
      </c>
      <c r="E130">
        <v>0.01523737564538471</v>
      </c>
      <c r="F130">
        <v>0.09999999999999987</v>
      </c>
      <c r="G130">
        <v>0.1708049129648923</v>
      </c>
      <c r="H130">
        <v>4.3799234417604</v>
      </c>
      <c r="I130">
        <v>10794.493448</v>
      </c>
      <c r="J130">
        <v>23.86773503090016</v>
      </c>
      <c r="K130">
        <v>0.3495549434764885</v>
      </c>
      <c r="M130">
        <v>423.81</v>
      </c>
      <c r="N130">
        <v>291</v>
      </c>
    </row>
    <row r="131" spans="1:14">
      <c r="A131" s="1" t="s">
        <v>143</v>
      </c>
      <c r="B131">
        <f>HYPERLINK("https://www.suredividend.com/sure-analysis-DRE/","Duke Realty Corp")</f>
        <v>0</v>
      </c>
      <c r="C131" t="s">
        <v>458</v>
      </c>
      <c r="D131">
        <v>48.2</v>
      </c>
      <c r="E131">
        <v>0.023062576092641</v>
      </c>
      <c r="F131" t="s">
        <v>461</v>
      </c>
      <c r="G131" t="s">
        <v>461</v>
      </c>
      <c r="H131">
        <v>1.111616167665321</v>
      </c>
      <c r="I131">
        <v>18556.648911</v>
      </c>
      <c r="J131">
        <v>19.5796669285498</v>
      </c>
      <c r="K131">
        <v>0.4555803965841479</v>
      </c>
      <c r="L131">
        <v>0.7911466839138791</v>
      </c>
      <c r="M131">
        <v>65.34999999999999</v>
      </c>
      <c r="N131">
        <v>46.65</v>
      </c>
    </row>
    <row r="132" spans="1:14">
      <c r="A132" s="1" t="s">
        <v>144</v>
      </c>
      <c r="B132">
        <f>HYPERLINK("https://www.suredividend.com/sure-analysis-DRI/","Darden Restaurants, Inc.")</f>
        <v>0</v>
      </c>
      <c r="C132" t="s">
        <v>457</v>
      </c>
      <c r="D132">
        <v>152.43</v>
      </c>
      <c r="E132">
        <v>0.03175227973496031</v>
      </c>
      <c r="F132" t="s">
        <v>461</v>
      </c>
      <c r="G132" t="s">
        <v>461</v>
      </c>
      <c r="H132">
        <v>4.668987053619245</v>
      </c>
      <c r="I132">
        <v>17932.058313</v>
      </c>
      <c r="J132">
        <v>19.72940731944108</v>
      </c>
      <c r="K132">
        <v>0.6431111644103644</v>
      </c>
      <c r="M132">
        <v>152.08</v>
      </c>
      <c r="N132">
        <v>107.92</v>
      </c>
    </row>
    <row r="133" spans="1:14">
      <c r="A133" s="1" t="s">
        <v>145</v>
      </c>
      <c r="B133">
        <f>HYPERLINK("https://www.suredividend.com/sure-analysis-DTE/","DTE Energy Co.")</f>
        <v>0</v>
      </c>
      <c r="C133" t="s">
        <v>454</v>
      </c>
      <c r="D133">
        <v>106.29</v>
      </c>
      <c r="E133">
        <v>0.0358453288173864</v>
      </c>
      <c r="F133">
        <v>0.07627118644067798</v>
      </c>
      <c r="G133">
        <v>0.01538338830106301</v>
      </c>
      <c r="H133">
        <v>3.567896330738384</v>
      </c>
      <c r="I133">
        <v>22492.045567</v>
      </c>
      <c r="J133">
        <v>20.8259681175</v>
      </c>
      <c r="K133">
        <v>0.6475310945078737</v>
      </c>
      <c r="M133">
        <v>137.14</v>
      </c>
      <c r="N133">
        <v>99.84</v>
      </c>
    </row>
    <row r="134" spans="1:14">
      <c r="A134" s="1" t="s">
        <v>146</v>
      </c>
      <c r="B134">
        <f>HYPERLINK("https://www.suredividend.com/sure-analysis-DUK/","Duke Energy Corp.")</f>
        <v>0</v>
      </c>
      <c r="C134" t="s">
        <v>454</v>
      </c>
      <c r="D134">
        <v>94.77</v>
      </c>
      <c r="E134">
        <v>0.04241848686293131</v>
      </c>
      <c r="F134">
        <v>0.02030456852791862</v>
      </c>
      <c r="G134">
        <v>0.02460202771658837</v>
      </c>
      <c r="H134">
        <v>3.940651512531383</v>
      </c>
      <c r="I134">
        <v>73457.958386</v>
      </c>
      <c r="J134">
        <v>30.05644778484042</v>
      </c>
      <c r="K134">
        <v>1.243107732659742</v>
      </c>
      <c r="M134">
        <v>111.92</v>
      </c>
      <c r="N134">
        <v>82.06</v>
      </c>
    </row>
    <row r="135" spans="1:14">
      <c r="A135" s="1" t="s">
        <v>147</v>
      </c>
      <c r="B135">
        <f>HYPERLINK("https://www.suredividend.com/sure-analysis-DVN/","Devon Energy Corp.")</f>
        <v>0</v>
      </c>
      <c r="C135" t="s">
        <v>459</v>
      </c>
      <c r="D135">
        <v>49.06</v>
      </c>
      <c r="E135">
        <v>0.01630656339176519</v>
      </c>
      <c r="F135">
        <v>0.1111111111111112</v>
      </c>
      <c r="G135">
        <v>0.1270092020979254</v>
      </c>
      <c r="H135">
        <v>2.556186365884678</v>
      </c>
      <c r="I135">
        <v>37061.303598</v>
      </c>
      <c r="J135">
        <v>6.22042692152568</v>
      </c>
      <c r="K135">
        <v>0.280283592750513</v>
      </c>
      <c r="M135">
        <v>77.14</v>
      </c>
      <c r="N135">
        <v>47.7</v>
      </c>
    </row>
    <row r="136" spans="1:14">
      <c r="A136" s="1" t="s">
        <v>148</v>
      </c>
      <c r="B136">
        <f>HYPERLINK("https://www.suredividend.com/sure-analysis-research-database/","Dexcom Inc")</f>
        <v>0</v>
      </c>
      <c r="C136" t="s">
        <v>450</v>
      </c>
      <c r="D136">
        <v>118.98</v>
      </c>
      <c r="E136">
        <v>0</v>
      </c>
      <c r="F136" t="s">
        <v>461</v>
      </c>
      <c r="G136" t="s">
        <v>461</v>
      </c>
      <c r="H136">
        <v>0</v>
      </c>
      <c r="I136">
        <v>47497.970775</v>
      </c>
      <c r="J136">
        <v>139.2085896096131</v>
      </c>
      <c r="K136">
        <v>0</v>
      </c>
      <c r="M136">
        <v>134.76</v>
      </c>
      <c r="N136">
        <v>66.89</v>
      </c>
    </row>
    <row r="137" spans="1:14">
      <c r="A137" s="1" t="s">
        <v>149</v>
      </c>
      <c r="B137">
        <f>HYPERLINK("https://www.suredividend.com/sure-analysis-research-database/","Electronic Arts, Inc.")</f>
        <v>0</v>
      </c>
      <c r="C137" t="s">
        <v>460</v>
      </c>
      <c r="D137">
        <v>114.94</v>
      </c>
      <c r="E137">
        <v>0.008194136556186001</v>
      </c>
      <c r="F137" t="s">
        <v>461</v>
      </c>
      <c r="G137" t="s">
        <v>461</v>
      </c>
      <c r="H137">
        <v>0.9271665513324601</v>
      </c>
      <c r="I137">
        <v>31238.478477</v>
      </c>
      <c r="J137">
        <v>30.0659080626564</v>
      </c>
      <c r="K137">
        <v>0.2499101216529542</v>
      </c>
      <c r="M137">
        <v>141.93</v>
      </c>
      <c r="N137">
        <v>108.58</v>
      </c>
    </row>
    <row r="138" spans="1:14">
      <c r="A138" s="1" t="s">
        <v>150</v>
      </c>
      <c r="B138">
        <f>HYPERLINK("https://www.suredividend.com/sure-analysis-EBAY/","EBay Inc.")</f>
        <v>0</v>
      </c>
      <c r="C138" t="s">
        <v>457</v>
      </c>
      <c r="D138">
        <v>43.75</v>
      </c>
      <c r="E138">
        <v>0.02285714285714286</v>
      </c>
      <c r="F138" t="s">
        <v>461</v>
      </c>
      <c r="G138" t="s">
        <v>461</v>
      </c>
      <c r="H138">
        <v>0.874515891020725</v>
      </c>
      <c r="I138">
        <v>24717.968183</v>
      </c>
      <c r="J138" t="s">
        <v>461</v>
      </c>
      <c r="K138" t="s">
        <v>461</v>
      </c>
      <c r="M138">
        <v>59.78</v>
      </c>
      <c r="N138">
        <v>35.74</v>
      </c>
    </row>
    <row r="139" spans="1:14">
      <c r="A139" s="1" t="s">
        <v>151</v>
      </c>
      <c r="B139">
        <f>HYPERLINK("https://www.suredividend.com/sure-analysis-ECL/","Ecolab, Inc.")</f>
        <v>0</v>
      </c>
      <c r="C139" t="s">
        <v>456</v>
      </c>
      <c r="D139">
        <v>157.79</v>
      </c>
      <c r="E139">
        <v>0.01343557893402624</v>
      </c>
      <c r="F139">
        <v>0.03921568627450989</v>
      </c>
      <c r="G139">
        <v>0.05268492238527456</v>
      </c>
      <c r="H139">
        <v>2.049309122848232</v>
      </c>
      <c r="I139">
        <v>46481.105016</v>
      </c>
      <c r="J139">
        <v>42.57681140954475</v>
      </c>
      <c r="K139">
        <v>0.5378764101963863</v>
      </c>
      <c r="M139">
        <v>183.57</v>
      </c>
      <c r="N139">
        <v>130.56</v>
      </c>
    </row>
    <row r="140" spans="1:14">
      <c r="A140" s="1" t="s">
        <v>152</v>
      </c>
      <c r="B140">
        <f>HYPERLINK("https://www.suredividend.com/sure-analysis-ED/","Consolidated Edison, Inc.")</f>
        <v>0</v>
      </c>
      <c r="C140" t="s">
        <v>454</v>
      </c>
      <c r="D140">
        <v>93.19</v>
      </c>
      <c r="E140">
        <v>0.0347676789355081</v>
      </c>
      <c r="F140">
        <v>0.02531645569620244</v>
      </c>
      <c r="G140">
        <v>0.02526420565941589</v>
      </c>
      <c r="H140">
        <v>3.139349005446324</v>
      </c>
      <c r="I140">
        <v>32199.032954</v>
      </c>
      <c r="J140">
        <v>19.39700780390964</v>
      </c>
      <c r="K140">
        <v>0.6722374743996411</v>
      </c>
      <c r="M140">
        <v>100.42</v>
      </c>
      <c r="N140">
        <v>76.73</v>
      </c>
    </row>
    <row r="141" spans="1:14">
      <c r="A141" s="1" t="s">
        <v>153</v>
      </c>
      <c r="B141">
        <f>HYPERLINK("https://www.suredividend.com/sure-analysis-research-database/","Equifax, Inc.")</f>
        <v>0</v>
      </c>
      <c r="C141" t="s">
        <v>451</v>
      </c>
      <c r="D141">
        <v>202.92</v>
      </c>
      <c r="E141">
        <v>0.007506041444003001</v>
      </c>
      <c r="F141">
        <v>0</v>
      </c>
      <c r="G141">
        <v>0</v>
      </c>
      <c r="H141">
        <v>1.557653720459584</v>
      </c>
      <c r="I141">
        <v>25418.709968</v>
      </c>
      <c r="J141">
        <v>36.51064344659581</v>
      </c>
      <c r="K141">
        <v>0.2756909239751476</v>
      </c>
      <c r="M141">
        <v>242.33</v>
      </c>
      <c r="N141">
        <v>145.69</v>
      </c>
    </row>
    <row r="142" spans="1:14">
      <c r="A142" s="1" t="s">
        <v>154</v>
      </c>
      <c r="B142">
        <f>HYPERLINK("https://www.suredividend.com/sure-analysis-EIX/","Edison International")</f>
        <v>0</v>
      </c>
      <c r="C142" t="s">
        <v>454</v>
      </c>
      <c r="D142">
        <v>67.81</v>
      </c>
      <c r="E142">
        <v>0.04350390797817431</v>
      </c>
      <c r="F142">
        <v>0.0535714285714286</v>
      </c>
      <c r="G142">
        <v>0.04040236321329971</v>
      </c>
      <c r="H142">
        <v>2.790304675978272</v>
      </c>
      <c r="I142">
        <v>25746.723162</v>
      </c>
      <c r="J142">
        <v>42.06980908790849</v>
      </c>
      <c r="K142">
        <v>1.74394042248642</v>
      </c>
      <c r="M142">
        <v>70.93000000000001</v>
      </c>
      <c r="N142">
        <v>53.83</v>
      </c>
    </row>
    <row r="143" spans="1:14">
      <c r="A143" s="1" t="s">
        <v>155</v>
      </c>
      <c r="B143">
        <f>HYPERLINK("https://www.suredividend.com/sure-analysis-research-database/","Estee Lauder Cos., Inc.")</f>
        <v>0</v>
      </c>
      <c r="C143" t="s">
        <v>453</v>
      </c>
      <c r="D143">
        <v>238.5</v>
      </c>
      <c r="E143">
        <v>0.009911661157314001</v>
      </c>
      <c r="F143" t="s">
        <v>461</v>
      </c>
      <c r="G143" t="s">
        <v>461</v>
      </c>
      <c r="H143">
        <v>2.509929954866625</v>
      </c>
      <c r="I143">
        <v>90377.787</v>
      </c>
      <c r="J143">
        <v>39.29528649421969</v>
      </c>
      <c r="K143">
        <v>0.6077312239386501</v>
      </c>
      <c r="M143">
        <v>286.54</v>
      </c>
      <c r="N143">
        <v>185.4</v>
      </c>
    </row>
    <row r="144" spans="1:14">
      <c r="A144" s="1" t="s">
        <v>156</v>
      </c>
      <c r="B144">
        <f>HYPERLINK("https://www.suredividend.com/sure-analysis-EMN/","Eastman Chemical Co")</f>
        <v>0</v>
      </c>
      <c r="C144" t="s">
        <v>456</v>
      </c>
      <c r="D144">
        <v>81.59</v>
      </c>
      <c r="E144">
        <v>0.03873023654859664</v>
      </c>
      <c r="F144">
        <v>0.03947368421052633</v>
      </c>
      <c r="G144">
        <v>0.07124254564338495</v>
      </c>
      <c r="H144">
        <v>3.030143630418541</v>
      </c>
      <c r="I144">
        <v>10366.214614</v>
      </c>
      <c r="J144">
        <v>13.0721495768222</v>
      </c>
      <c r="K144">
        <v>0.4771879732942585</v>
      </c>
      <c r="M144">
        <v>112.03</v>
      </c>
      <c r="N144">
        <v>69.28</v>
      </c>
    </row>
    <row r="145" spans="1:14">
      <c r="A145" s="1" t="s">
        <v>157</v>
      </c>
      <c r="B145">
        <f>HYPERLINK("https://www.suredividend.com/sure-analysis-EMR/","Emerson Electric Co.")</f>
        <v>0</v>
      </c>
      <c r="C145" t="s">
        <v>451</v>
      </c>
      <c r="D145">
        <v>83.98999999999999</v>
      </c>
      <c r="E145">
        <v>0.02476485295868556</v>
      </c>
      <c r="F145">
        <v>0.009708737864077666</v>
      </c>
      <c r="G145">
        <v>0.01403354261880141</v>
      </c>
      <c r="H145">
        <v>2.043059874816431</v>
      </c>
      <c r="I145">
        <v>48877.556</v>
      </c>
      <c r="J145">
        <v>15.46268775703891</v>
      </c>
      <c r="K145">
        <v>0.3862116965626523</v>
      </c>
      <c r="M145">
        <v>99.06</v>
      </c>
      <c r="N145">
        <v>71.15000000000001</v>
      </c>
    </row>
    <row r="146" spans="1:14">
      <c r="A146" s="1" t="s">
        <v>158</v>
      </c>
      <c r="B146">
        <f>HYPERLINK("https://www.suredividend.com/sure-analysis-EOG/","EOG Resources, Inc.")</f>
        <v>0</v>
      </c>
      <c r="C146" t="s">
        <v>459</v>
      </c>
      <c r="D146">
        <v>108.62</v>
      </c>
      <c r="E146">
        <v>0.03038114527711287</v>
      </c>
      <c r="F146">
        <v>-0.3333333333333334</v>
      </c>
      <c r="G146">
        <v>0.2831352329086401</v>
      </c>
      <c r="H146">
        <v>2.992721316870054</v>
      </c>
      <c r="I146">
        <v>71567.105451</v>
      </c>
      <c r="J146">
        <v>9.223753763492718</v>
      </c>
      <c r="K146">
        <v>0.2263783144379768</v>
      </c>
      <c r="M146">
        <v>148.16</v>
      </c>
      <c r="N146">
        <v>88.87</v>
      </c>
    </row>
    <row r="147" spans="1:14">
      <c r="A147" s="1" t="s">
        <v>159</v>
      </c>
      <c r="B147">
        <f>HYPERLINK("https://www.suredividend.com/sure-analysis-EQIX/","Equinix Inc")</f>
        <v>0</v>
      </c>
      <c r="C147" t="s">
        <v>458</v>
      </c>
      <c r="D147">
        <v>687.9400000000001</v>
      </c>
      <c r="E147">
        <v>0.01982731052126639</v>
      </c>
      <c r="F147">
        <v>0.1000000000000001</v>
      </c>
      <c r="G147">
        <v>0.08383683412808396</v>
      </c>
      <c r="H147">
        <v>9.256539447060639</v>
      </c>
      <c r="I147">
        <v>65450.901111</v>
      </c>
      <c r="J147">
        <v>92.92449170673464</v>
      </c>
      <c r="K147">
        <v>1.206849993097867</v>
      </c>
      <c r="M147">
        <v>765.54</v>
      </c>
      <c r="N147">
        <v>492.49</v>
      </c>
    </row>
    <row r="148" spans="1:14">
      <c r="A148" s="1" t="s">
        <v>160</v>
      </c>
      <c r="B148">
        <f>HYPERLINK("https://www.suredividend.com/sure-analysis-EQR/","Equity Residential Properties Trust")</f>
        <v>0</v>
      </c>
      <c r="C148" t="s">
        <v>458</v>
      </c>
      <c r="D148">
        <v>57.43</v>
      </c>
      <c r="E148">
        <v>0.04614313076789135</v>
      </c>
      <c r="F148">
        <v>0.03734439834024883</v>
      </c>
      <c r="G148">
        <v>0.02966808427901979</v>
      </c>
      <c r="H148">
        <v>3.088914350443429</v>
      </c>
      <c r="I148">
        <v>23689.169938</v>
      </c>
      <c r="J148">
        <v>30.61324251717128</v>
      </c>
      <c r="K148">
        <v>1.552218266554487</v>
      </c>
      <c r="M148">
        <v>91.69</v>
      </c>
      <c r="N148">
        <v>57.38</v>
      </c>
    </row>
    <row r="149" spans="1:14">
      <c r="A149" s="1" t="s">
        <v>161</v>
      </c>
      <c r="B149">
        <f>HYPERLINK("https://www.suredividend.com/sure-analysis-ES/","Eversource Energy")</f>
        <v>0</v>
      </c>
      <c r="C149" t="s">
        <v>454</v>
      </c>
      <c r="D149">
        <v>74.92</v>
      </c>
      <c r="E149">
        <v>0.03603844100373732</v>
      </c>
      <c r="F149">
        <v>0.05882352941176472</v>
      </c>
      <c r="G149">
        <v>0.0597476908802026</v>
      </c>
      <c r="H149">
        <v>2.556442378746316</v>
      </c>
      <c r="I149">
        <v>26289.589582</v>
      </c>
      <c r="J149">
        <v>18.71311652780496</v>
      </c>
      <c r="K149">
        <v>0.6312203404311892</v>
      </c>
      <c r="M149">
        <v>92.2</v>
      </c>
      <c r="N149">
        <v>69.39</v>
      </c>
    </row>
    <row r="150" spans="1:14">
      <c r="A150" s="1" t="s">
        <v>162</v>
      </c>
      <c r="B150">
        <f>HYPERLINK("https://www.suredividend.com/sure-analysis-ESS/","Essex Property Trust, Inc.")</f>
        <v>0</v>
      </c>
      <c r="C150" t="s">
        <v>458</v>
      </c>
      <c r="D150">
        <v>206.14</v>
      </c>
      <c r="E150">
        <v>0.0448239060832444</v>
      </c>
      <c r="F150">
        <v>0.05263157894736858</v>
      </c>
      <c r="G150">
        <v>0.03414621632574555</v>
      </c>
      <c r="H150">
        <v>8.675102264251006</v>
      </c>
      <c r="I150">
        <v>14979.864002</v>
      </c>
      <c r="J150">
        <v>36.68702840199356</v>
      </c>
      <c r="K150">
        <v>1.383588877870974</v>
      </c>
      <c r="M150">
        <v>353.43</v>
      </c>
      <c r="N150">
        <v>203.13</v>
      </c>
    </row>
    <row r="151" spans="1:14">
      <c r="A151" s="1" t="s">
        <v>163</v>
      </c>
      <c r="B151">
        <f>HYPERLINK("https://www.suredividend.com/sure-analysis-ETN/","Eaton Corporation plc")</f>
        <v>0</v>
      </c>
      <c r="C151" t="s">
        <v>451</v>
      </c>
      <c r="D151">
        <v>166.94</v>
      </c>
      <c r="E151">
        <v>0.02060620582245118</v>
      </c>
      <c r="F151">
        <v>0.06172839506172823</v>
      </c>
      <c r="G151">
        <v>0.05436481112522373</v>
      </c>
      <c r="H151">
        <v>4.058423344147887</v>
      </c>
      <c r="I151">
        <v>70664.89999999999</v>
      </c>
      <c r="J151">
        <v>28.70223395613323</v>
      </c>
      <c r="K151">
        <v>0.6609810006755518</v>
      </c>
      <c r="M151">
        <v>177.66</v>
      </c>
      <c r="N151">
        <v>120.62</v>
      </c>
    </row>
    <row r="152" spans="1:14">
      <c r="A152" s="1" t="s">
        <v>164</v>
      </c>
      <c r="B152">
        <f>HYPERLINK("https://www.suredividend.com/sure-analysis-ETR/","Entergy Corp.")</f>
        <v>0</v>
      </c>
      <c r="C152" t="s">
        <v>454</v>
      </c>
      <c r="D152">
        <v>103.15</v>
      </c>
      <c r="E152">
        <v>0.04149297140087252</v>
      </c>
      <c r="F152">
        <v>0.05940594059405946</v>
      </c>
      <c r="G152">
        <v>0.03752543962849475</v>
      </c>
      <c r="H152">
        <v>4.071165671429832</v>
      </c>
      <c r="I152">
        <v>22211.408295</v>
      </c>
      <c r="J152">
        <v>20.13423935778477</v>
      </c>
      <c r="K152">
        <v>0.7581314099496894</v>
      </c>
      <c r="M152">
        <v>120.99</v>
      </c>
      <c r="N152">
        <v>92.14</v>
      </c>
    </row>
    <row r="153" spans="1:14">
      <c r="A153" s="1" t="s">
        <v>165</v>
      </c>
      <c r="B153">
        <f>HYPERLINK("https://www.suredividend.com/sure-analysis-EVRG/","Evergy Inc")</f>
        <v>0</v>
      </c>
      <c r="C153" t="s">
        <v>454</v>
      </c>
      <c r="D153">
        <v>58.95</v>
      </c>
      <c r="E153">
        <v>0.04156064461407973</v>
      </c>
      <c r="F153" t="s">
        <v>461</v>
      </c>
      <c r="G153" t="s">
        <v>461</v>
      </c>
      <c r="H153">
        <v>0</v>
      </c>
      <c r="I153">
        <v>13666.186612</v>
      </c>
      <c r="J153">
        <v>18.15621975793809</v>
      </c>
      <c r="K153">
        <v>0</v>
      </c>
      <c r="M153">
        <v>71.18000000000001</v>
      </c>
      <c r="N153">
        <v>53.56</v>
      </c>
    </row>
    <row r="154" spans="1:14">
      <c r="A154" s="1" t="s">
        <v>166</v>
      </c>
      <c r="B154">
        <f>HYPERLINK("https://www.suredividend.com/sure-analysis-research-database/","Edwards Lifesciences Corp")</f>
        <v>0</v>
      </c>
      <c r="C154" t="s">
        <v>450</v>
      </c>
      <c r="D154">
        <v>81.73</v>
      </c>
      <c r="E154">
        <v>0</v>
      </c>
      <c r="F154" t="s">
        <v>461</v>
      </c>
      <c r="G154" t="s">
        <v>461</v>
      </c>
      <c r="H154">
        <v>0</v>
      </c>
      <c r="I154">
        <v>47004.376109</v>
      </c>
      <c r="J154">
        <v>30.88532499436231</v>
      </c>
      <c r="K154">
        <v>0</v>
      </c>
      <c r="M154">
        <v>131.1</v>
      </c>
      <c r="N154">
        <v>67.13</v>
      </c>
    </row>
    <row r="155" spans="1:14">
      <c r="A155" s="1" t="s">
        <v>167</v>
      </c>
      <c r="B155">
        <f>HYPERLINK("https://www.suredividend.com/sure-analysis-EXC/","Exelon Corp.")</f>
        <v>0</v>
      </c>
      <c r="C155" t="s">
        <v>454</v>
      </c>
      <c r="D155">
        <v>40.68</v>
      </c>
      <c r="E155">
        <v>0.03539823008849557</v>
      </c>
      <c r="F155">
        <v>0.06666666666666665</v>
      </c>
      <c r="G155">
        <v>0.008548252303932413</v>
      </c>
      <c r="H155">
        <v>1.355562903161159</v>
      </c>
      <c r="I155">
        <v>41136.972405</v>
      </c>
      <c r="J155">
        <v>18.95713014045161</v>
      </c>
      <c r="K155">
        <v>0.616164955982345</v>
      </c>
      <c r="M155">
        <v>49.12</v>
      </c>
      <c r="N155">
        <v>34.58</v>
      </c>
    </row>
    <row r="156" spans="1:14">
      <c r="A156" s="1" t="s">
        <v>168</v>
      </c>
      <c r="B156">
        <f>HYPERLINK("https://www.suredividend.com/sure-analysis-EXPD/","Expeditors International Of Washington, Inc.")</f>
        <v>0</v>
      </c>
      <c r="C156" t="s">
        <v>451</v>
      </c>
      <c r="D156">
        <v>105.9</v>
      </c>
      <c r="E156">
        <v>0.01265344664778092</v>
      </c>
      <c r="F156" t="s">
        <v>461</v>
      </c>
      <c r="G156" t="s">
        <v>461</v>
      </c>
      <c r="H156">
        <v>1.336046762423824</v>
      </c>
      <c r="I156">
        <v>16891.146014</v>
      </c>
      <c r="J156">
        <v>12.44375899319213</v>
      </c>
      <c r="K156">
        <v>0.1617490027147487</v>
      </c>
      <c r="M156">
        <v>119.9</v>
      </c>
      <c r="N156">
        <v>85.56999999999999</v>
      </c>
    </row>
    <row r="157" spans="1:14">
      <c r="A157" s="1" t="s">
        <v>169</v>
      </c>
      <c r="B157">
        <f>HYPERLINK("https://www.suredividend.com/sure-analysis-research-database/","Expedia Group Inc")</f>
        <v>0</v>
      </c>
      <c r="C157" t="s">
        <v>457</v>
      </c>
      <c r="D157">
        <v>96.75</v>
      </c>
      <c r="E157">
        <v>0</v>
      </c>
      <c r="F157" t="s">
        <v>461</v>
      </c>
      <c r="G157" t="s">
        <v>461</v>
      </c>
      <c r="H157">
        <v>0</v>
      </c>
      <c r="I157">
        <v>15907.435552</v>
      </c>
      <c r="J157">
        <v>45.19157827278409</v>
      </c>
      <c r="K157">
        <v>0</v>
      </c>
      <c r="M157">
        <v>203.98</v>
      </c>
      <c r="N157">
        <v>82.39</v>
      </c>
    </row>
    <row r="158" spans="1:14">
      <c r="A158" s="1" t="s">
        <v>170</v>
      </c>
      <c r="B158">
        <f>HYPERLINK("https://www.suredividend.com/sure-analysis-EXR/","Extra Space Storage Inc.")</f>
        <v>0</v>
      </c>
      <c r="C158" t="s">
        <v>458</v>
      </c>
      <c r="D158">
        <v>158.66</v>
      </c>
      <c r="E158">
        <v>0.04084205218706669</v>
      </c>
      <c r="F158">
        <v>0.08000000000000007</v>
      </c>
      <c r="G158">
        <v>0.1350194732058836</v>
      </c>
      <c r="H158">
        <v>5.920659057210023</v>
      </c>
      <c r="I158">
        <v>22827.319269</v>
      </c>
      <c r="J158">
        <v>26.55923739259581</v>
      </c>
      <c r="K158">
        <v>0.9753968792767748</v>
      </c>
      <c r="M158">
        <v>216.5</v>
      </c>
      <c r="N158">
        <v>139.97</v>
      </c>
    </row>
    <row r="159" spans="1:14">
      <c r="A159" s="1" t="s">
        <v>171</v>
      </c>
      <c r="B159">
        <f>HYPERLINK("https://www.suredividend.com/sure-analysis-F/","Ford Motor Co.")</f>
        <v>0</v>
      </c>
      <c r="C159" t="s">
        <v>457</v>
      </c>
      <c r="D159">
        <v>11.72</v>
      </c>
      <c r="E159">
        <v>0.05119453924914676</v>
      </c>
      <c r="F159" t="s">
        <v>461</v>
      </c>
      <c r="G159" t="s">
        <v>461</v>
      </c>
      <c r="H159">
        <v>0.5273338510706821</v>
      </c>
      <c r="I159">
        <v>51212.513588</v>
      </c>
      <c r="J159" t="s">
        <v>461</v>
      </c>
      <c r="K159" t="s">
        <v>461</v>
      </c>
      <c r="M159">
        <v>16.49</v>
      </c>
      <c r="N159">
        <v>9.9</v>
      </c>
    </row>
    <row r="160" spans="1:14">
      <c r="A160" s="1" t="s">
        <v>172</v>
      </c>
      <c r="B160">
        <f>HYPERLINK("https://www.suredividend.com/sure-analysis-FANG/","Diamondback Energy Inc")</f>
        <v>0</v>
      </c>
      <c r="C160" t="s">
        <v>459</v>
      </c>
      <c r="D160">
        <v>130.62</v>
      </c>
      <c r="E160">
        <v>0.02449854539886694</v>
      </c>
      <c r="F160">
        <v>-0.06521739130434778</v>
      </c>
      <c r="G160">
        <v>0.6288737989646356</v>
      </c>
      <c r="H160">
        <v>2.962876362521076</v>
      </c>
      <c r="I160">
        <v>26943.716831</v>
      </c>
      <c r="J160">
        <v>6.14311829247606</v>
      </c>
      <c r="K160">
        <v>0.1192784364944072</v>
      </c>
      <c r="M160">
        <v>166.5</v>
      </c>
      <c r="N160">
        <v>100.44</v>
      </c>
    </row>
    <row r="161" spans="1:14">
      <c r="A161" s="1" t="s">
        <v>173</v>
      </c>
      <c r="B161">
        <f>HYPERLINK("https://www.suredividend.com/sure-analysis-FAST/","Fastenal Co.")</f>
        <v>0</v>
      </c>
      <c r="C161" t="s">
        <v>451</v>
      </c>
      <c r="D161">
        <v>53.14</v>
      </c>
      <c r="E161">
        <v>0.02634550244636808</v>
      </c>
      <c r="F161">
        <v>0.1290322580645162</v>
      </c>
      <c r="G161">
        <v>-0.02635281938483192</v>
      </c>
      <c r="H161">
        <v>1.267554347719525</v>
      </c>
      <c r="I161">
        <v>30649.169463</v>
      </c>
      <c r="J161">
        <v>28.19870223888122</v>
      </c>
      <c r="K161">
        <v>0.6706636760420767</v>
      </c>
      <c r="M161">
        <v>59.21</v>
      </c>
      <c r="N161">
        <v>43.14</v>
      </c>
    </row>
    <row r="162" spans="1:14">
      <c r="A162" s="1" t="s">
        <v>174</v>
      </c>
      <c r="B162">
        <f>HYPERLINK("https://www.suredividend.com/sure-analysis-research-database/","Meta Platforms Inc")</f>
        <v>0</v>
      </c>
      <c r="C162" t="s">
        <v>460</v>
      </c>
      <c r="D162">
        <v>196.64</v>
      </c>
      <c r="E162">
        <v>0</v>
      </c>
      <c r="F162" t="s">
        <v>461</v>
      </c>
      <c r="G162" t="s">
        <v>461</v>
      </c>
      <c r="H162">
        <v>0</v>
      </c>
      <c r="I162">
        <v>561210.58517</v>
      </c>
      <c r="J162">
        <v>15.03054757003374</v>
      </c>
      <c r="K162">
        <v>0</v>
      </c>
      <c r="M162">
        <v>384.33</v>
      </c>
      <c r="N162">
        <v>169</v>
      </c>
    </row>
    <row r="163" spans="1:14">
      <c r="A163" s="1" t="s">
        <v>175</v>
      </c>
      <c r="B163">
        <f>HYPERLINK("https://www.suredividend.com/sure-analysis-FCX/","Freeport-McMoRan Inc")</f>
        <v>0</v>
      </c>
      <c r="C163" t="s">
        <v>456</v>
      </c>
      <c r="D163">
        <v>38.26</v>
      </c>
      <c r="E163">
        <v>0.007841087297438579</v>
      </c>
      <c r="F163">
        <v>0</v>
      </c>
      <c r="G163">
        <v>0.08447177119769855</v>
      </c>
      <c r="H163">
        <v>0.44890201850508</v>
      </c>
      <c r="I163">
        <v>62564.23502</v>
      </c>
      <c r="J163">
        <v>18.07692430510546</v>
      </c>
      <c r="K163">
        <v>0.1878251123452218</v>
      </c>
      <c r="M163">
        <v>51.54</v>
      </c>
      <c r="N163">
        <v>24.69</v>
      </c>
    </row>
    <row r="164" spans="1:14">
      <c r="A164" s="1" t="s">
        <v>176</v>
      </c>
      <c r="B164">
        <f>HYPERLINK("https://www.suredividend.com/sure-analysis-FDX/","Fedex Corp")</f>
        <v>0</v>
      </c>
      <c r="C164" t="s">
        <v>451</v>
      </c>
      <c r="D164">
        <v>219.83</v>
      </c>
      <c r="E164">
        <v>0.02092526042851294</v>
      </c>
      <c r="F164">
        <v>0.5333333333333332</v>
      </c>
      <c r="G164">
        <v>0.1208742617958329</v>
      </c>
      <c r="H164">
        <v>3.428382770543716</v>
      </c>
      <c r="I164">
        <v>52771.194031</v>
      </c>
      <c r="J164">
        <v>15.83294150351035</v>
      </c>
      <c r="K164">
        <v>0.2682615626403534</v>
      </c>
      <c r="M164">
        <v>245.75</v>
      </c>
      <c r="N164">
        <v>140.97</v>
      </c>
    </row>
    <row r="165" spans="1:14">
      <c r="A165" s="1" t="s">
        <v>177</v>
      </c>
      <c r="B165">
        <f>HYPERLINK("https://www.suredividend.com/sure-analysis-FE/","Firstenergy Corp.")</f>
        <v>0</v>
      </c>
      <c r="C165" t="s">
        <v>454</v>
      </c>
      <c r="D165">
        <v>39.38</v>
      </c>
      <c r="E165">
        <v>0.03961401726764855</v>
      </c>
      <c r="F165">
        <v>0</v>
      </c>
      <c r="G165">
        <v>0.01613736474159566</v>
      </c>
      <c r="H165">
        <v>1.536788154249662</v>
      </c>
      <c r="I165">
        <v>22763.91342</v>
      </c>
      <c r="J165">
        <v>56.06875226482758</v>
      </c>
      <c r="K165">
        <v>2.165100245491212</v>
      </c>
      <c r="M165">
        <v>46.98</v>
      </c>
      <c r="N165">
        <v>34.27</v>
      </c>
    </row>
    <row r="166" spans="1:14">
      <c r="A166" s="1" t="s">
        <v>178</v>
      </c>
      <c r="B166">
        <f>HYPERLINK("https://www.suredividend.com/sure-analysis-FIS/","Fidelity National Information Services, Inc.")</f>
        <v>0</v>
      </c>
      <c r="C166" t="s">
        <v>452</v>
      </c>
      <c r="D166">
        <v>53.09</v>
      </c>
      <c r="E166">
        <v>0.03917875306084008</v>
      </c>
      <c r="F166">
        <v>0.1063829787234043</v>
      </c>
      <c r="G166">
        <v>0.1019722877214801</v>
      </c>
      <c r="H166">
        <v>1.863284732808726</v>
      </c>
      <c r="I166">
        <v>37842.434789</v>
      </c>
      <c r="J166" t="s">
        <v>461</v>
      </c>
      <c r="K166" t="s">
        <v>461</v>
      </c>
      <c r="M166">
        <v>104.88</v>
      </c>
      <c r="N166">
        <v>56.15</v>
      </c>
    </row>
    <row r="167" spans="1:14">
      <c r="A167" s="1" t="s">
        <v>179</v>
      </c>
      <c r="B167">
        <f>HYPERLINK("https://www.suredividend.com/sure-analysis-research-database/","Fiserv, Inc.")</f>
        <v>0</v>
      </c>
      <c r="C167" t="s">
        <v>452</v>
      </c>
      <c r="D167">
        <v>113.04</v>
      </c>
      <c r="E167">
        <v>0</v>
      </c>
      <c r="F167" t="s">
        <v>461</v>
      </c>
      <c r="G167" t="s">
        <v>461</v>
      </c>
      <c r="H167">
        <v>0</v>
      </c>
      <c r="I167">
        <v>74282.222979</v>
      </c>
      <c r="J167">
        <v>29.36056244222135</v>
      </c>
      <c r="K167">
        <v>0</v>
      </c>
      <c r="M167">
        <v>118.29</v>
      </c>
      <c r="N167">
        <v>87.03</v>
      </c>
    </row>
    <row r="168" spans="1:14">
      <c r="A168" s="1" t="s">
        <v>180</v>
      </c>
      <c r="B168">
        <f>HYPERLINK("https://www.suredividend.com/sure-analysis-FITB/","Fifth Third Bancorp")</f>
        <v>0</v>
      </c>
      <c r="C168" t="s">
        <v>455</v>
      </c>
      <c r="D168">
        <v>27.39</v>
      </c>
      <c r="E168">
        <v>0.04819277108433735</v>
      </c>
      <c r="F168">
        <v>0.09999999999999987</v>
      </c>
      <c r="G168">
        <v>0.1557896243650145</v>
      </c>
      <c r="H168">
        <v>1.242066112586541</v>
      </c>
      <c r="I168">
        <v>24585.139622</v>
      </c>
      <c r="J168">
        <v>10.5606269854811</v>
      </c>
      <c r="K168">
        <v>0.3707660037571764</v>
      </c>
      <c r="M168">
        <v>46.35</v>
      </c>
      <c r="N168">
        <v>30.61</v>
      </c>
    </row>
    <row r="169" spans="1:14">
      <c r="A169" s="1" t="s">
        <v>181</v>
      </c>
      <c r="B169">
        <f>HYPERLINK("https://www.suredividend.com/sure-analysis-research-database/","Fleetcor Technologies Inc")</f>
        <v>0</v>
      </c>
      <c r="C169" t="s">
        <v>452</v>
      </c>
      <c r="D169">
        <v>210.63</v>
      </c>
      <c r="E169">
        <v>0</v>
      </c>
      <c r="F169" t="s">
        <v>461</v>
      </c>
      <c r="G169" t="s">
        <v>461</v>
      </c>
      <c r="H169">
        <v>0</v>
      </c>
      <c r="I169">
        <v>15780.114634</v>
      </c>
      <c r="J169">
        <v>16.5353328934841</v>
      </c>
      <c r="K169">
        <v>0</v>
      </c>
      <c r="M169">
        <v>265.3</v>
      </c>
      <c r="N169">
        <v>161.69</v>
      </c>
    </row>
    <row r="170" spans="1:14">
      <c r="A170" s="1" t="s">
        <v>182</v>
      </c>
      <c r="B170">
        <f>HYPERLINK("https://www.suredividend.com/sure-analysis-FMC/","FMC Corp.")</f>
        <v>0</v>
      </c>
      <c r="C170" t="s">
        <v>456</v>
      </c>
      <c r="D170">
        <v>121.53</v>
      </c>
      <c r="E170">
        <v>0.01908993664115856</v>
      </c>
      <c r="F170">
        <v>0.09433962264150941</v>
      </c>
      <c r="G170">
        <v>0.285845560818988</v>
      </c>
      <c r="H170">
        <v>2.154862226139296</v>
      </c>
      <c r="I170">
        <v>16064.227234</v>
      </c>
      <c r="J170">
        <v>21.86204032879695</v>
      </c>
      <c r="K170">
        <v>0.3715279700240166</v>
      </c>
      <c r="M170">
        <v>138.96</v>
      </c>
      <c r="N170">
        <v>97.3</v>
      </c>
    </row>
    <row r="171" spans="1:14">
      <c r="A171" s="1" t="s">
        <v>183</v>
      </c>
      <c r="B171">
        <f>HYPERLINK("https://www.suredividend.com/sure-analysis-research-database/","Fox Corporation")</f>
        <v>0</v>
      </c>
      <c r="C171" t="s">
        <v>460</v>
      </c>
      <c r="D171">
        <v>31.03</v>
      </c>
      <c r="E171">
        <v>0.015468861650085</v>
      </c>
      <c r="F171" t="s">
        <v>461</v>
      </c>
      <c r="G171" t="s">
        <v>461</v>
      </c>
      <c r="H171">
        <v>0.4980973451327431</v>
      </c>
      <c r="I171">
        <v>18020.497975</v>
      </c>
      <c r="J171">
        <v>0</v>
      </c>
      <c r="K171" t="s">
        <v>461</v>
      </c>
      <c r="M171">
        <v>38.7</v>
      </c>
      <c r="N171">
        <v>26.15</v>
      </c>
    </row>
    <row r="172" spans="1:14">
      <c r="A172" s="1" t="s">
        <v>184</v>
      </c>
      <c r="B172">
        <f>HYPERLINK("https://www.suredividend.com/sure-analysis-FOXA/","Fox Corporation")</f>
        <v>0</v>
      </c>
      <c r="C172" t="s">
        <v>460</v>
      </c>
      <c r="D172">
        <v>33.73</v>
      </c>
      <c r="E172">
        <v>0.01541654313667359</v>
      </c>
      <c r="F172" t="s">
        <v>461</v>
      </c>
      <c r="G172" t="s">
        <v>461</v>
      </c>
      <c r="H172">
        <v>0.4982485380116951</v>
      </c>
      <c r="I172">
        <v>18020.497975</v>
      </c>
      <c r="J172">
        <v>16.24932188923355</v>
      </c>
      <c r="K172">
        <v>0.2529180395998452</v>
      </c>
      <c r="M172">
        <v>42.43</v>
      </c>
      <c r="N172">
        <v>27.82</v>
      </c>
    </row>
    <row r="173" spans="1:14">
      <c r="A173" s="1" t="s">
        <v>185</v>
      </c>
      <c r="B173">
        <f>HYPERLINK("https://www.suredividend.com/sure-analysis-research-database/","First Republic Bank")</f>
        <v>0</v>
      </c>
      <c r="C173" t="s">
        <v>455</v>
      </c>
      <c r="D173">
        <v>15.77</v>
      </c>
      <c r="E173">
        <v>0.008737922126301001</v>
      </c>
      <c r="F173">
        <v>0.2272727272727273</v>
      </c>
      <c r="G173">
        <v>0.08447177119769855</v>
      </c>
      <c r="H173">
        <v>1.076686764402858</v>
      </c>
      <c r="I173">
        <v>22136.080051</v>
      </c>
      <c r="J173">
        <v>14.47766849386618</v>
      </c>
      <c r="K173">
        <v>0.1284829074466418</v>
      </c>
      <c r="M173">
        <v>172.86</v>
      </c>
      <c r="N173">
        <v>106.65</v>
      </c>
    </row>
    <row r="174" spans="1:14">
      <c r="A174" s="1" t="s">
        <v>186</v>
      </c>
      <c r="B174">
        <f>HYPERLINK("https://www.suredividend.com/sure-analysis-research-database/","Fortinet Inc")</f>
        <v>0</v>
      </c>
      <c r="C174" t="s">
        <v>452</v>
      </c>
      <c r="D174">
        <v>62.46</v>
      </c>
      <c r="E174">
        <v>0</v>
      </c>
      <c r="F174" t="s">
        <v>461</v>
      </c>
      <c r="G174" t="s">
        <v>461</v>
      </c>
      <c r="H174">
        <v>0</v>
      </c>
      <c r="I174">
        <v>47702.593023</v>
      </c>
      <c r="J174">
        <v>55.6428240088184</v>
      </c>
      <c r="K174">
        <v>0</v>
      </c>
      <c r="M174">
        <v>71.52</v>
      </c>
      <c r="N174">
        <v>42.61</v>
      </c>
    </row>
    <row r="175" spans="1:14">
      <c r="A175" s="1" t="s">
        <v>187</v>
      </c>
      <c r="B175">
        <f>HYPERLINK("https://www.suredividend.com/sure-analysis-research-database/","Fortive Corp")</f>
        <v>0</v>
      </c>
      <c r="C175" t="s">
        <v>452</v>
      </c>
      <c r="D175">
        <v>65.94</v>
      </c>
      <c r="E175">
        <v>0.004102017793246</v>
      </c>
      <c r="F175">
        <v>0</v>
      </c>
      <c r="G175">
        <v>0</v>
      </c>
      <c r="H175">
        <v>0.279552512609762</v>
      </c>
      <c r="I175">
        <v>24070.497061</v>
      </c>
      <c r="J175">
        <v>31.87300988009799</v>
      </c>
      <c r="K175">
        <v>0.1337571830668718</v>
      </c>
      <c r="M175">
        <v>69.70999999999999</v>
      </c>
      <c r="N175">
        <v>52.3</v>
      </c>
    </row>
    <row r="176" spans="1:14">
      <c r="A176" s="1" t="s">
        <v>188</v>
      </c>
      <c r="B176">
        <f>HYPERLINK("https://www.suredividend.com/sure-analysis-GD/","General Dynamics Corp.")</f>
        <v>0</v>
      </c>
      <c r="C176" t="s">
        <v>451</v>
      </c>
      <c r="D176">
        <v>222.37</v>
      </c>
      <c r="E176">
        <v>0.02374421010028331</v>
      </c>
      <c r="F176">
        <v>0.05882352941176472</v>
      </c>
      <c r="G176">
        <v>0.06261885889987062</v>
      </c>
      <c r="H176">
        <v>4.998809653600768</v>
      </c>
      <c r="I176">
        <v>63404.319676</v>
      </c>
      <c r="J176">
        <v>18.70333913751032</v>
      </c>
      <c r="K176">
        <v>0.4100746229368964</v>
      </c>
      <c r="M176">
        <v>255.49</v>
      </c>
      <c r="N176">
        <v>204.68</v>
      </c>
    </row>
    <row r="177" spans="1:14">
      <c r="A177" s="1" t="s">
        <v>189</v>
      </c>
      <c r="B177">
        <f>HYPERLINK("https://www.suredividend.com/sure-analysis-GE/","General Electric Co.")</f>
        <v>0</v>
      </c>
      <c r="C177" t="s">
        <v>451</v>
      </c>
      <c r="D177">
        <v>92.18000000000001</v>
      </c>
      <c r="E177">
        <v>0.003471468865263614</v>
      </c>
      <c r="F177">
        <v>0</v>
      </c>
      <c r="G177">
        <v>-0.07789208851827223</v>
      </c>
      <c r="H177">
        <v>0.251429648686899</v>
      </c>
      <c r="I177">
        <v>94092.57244800001</v>
      </c>
      <c r="J177" t="s">
        <v>461</v>
      </c>
      <c r="K177" t="s">
        <v>461</v>
      </c>
      <c r="M177">
        <v>87.04000000000001</v>
      </c>
      <c r="N177">
        <v>47.06</v>
      </c>
    </row>
    <row r="178" spans="1:14">
      <c r="A178" s="1" t="s">
        <v>190</v>
      </c>
      <c r="B178">
        <f>HYPERLINK("https://www.suredividend.com/sure-analysis-GILD/","Gilead Sciences, Inc.")</f>
        <v>0</v>
      </c>
      <c r="C178" t="s">
        <v>450</v>
      </c>
      <c r="D178">
        <v>79.14</v>
      </c>
      <c r="E178">
        <v>0.03790750568612585</v>
      </c>
      <c r="F178">
        <v>0.02739726027397271</v>
      </c>
      <c r="G178">
        <v>0.05642162229904302</v>
      </c>
      <c r="H178">
        <v>2.8769150939119</v>
      </c>
      <c r="I178">
        <v>101152.699041</v>
      </c>
      <c r="J178">
        <v>22.02802679462979</v>
      </c>
      <c r="K178">
        <v>0.7903612895362362</v>
      </c>
      <c r="M178">
        <v>89.29000000000001</v>
      </c>
      <c r="N178">
        <v>54.82</v>
      </c>
    </row>
    <row r="179" spans="1:14">
      <c r="A179" s="1" t="s">
        <v>191</v>
      </c>
      <c r="B179">
        <f>HYPERLINK("https://www.suredividend.com/sure-analysis-GIS/","General Mills, Inc.")</f>
        <v>0</v>
      </c>
      <c r="C179" t="s">
        <v>453</v>
      </c>
      <c r="D179">
        <v>80.75</v>
      </c>
      <c r="E179">
        <v>0.02674922600619195</v>
      </c>
      <c r="F179">
        <v>0.05882352941176472</v>
      </c>
      <c r="G179">
        <v>0.01962279460665517</v>
      </c>
      <c r="H179">
        <v>2.109193318496256</v>
      </c>
      <c r="I179">
        <v>46933.013073</v>
      </c>
      <c r="J179">
        <v>16.13372742289446</v>
      </c>
      <c r="K179">
        <v>0.4403326343415983</v>
      </c>
      <c r="M179">
        <v>87.79000000000001</v>
      </c>
      <c r="N179">
        <v>59.98</v>
      </c>
    </row>
    <row r="180" spans="1:14">
      <c r="A180" s="1" t="s">
        <v>192</v>
      </c>
      <c r="B180">
        <f>HYPERLINK("https://www.suredividend.com/sure-analysis-GL/","Globe Life Inc")</f>
        <v>0</v>
      </c>
      <c r="C180" t="s">
        <v>455</v>
      </c>
      <c r="D180">
        <v>109.89</v>
      </c>
      <c r="E180">
        <v>0.00819000819000819</v>
      </c>
      <c r="F180">
        <v>0.05063291139240511</v>
      </c>
      <c r="G180">
        <v>0.05336679400581579</v>
      </c>
      <c r="H180">
        <v>0.8276765243109501</v>
      </c>
      <c r="I180">
        <v>11635.683864</v>
      </c>
      <c r="J180">
        <v>15.73018918872954</v>
      </c>
      <c r="K180">
        <v>0.1108000701888822</v>
      </c>
      <c r="M180">
        <v>123.85</v>
      </c>
      <c r="N180">
        <v>87.36</v>
      </c>
    </row>
    <row r="181" spans="1:14">
      <c r="A181" s="1" t="s">
        <v>193</v>
      </c>
      <c r="B181">
        <f>HYPERLINK("https://www.suredividend.com/sure-analysis-GLW/","Corning, Inc.")</f>
        <v>0</v>
      </c>
      <c r="C181" t="s">
        <v>452</v>
      </c>
      <c r="D181">
        <v>33.67</v>
      </c>
      <c r="E181">
        <v>0.03326403326403327</v>
      </c>
      <c r="F181">
        <v>0.03703703703703698</v>
      </c>
      <c r="G181">
        <v>0.09238846414037316</v>
      </c>
      <c r="H181">
        <v>1.076983073194189</v>
      </c>
      <c r="I181">
        <v>29858.291894</v>
      </c>
      <c r="J181">
        <v>22.68867165193009</v>
      </c>
      <c r="K181">
        <v>0.6993396579183045</v>
      </c>
      <c r="M181">
        <v>37.6</v>
      </c>
      <c r="N181">
        <v>28.51</v>
      </c>
    </row>
    <row r="182" spans="1:14">
      <c r="A182" s="1" t="s">
        <v>194</v>
      </c>
      <c r="B182">
        <f>HYPERLINK("https://www.suredividend.com/sure-analysis-research-database/","General Motors Company")</f>
        <v>0</v>
      </c>
      <c r="C182" t="s">
        <v>457</v>
      </c>
      <c r="D182">
        <v>35.1</v>
      </c>
      <c r="E182">
        <v>0.006568697283810001</v>
      </c>
      <c r="F182" t="s">
        <v>461</v>
      </c>
      <c r="G182" t="s">
        <v>461</v>
      </c>
      <c r="H182">
        <v>0.269382275609054</v>
      </c>
      <c r="I182">
        <v>57194.072638</v>
      </c>
      <c r="J182">
        <v>6.416927256620665</v>
      </c>
      <c r="K182">
        <v>0.0439449062983775</v>
      </c>
      <c r="M182">
        <v>46.42</v>
      </c>
      <c r="N182">
        <v>30.12</v>
      </c>
    </row>
    <row r="183" spans="1:14">
      <c r="A183" s="1" t="s">
        <v>195</v>
      </c>
      <c r="B183">
        <f>HYPERLINK("https://www.suredividend.com/sure-analysis-research-database/","Alphabet Inc")</f>
        <v>0</v>
      </c>
      <c r="C183" t="s">
        <v>460</v>
      </c>
      <c r="D183">
        <v>105.84</v>
      </c>
      <c r="E183">
        <v>0</v>
      </c>
      <c r="F183" t="s">
        <v>461</v>
      </c>
      <c r="G183" t="s">
        <v>461</v>
      </c>
      <c r="H183">
        <v>0</v>
      </c>
      <c r="I183">
        <v>1118890.76</v>
      </c>
      <c r="J183">
        <v>0</v>
      </c>
      <c r="K183" t="s">
        <v>461</v>
      </c>
      <c r="M183">
        <v>144.16</v>
      </c>
      <c r="N183">
        <v>83.45</v>
      </c>
    </row>
    <row r="184" spans="1:14">
      <c r="A184" s="1" t="s">
        <v>196</v>
      </c>
      <c r="B184">
        <f>HYPERLINK("https://www.suredividend.com/sure-analysis-research-database/","Alphabet Inc")</f>
        <v>0</v>
      </c>
      <c r="C184" t="s">
        <v>460</v>
      </c>
      <c r="D184">
        <v>104.92</v>
      </c>
      <c r="E184">
        <v>0</v>
      </c>
      <c r="F184" t="s">
        <v>461</v>
      </c>
      <c r="G184" t="s">
        <v>461</v>
      </c>
      <c r="H184">
        <v>0</v>
      </c>
      <c r="I184">
        <v>1118890.76</v>
      </c>
      <c r="J184">
        <v>18.65688588007737</v>
      </c>
      <c r="K184">
        <v>0</v>
      </c>
      <c r="M184">
        <v>143.79</v>
      </c>
      <c r="N184">
        <v>83.34</v>
      </c>
    </row>
    <row r="185" spans="1:14">
      <c r="A185" s="1" t="s">
        <v>197</v>
      </c>
      <c r="B185">
        <f>HYPERLINK("https://www.suredividend.com/sure-analysis-GPC/","Genuine Parts Co.")</f>
        <v>0</v>
      </c>
      <c r="C185" t="s">
        <v>457</v>
      </c>
      <c r="D185">
        <v>165.92</v>
      </c>
      <c r="E185">
        <v>0.02290260366441659</v>
      </c>
      <c r="F185">
        <v>0.06145251396648055</v>
      </c>
      <c r="G185">
        <v>0.05700787217295233</v>
      </c>
      <c r="H185">
        <v>3.606252160183648</v>
      </c>
      <c r="I185">
        <v>23261.638705</v>
      </c>
      <c r="J185">
        <v>19.66823288827861</v>
      </c>
      <c r="K185">
        <v>0.4339653622362994</v>
      </c>
      <c r="M185">
        <v>186.68</v>
      </c>
      <c r="N185">
        <v>118.8</v>
      </c>
    </row>
    <row r="186" spans="1:14">
      <c r="A186" s="1" t="s">
        <v>198</v>
      </c>
      <c r="B186">
        <f>HYPERLINK("https://www.suredividend.com/sure-analysis-research-database/","Global Payments, Inc.")</f>
        <v>0</v>
      </c>
      <c r="C186" t="s">
        <v>451</v>
      </c>
      <c r="D186">
        <v>102.45</v>
      </c>
      <c r="E186">
        <v>0.008835575708452</v>
      </c>
      <c r="F186">
        <v>0</v>
      </c>
      <c r="G186">
        <v>0.9036539387158786</v>
      </c>
      <c r="H186">
        <v>0.9966529399134281</v>
      </c>
      <c r="I186">
        <v>29683.777066</v>
      </c>
      <c r="J186">
        <v>266.238930386661</v>
      </c>
      <c r="K186">
        <v>2.463304349761315</v>
      </c>
      <c r="M186">
        <v>145.77</v>
      </c>
      <c r="N186">
        <v>92.27</v>
      </c>
    </row>
    <row r="187" spans="1:14">
      <c r="A187" s="1" t="s">
        <v>199</v>
      </c>
      <c r="B187">
        <f>HYPERLINK("https://www.suredividend.com/sure-analysis-GRMN/","Garmin Ltd")</f>
        <v>0</v>
      </c>
      <c r="C187" t="s">
        <v>452</v>
      </c>
      <c r="D187">
        <v>97.36</v>
      </c>
      <c r="E187">
        <v>0.02999178307313065</v>
      </c>
      <c r="F187">
        <v>0.08955223880596996</v>
      </c>
      <c r="G187">
        <v>0.06612811933931328</v>
      </c>
      <c r="H187">
        <v>0.654520051051326</v>
      </c>
      <c r="I187">
        <v>18994.342183</v>
      </c>
      <c r="J187">
        <v>19.50969066216098</v>
      </c>
      <c r="K187">
        <v>0.1298650894943107</v>
      </c>
      <c r="M187">
        <v>118.92</v>
      </c>
      <c r="N187">
        <v>75.79000000000001</v>
      </c>
    </row>
    <row r="188" spans="1:14">
      <c r="A188" s="1" t="s">
        <v>200</v>
      </c>
      <c r="B188">
        <f>HYPERLINK("https://www.suredividend.com/sure-analysis-GS/","Goldman Sachs Group, Inc.")</f>
        <v>0</v>
      </c>
      <c r="C188" t="s">
        <v>455</v>
      </c>
      <c r="D188">
        <v>317.28</v>
      </c>
      <c r="E188">
        <v>0.03151790216843167</v>
      </c>
      <c r="F188">
        <v>0.25</v>
      </c>
      <c r="G188">
        <v>0.2559432157547901</v>
      </c>
      <c r="H188">
        <v>9.406340936548958</v>
      </c>
      <c r="I188">
        <v>119776.302269</v>
      </c>
      <c r="J188">
        <v>11.12748999154682</v>
      </c>
      <c r="K188">
        <v>0.312918860164636</v>
      </c>
      <c r="M188">
        <v>384.29</v>
      </c>
      <c r="N188">
        <v>272.01</v>
      </c>
    </row>
    <row r="189" spans="1:14">
      <c r="A189" s="1" t="s">
        <v>201</v>
      </c>
      <c r="B189">
        <f>HYPERLINK("https://www.suredividend.com/sure-analysis-GWW/","W.W. Grainger Inc.")</f>
        <v>0</v>
      </c>
      <c r="C189" t="s">
        <v>451</v>
      </c>
      <c r="D189">
        <v>680.8200000000001</v>
      </c>
      <c r="E189">
        <v>0.01010546106166094</v>
      </c>
      <c r="F189">
        <v>0</v>
      </c>
      <c r="G189">
        <v>0.04808838399458915</v>
      </c>
      <c r="H189">
        <v>6.836668533206117</v>
      </c>
      <c r="I189">
        <v>35121.919256</v>
      </c>
      <c r="J189">
        <v>22.70324450904977</v>
      </c>
      <c r="K189">
        <v>0.2258562449027459</v>
      </c>
      <c r="M189">
        <v>709.21</v>
      </c>
      <c r="N189">
        <v>435.43</v>
      </c>
    </row>
    <row r="190" spans="1:14">
      <c r="A190" s="1" t="s">
        <v>202</v>
      </c>
      <c r="B190">
        <f>HYPERLINK("https://www.suredividend.com/sure-analysis-HAL/","Halliburton Co.")</f>
        <v>0</v>
      </c>
      <c r="C190" t="s">
        <v>459</v>
      </c>
      <c r="D190">
        <v>31.94</v>
      </c>
      <c r="E190">
        <v>0.02003757044458359</v>
      </c>
      <c r="F190">
        <v>0.3333333333333335</v>
      </c>
      <c r="G190">
        <v>-0.02328131613882611</v>
      </c>
      <c r="H190">
        <v>0.517658503197982</v>
      </c>
      <c r="I190">
        <v>35161.244184</v>
      </c>
      <c r="J190">
        <v>22.36720367928117</v>
      </c>
      <c r="K190">
        <v>0.299224568322533</v>
      </c>
      <c r="M190">
        <v>43.66</v>
      </c>
      <c r="N190">
        <v>23.12</v>
      </c>
    </row>
    <row r="191" spans="1:14">
      <c r="A191" s="1" t="s">
        <v>203</v>
      </c>
      <c r="B191">
        <f>HYPERLINK("https://www.suredividend.com/sure-analysis-HBAN/","Huntington Bancshares, Inc.")</f>
        <v>0</v>
      </c>
      <c r="C191" t="s">
        <v>455</v>
      </c>
      <c r="D191">
        <v>11.24</v>
      </c>
      <c r="E191">
        <v>0.05516014234875444</v>
      </c>
      <c r="F191">
        <v>0</v>
      </c>
      <c r="G191">
        <v>0.07099588603959828</v>
      </c>
      <c r="H191">
        <v>0.6095490815492071</v>
      </c>
      <c r="I191">
        <v>21962.716974</v>
      </c>
      <c r="J191">
        <v>10.33539622328471</v>
      </c>
      <c r="K191">
        <v>0.4203786769304876</v>
      </c>
      <c r="M191">
        <v>15.62</v>
      </c>
      <c r="N191">
        <v>11.41</v>
      </c>
    </row>
    <row r="192" spans="1:14">
      <c r="A192" s="1" t="s">
        <v>204</v>
      </c>
      <c r="B192">
        <f>HYPERLINK("https://www.suredividend.com/sure-analysis-research-database/","HCA Healthcare Inc")</f>
        <v>0</v>
      </c>
      <c r="C192" t="s">
        <v>450</v>
      </c>
      <c r="D192">
        <v>258.69</v>
      </c>
      <c r="E192">
        <v>0.008925901726333001</v>
      </c>
      <c r="F192" t="s">
        <v>461</v>
      </c>
      <c r="G192" t="s">
        <v>461</v>
      </c>
      <c r="H192">
        <v>2.231386172566047</v>
      </c>
      <c r="I192">
        <v>69238.830336</v>
      </c>
      <c r="J192">
        <v>12.26986183519405</v>
      </c>
      <c r="K192">
        <v>0.116521471152274</v>
      </c>
      <c r="M192">
        <v>276.76</v>
      </c>
      <c r="N192">
        <v>163.65</v>
      </c>
    </row>
    <row r="193" spans="1:14">
      <c r="A193" s="1" t="s">
        <v>205</v>
      </c>
      <c r="B193">
        <f>HYPERLINK("https://www.suredividend.com/sure-analysis-HD/","Home Depot, Inc.")</f>
        <v>0</v>
      </c>
      <c r="C193" t="s">
        <v>457</v>
      </c>
      <c r="D193">
        <v>289.43</v>
      </c>
      <c r="E193">
        <v>0.02888435891234495</v>
      </c>
      <c r="F193">
        <v>0.09999999999999987</v>
      </c>
      <c r="G193">
        <v>0.1520247572913045</v>
      </c>
      <c r="H193">
        <v>7.529462513236031</v>
      </c>
      <c r="I193">
        <v>305531.156913</v>
      </c>
      <c r="J193">
        <v>17.87254500809301</v>
      </c>
      <c r="K193">
        <v>0.4541292227524748</v>
      </c>
      <c r="M193">
        <v>347.25</v>
      </c>
      <c r="N193">
        <v>261.21</v>
      </c>
    </row>
    <row r="194" spans="1:14">
      <c r="A194" s="1" t="s">
        <v>206</v>
      </c>
      <c r="B194">
        <f>HYPERLINK("https://www.suredividend.com/sure-analysis-research-database/","Hess Corporation")</f>
        <v>0</v>
      </c>
      <c r="C194" t="s">
        <v>459</v>
      </c>
      <c r="D194">
        <v>126.09</v>
      </c>
      <c r="E194">
        <v>0.010579997945451</v>
      </c>
      <c r="F194">
        <v>0.1666666666666667</v>
      </c>
      <c r="G194">
        <v>0.1184269147201447</v>
      </c>
      <c r="H194">
        <v>1.493472509979974</v>
      </c>
      <c r="I194">
        <v>43220.428652</v>
      </c>
      <c r="J194">
        <v>20.62043351709924</v>
      </c>
      <c r="K194">
        <v>0.220601552434265</v>
      </c>
      <c r="M194">
        <v>160.52</v>
      </c>
      <c r="N194">
        <v>89.01000000000001</v>
      </c>
    </row>
    <row r="195" spans="1:14">
      <c r="A195" s="1" t="s">
        <v>207</v>
      </c>
      <c r="B195">
        <f>HYPERLINK("https://www.suredividend.com/sure-analysis-HIG/","Hartford Financial Services Group Inc.")</f>
        <v>0</v>
      </c>
      <c r="C195" t="s">
        <v>455</v>
      </c>
      <c r="D195">
        <v>69.56</v>
      </c>
      <c r="E195">
        <v>0.02443933294997125</v>
      </c>
      <c r="F195">
        <v>0.1038961038961039</v>
      </c>
      <c r="G195">
        <v>0.1119615859385787</v>
      </c>
      <c r="H195">
        <v>1.606888749959175</v>
      </c>
      <c r="I195">
        <v>24265.055433</v>
      </c>
      <c r="J195">
        <v>13.525671925</v>
      </c>
      <c r="K195">
        <v>0.2953839613895542</v>
      </c>
      <c r="M195">
        <v>79</v>
      </c>
      <c r="N195">
        <v>59.5</v>
      </c>
    </row>
    <row r="196" spans="1:14">
      <c r="A196" s="1" t="s">
        <v>208</v>
      </c>
      <c r="B196">
        <f>HYPERLINK("https://www.suredividend.com/sure-analysis-research-database/","Hilton Worldwide Holdings Inc")</f>
        <v>0</v>
      </c>
      <c r="C196" t="s">
        <v>457</v>
      </c>
      <c r="D196">
        <v>140.86</v>
      </c>
      <c r="E196">
        <v>0.004058963473219</v>
      </c>
      <c r="F196" t="s">
        <v>461</v>
      </c>
      <c r="G196" t="s">
        <v>461</v>
      </c>
      <c r="H196">
        <v>0.5990218293777041</v>
      </c>
      <c r="I196">
        <v>39322.788993</v>
      </c>
      <c r="J196">
        <v>31.33289959611156</v>
      </c>
      <c r="K196">
        <v>0.1322343994211267</v>
      </c>
      <c r="M196">
        <v>167.24</v>
      </c>
      <c r="N196">
        <v>108.05</v>
      </c>
    </row>
    <row r="197" spans="1:14">
      <c r="A197" s="1" t="s">
        <v>209</v>
      </c>
      <c r="B197">
        <f>HYPERLINK("https://www.suredividend.com/sure-analysis-research-database/","Hologic, Inc.")</f>
        <v>0</v>
      </c>
      <c r="C197" t="s">
        <v>450</v>
      </c>
      <c r="D197">
        <v>79.77</v>
      </c>
      <c r="E197">
        <v>0</v>
      </c>
      <c r="F197" t="s">
        <v>461</v>
      </c>
      <c r="G197" t="s">
        <v>461</v>
      </c>
      <c r="H197">
        <v>0</v>
      </c>
      <c r="I197">
        <v>19832.805851</v>
      </c>
      <c r="J197">
        <v>20.02909094267825</v>
      </c>
      <c r="K197">
        <v>0</v>
      </c>
      <c r="M197">
        <v>86.65000000000001</v>
      </c>
      <c r="N197">
        <v>59.78</v>
      </c>
    </row>
    <row r="198" spans="1:14">
      <c r="A198" s="1" t="s">
        <v>210</v>
      </c>
      <c r="B198">
        <f>HYPERLINK("https://www.suredividend.com/sure-analysis-HON/","Honeywell International Inc")</f>
        <v>0</v>
      </c>
      <c r="C198" t="s">
        <v>451</v>
      </c>
      <c r="D198">
        <v>191.16</v>
      </c>
      <c r="E198">
        <v>0.02155262607240008</v>
      </c>
      <c r="F198">
        <v>0.05102040816326525</v>
      </c>
      <c r="G198">
        <v>0.06693064751987632</v>
      </c>
      <c r="H198">
        <v>3.975311707848845</v>
      </c>
      <c r="I198">
        <v>131503.364399</v>
      </c>
      <c r="J198">
        <v>26.48607540758107</v>
      </c>
      <c r="K198">
        <v>0.5468104137343666</v>
      </c>
      <c r="M198">
        <v>219.8</v>
      </c>
      <c r="N198">
        <v>164.02</v>
      </c>
    </row>
    <row r="199" spans="1:14">
      <c r="A199" s="1" t="s">
        <v>211</v>
      </c>
      <c r="B199">
        <f>HYPERLINK("https://www.suredividend.com/sure-analysis-HPE/","Hewlett Packard Enterprise Co")</f>
        <v>0</v>
      </c>
      <c r="C199" t="s">
        <v>452</v>
      </c>
      <c r="D199">
        <v>14.75</v>
      </c>
      <c r="E199">
        <v>0.03254237288135593</v>
      </c>
      <c r="F199">
        <v>0</v>
      </c>
      <c r="G199">
        <v>0.01299136822423641</v>
      </c>
      <c r="H199">
        <v>0.4742544287823801</v>
      </c>
      <c r="I199">
        <v>19815.306231</v>
      </c>
      <c r="J199">
        <v>22.82869381428572</v>
      </c>
      <c r="K199">
        <v>0.7222881949168138</v>
      </c>
      <c r="M199">
        <v>17.25</v>
      </c>
      <c r="N199">
        <v>11.81</v>
      </c>
    </row>
    <row r="200" spans="1:14">
      <c r="A200" s="1" t="s">
        <v>212</v>
      </c>
      <c r="B200">
        <f>HYPERLINK("https://www.suredividend.com/sure-analysis-HPQ/","HP Inc")</f>
        <v>0</v>
      </c>
      <c r="C200" t="s">
        <v>452</v>
      </c>
      <c r="D200">
        <v>28.61</v>
      </c>
      <c r="E200">
        <v>0.03670045438657812</v>
      </c>
      <c r="F200">
        <v>0.05000000000000004</v>
      </c>
      <c r="G200">
        <v>0.1351039586341305</v>
      </c>
      <c r="H200">
        <v>0.999817004118383</v>
      </c>
      <c r="I200">
        <v>28190.236426</v>
      </c>
      <c r="J200">
        <v>10.82574363518433</v>
      </c>
      <c r="K200">
        <v>0.393628741778891</v>
      </c>
      <c r="M200">
        <v>40.48</v>
      </c>
      <c r="N200">
        <v>23.86</v>
      </c>
    </row>
    <row r="201" spans="1:14">
      <c r="A201" s="1" t="s">
        <v>213</v>
      </c>
      <c r="B201">
        <f>HYPERLINK("https://www.suredividend.com/sure-analysis-HRL/","Hormel Foods Corp.")</f>
        <v>0</v>
      </c>
      <c r="C201" t="s">
        <v>453</v>
      </c>
      <c r="D201">
        <v>38.51</v>
      </c>
      <c r="E201">
        <v>0.02856400934822124</v>
      </c>
      <c r="F201">
        <v>0.05769230769230771</v>
      </c>
      <c r="G201">
        <v>0.0796084730466029</v>
      </c>
      <c r="H201">
        <v>1.046085118391836</v>
      </c>
      <c r="I201">
        <v>22205.632661</v>
      </c>
      <c r="J201">
        <v>22.70201215730957</v>
      </c>
      <c r="K201">
        <v>0.5876882687594585</v>
      </c>
      <c r="M201">
        <v>54.18</v>
      </c>
      <c r="N201">
        <v>40.06</v>
      </c>
    </row>
    <row r="202" spans="1:14">
      <c r="A202" s="1" t="s">
        <v>214</v>
      </c>
      <c r="B202">
        <f>HYPERLINK("https://www.suredividend.com/sure-analysis-research-database/","Henry Schein Inc.")</f>
        <v>0</v>
      </c>
      <c r="C202" t="s">
        <v>450</v>
      </c>
      <c r="D202">
        <v>80.23999999999999</v>
      </c>
      <c r="E202">
        <v>0</v>
      </c>
      <c r="F202" t="s">
        <v>461</v>
      </c>
      <c r="G202" t="s">
        <v>461</v>
      </c>
      <c r="H202">
        <v>0</v>
      </c>
      <c r="I202">
        <v>10358.269334</v>
      </c>
      <c r="J202">
        <v>16.22960475798024</v>
      </c>
      <c r="K202">
        <v>0</v>
      </c>
      <c r="M202">
        <v>92.68000000000001</v>
      </c>
      <c r="N202">
        <v>64.75</v>
      </c>
    </row>
    <row r="203" spans="1:14">
      <c r="A203" s="1" t="s">
        <v>215</v>
      </c>
      <c r="B203">
        <f>HYPERLINK("https://www.suredividend.com/sure-analysis-research-database/","Host Hotels &amp; Resorts Inc")</f>
        <v>0</v>
      </c>
      <c r="C203" t="s">
        <v>458</v>
      </c>
      <c r="D203">
        <v>15.85</v>
      </c>
      <c r="E203">
        <v>0.019194597850683</v>
      </c>
      <c r="F203" t="s">
        <v>461</v>
      </c>
      <c r="G203" t="s">
        <v>461</v>
      </c>
      <c r="H203">
        <v>0.327651785311165</v>
      </c>
      <c r="I203">
        <v>12179.087469</v>
      </c>
      <c r="J203">
        <v>19.24026456374408</v>
      </c>
      <c r="K203">
        <v>0.3714030665508558</v>
      </c>
      <c r="M203">
        <v>21.23</v>
      </c>
      <c r="N203">
        <v>14.83</v>
      </c>
    </row>
    <row r="204" spans="1:14">
      <c r="A204" s="1" t="s">
        <v>216</v>
      </c>
      <c r="B204">
        <f>HYPERLINK("https://www.suredividend.com/sure-analysis-HSY/","Hershey Company")</f>
        <v>0</v>
      </c>
      <c r="C204" t="s">
        <v>453</v>
      </c>
      <c r="D204">
        <v>243.19</v>
      </c>
      <c r="E204">
        <v>0.01702372630453555</v>
      </c>
      <c r="F204">
        <v>0.1498335183129855</v>
      </c>
      <c r="G204">
        <v>0.0956987929182207</v>
      </c>
      <c r="H204">
        <v>3.983062677313973</v>
      </c>
      <c r="I204">
        <v>48891.072</v>
      </c>
      <c r="J204">
        <v>21.29492063469675</v>
      </c>
      <c r="K204">
        <v>0.6108991836371125</v>
      </c>
      <c r="M204">
        <v>244.38</v>
      </c>
      <c r="N204">
        <v>198.71</v>
      </c>
    </row>
    <row r="205" spans="1:14">
      <c r="A205" s="1" t="s">
        <v>217</v>
      </c>
      <c r="B205">
        <f>HYPERLINK("https://www.suredividend.com/sure-analysis-HUM/","Humana Inc.")</f>
        <v>0</v>
      </c>
      <c r="C205" t="s">
        <v>450</v>
      </c>
      <c r="D205">
        <v>500.87</v>
      </c>
      <c r="E205">
        <v>0.007067702198175175</v>
      </c>
      <c r="F205">
        <v>0.125</v>
      </c>
      <c r="G205">
        <v>0.09510588196866943</v>
      </c>
      <c r="H205">
        <v>3.142544418699091</v>
      </c>
      <c r="I205">
        <v>62513.566175</v>
      </c>
      <c r="J205">
        <v>22.27853391839985</v>
      </c>
      <c r="K205">
        <v>0.1423253812816618</v>
      </c>
      <c r="M205">
        <v>570.4299999999999</v>
      </c>
      <c r="N205">
        <v>408.89</v>
      </c>
    </row>
    <row r="206" spans="1:14">
      <c r="A206" s="1" t="s">
        <v>218</v>
      </c>
      <c r="B206">
        <f>HYPERLINK("https://www.suredividend.com/sure-analysis-research-database/","Howmet Aerospace Inc")</f>
        <v>0</v>
      </c>
      <c r="C206" t="s">
        <v>451</v>
      </c>
      <c r="D206">
        <v>40.55</v>
      </c>
      <c r="E206">
        <v>0.0027397878704</v>
      </c>
      <c r="F206" t="s">
        <v>461</v>
      </c>
      <c r="G206" t="s">
        <v>461</v>
      </c>
      <c r="H206">
        <v>0.119865719330016</v>
      </c>
      <c r="I206">
        <v>18037.37495</v>
      </c>
      <c r="J206">
        <v>38.62392922912206</v>
      </c>
      <c r="K206">
        <v>0.1079871345315459</v>
      </c>
      <c r="M206">
        <v>44.37</v>
      </c>
      <c r="N206">
        <v>29.76</v>
      </c>
    </row>
    <row r="207" spans="1:14">
      <c r="A207" s="1" t="s">
        <v>219</v>
      </c>
      <c r="B207">
        <f>HYPERLINK("https://www.suredividend.com/sure-analysis-IBM/","International Business Machines Corp.")</f>
        <v>0</v>
      </c>
      <c r="C207" t="s">
        <v>452</v>
      </c>
      <c r="D207">
        <v>126.57</v>
      </c>
      <c r="E207">
        <v>0.05214505807063285</v>
      </c>
      <c r="F207">
        <v>0.006097560975609539</v>
      </c>
      <c r="G207">
        <v>0.00998949894044987</v>
      </c>
      <c r="H207">
        <v>6.481483654901445</v>
      </c>
      <c r="I207">
        <v>117210.941699</v>
      </c>
      <c r="J207">
        <v>71.4265336376112</v>
      </c>
      <c r="K207">
        <v>3.600824252723025</v>
      </c>
      <c r="M207">
        <v>151.35</v>
      </c>
      <c r="N207">
        <v>112.8</v>
      </c>
    </row>
    <row r="208" spans="1:14">
      <c r="A208" s="1" t="s">
        <v>220</v>
      </c>
      <c r="B208">
        <f>HYPERLINK("https://www.suredividend.com/sure-analysis-ICE/","Intercontinental Exchange Inc")</f>
        <v>0</v>
      </c>
      <c r="C208" t="s">
        <v>455</v>
      </c>
      <c r="D208">
        <v>99.72</v>
      </c>
      <c r="E208">
        <v>0.01684717208182912</v>
      </c>
      <c r="F208">
        <v>0.1052631578947367</v>
      </c>
      <c r="G208">
        <v>0.1184269147201447</v>
      </c>
      <c r="H208">
        <v>1.511565359480196</v>
      </c>
      <c r="I208">
        <v>57271.075895</v>
      </c>
      <c r="J208">
        <v>39.60655317775934</v>
      </c>
      <c r="K208">
        <v>0.5858780463101534</v>
      </c>
      <c r="M208">
        <v>135.85</v>
      </c>
      <c r="N208">
        <v>88.28</v>
      </c>
    </row>
    <row r="209" spans="1:14">
      <c r="A209" s="1" t="s">
        <v>221</v>
      </c>
      <c r="B209">
        <f>HYPERLINK("https://www.suredividend.com/sure-analysis-research-database/","Idexx Laboratories, Inc.")</f>
        <v>0</v>
      </c>
      <c r="C209" t="s">
        <v>450</v>
      </c>
      <c r="D209">
        <v>495.4</v>
      </c>
      <c r="E209">
        <v>0</v>
      </c>
      <c r="F209" t="s">
        <v>461</v>
      </c>
      <c r="G209" t="s">
        <v>461</v>
      </c>
      <c r="H209">
        <v>0</v>
      </c>
      <c r="I209">
        <v>40456.845048</v>
      </c>
      <c r="J209">
        <v>59.57517357518675</v>
      </c>
      <c r="K209">
        <v>0</v>
      </c>
      <c r="M209">
        <v>560.92</v>
      </c>
      <c r="N209">
        <v>317.06</v>
      </c>
    </row>
    <row r="210" spans="1:14">
      <c r="A210" s="1" t="s">
        <v>222</v>
      </c>
      <c r="B210">
        <f>HYPERLINK("https://www.suredividend.com/sure-analysis-IEX/","Idex Corporation")</f>
        <v>0</v>
      </c>
      <c r="C210" t="s">
        <v>451</v>
      </c>
      <c r="D210">
        <v>222.51</v>
      </c>
      <c r="E210">
        <v>0.01078603208844546</v>
      </c>
      <c r="F210">
        <v>0.1111111111111112</v>
      </c>
      <c r="G210">
        <v>0.06889872481155268</v>
      </c>
      <c r="H210">
        <v>2.389856622659186</v>
      </c>
      <c r="I210">
        <v>17236.273968</v>
      </c>
      <c r="J210">
        <v>29.36833185891975</v>
      </c>
      <c r="K210">
        <v>0.3095669200335733</v>
      </c>
      <c r="M210">
        <v>245.6</v>
      </c>
      <c r="N210">
        <v>170.67</v>
      </c>
    </row>
    <row r="211" spans="1:14">
      <c r="A211" s="1" t="s">
        <v>223</v>
      </c>
      <c r="B211">
        <f>HYPERLINK("https://www.suredividend.com/sure-analysis-IFF/","International Flavors &amp; Fragrances Inc.")</f>
        <v>0</v>
      </c>
      <c r="C211" t="s">
        <v>456</v>
      </c>
      <c r="D211">
        <v>84.66</v>
      </c>
      <c r="E211">
        <v>0.03827072997873849</v>
      </c>
      <c r="F211">
        <v>0.02531645569620244</v>
      </c>
      <c r="G211">
        <v>0.03258826616987553</v>
      </c>
      <c r="H211">
        <v>3.163252089662517</v>
      </c>
      <c r="I211">
        <v>23919.687258</v>
      </c>
      <c r="J211" t="s">
        <v>461</v>
      </c>
      <c r="K211" t="s">
        <v>461</v>
      </c>
      <c r="M211">
        <v>132.11</v>
      </c>
      <c r="N211">
        <v>82.48999999999999</v>
      </c>
    </row>
    <row r="212" spans="1:14">
      <c r="A212" s="1" t="s">
        <v>224</v>
      </c>
      <c r="B212">
        <f>HYPERLINK("https://www.suredividend.com/sure-analysis-research-database/","Illumina Inc")</f>
        <v>0</v>
      </c>
      <c r="C212" t="s">
        <v>450</v>
      </c>
      <c r="D212">
        <v>221.61</v>
      </c>
      <c r="E212">
        <v>0</v>
      </c>
      <c r="F212" t="s">
        <v>461</v>
      </c>
      <c r="G212" t="s">
        <v>461</v>
      </c>
      <c r="H212">
        <v>0</v>
      </c>
      <c r="I212">
        <v>34951.18</v>
      </c>
      <c r="J212" t="s">
        <v>461</v>
      </c>
      <c r="K212">
        <v>-0</v>
      </c>
      <c r="M212">
        <v>371.16</v>
      </c>
      <c r="N212">
        <v>173.45</v>
      </c>
    </row>
    <row r="213" spans="1:14">
      <c r="A213" s="1" t="s">
        <v>225</v>
      </c>
      <c r="B213">
        <f>HYPERLINK("https://www.suredividend.com/sure-analysis-research-database/","Incyte Corp.")</f>
        <v>0</v>
      </c>
      <c r="C213" t="s">
        <v>450</v>
      </c>
      <c r="D213">
        <v>73.48999999999999</v>
      </c>
      <c r="E213">
        <v>0</v>
      </c>
      <c r="F213" t="s">
        <v>461</v>
      </c>
      <c r="G213" t="s">
        <v>461</v>
      </c>
      <c r="H213">
        <v>0</v>
      </c>
      <c r="I213">
        <v>17293.166796</v>
      </c>
      <c r="J213">
        <v>50.76371395549816</v>
      </c>
      <c r="K213">
        <v>0</v>
      </c>
      <c r="M213">
        <v>86.29000000000001</v>
      </c>
      <c r="N213">
        <v>65.06999999999999</v>
      </c>
    </row>
    <row r="214" spans="1:14">
      <c r="A214" s="1" t="s">
        <v>226</v>
      </c>
      <c r="B214">
        <f>HYPERLINK("https://www.suredividend.com/sure-analysis-research-database/","IHS Markit Ltd")</f>
        <v>0</v>
      </c>
      <c r="C214" t="s">
        <v>451</v>
      </c>
      <c r="D214">
        <v>108.61</v>
      </c>
      <c r="E214">
        <v>0.007346936805292001</v>
      </c>
      <c r="F214" t="s">
        <v>461</v>
      </c>
      <c r="G214" t="s">
        <v>461</v>
      </c>
      <c r="H214">
        <v>0.797950806422791</v>
      </c>
      <c r="I214">
        <v>45801.486922</v>
      </c>
      <c r="J214">
        <v>37.95283967703016</v>
      </c>
      <c r="K214">
        <v>0.2650999356886349</v>
      </c>
      <c r="M214">
        <v>135.58</v>
      </c>
      <c r="N214">
        <v>88.19</v>
      </c>
    </row>
    <row r="215" spans="1:14">
      <c r="A215" s="1" t="s">
        <v>227</v>
      </c>
      <c r="B215">
        <f>HYPERLINK("https://www.suredividend.com/sure-analysis-INTC/","Intel Corp.")</f>
        <v>0</v>
      </c>
      <c r="C215" t="s">
        <v>452</v>
      </c>
      <c r="D215">
        <v>28.46</v>
      </c>
      <c r="E215">
        <v>0.01756851721714687</v>
      </c>
      <c r="F215">
        <v>0</v>
      </c>
      <c r="G215">
        <v>0.04000235313991807</v>
      </c>
      <c r="H215">
        <v>1.433650721551717</v>
      </c>
      <c r="I215">
        <v>109216.8</v>
      </c>
      <c r="J215">
        <v>13.62825056151734</v>
      </c>
      <c r="K215">
        <v>0.7389952172946995</v>
      </c>
      <c r="M215">
        <v>50.28</v>
      </c>
      <c r="N215">
        <v>23.97</v>
      </c>
    </row>
    <row r="216" spans="1:14">
      <c r="A216" s="1" t="s">
        <v>228</v>
      </c>
      <c r="B216">
        <f>HYPERLINK("https://www.suredividend.com/sure-analysis-INTU/","Intuit Inc")</f>
        <v>0</v>
      </c>
      <c r="C216" t="s">
        <v>452</v>
      </c>
      <c r="D216">
        <v>422.03</v>
      </c>
      <c r="E216">
        <v>0.007392839371608654</v>
      </c>
      <c r="F216">
        <v>0.1470588235294117</v>
      </c>
      <c r="G216">
        <v>0.1486983549970351</v>
      </c>
      <c r="H216">
        <v>2.912000723008868</v>
      </c>
      <c r="I216">
        <v>114608.812877</v>
      </c>
      <c r="J216">
        <v>58.89455954618705</v>
      </c>
      <c r="K216">
        <v>0.4257310998550977</v>
      </c>
      <c r="M216">
        <v>504.2</v>
      </c>
      <c r="N216">
        <v>337.48</v>
      </c>
    </row>
    <row r="217" spans="1:14">
      <c r="A217" s="1" t="s">
        <v>229</v>
      </c>
      <c r="B217">
        <f>HYPERLINK("https://www.suredividend.com/sure-analysis-IP/","International Paper Co.")</f>
        <v>0</v>
      </c>
      <c r="C217" t="s">
        <v>457</v>
      </c>
      <c r="D217">
        <v>35.24</v>
      </c>
      <c r="E217">
        <v>0.05249716231555051</v>
      </c>
      <c r="F217">
        <v>0</v>
      </c>
      <c r="G217">
        <v>-0.005319450763145883</v>
      </c>
      <c r="H217">
        <v>1.817354453815875</v>
      </c>
      <c r="I217">
        <v>13222.686315</v>
      </c>
      <c r="J217">
        <v>8.791679730698139</v>
      </c>
      <c r="K217">
        <v>0.4432571838575305</v>
      </c>
      <c r="M217">
        <v>48.03</v>
      </c>
      <c r="N217">
        <v>29.95</v>
      </c>
    </row>
    <row r="218" spans="1:14">
      <c r="A218" s="1" t="s">
        <v>230</v>
      </c>
      <c r="B218">
        <f>HYPERLINK("https://www.suredividend.com/sure-analysis-IPG/","Interpublic Group Of Cos., Inc.")</f>
        <v>0</v>
      </c>
      <c r="C218" t="s">
        <v>460</v>
      </c>
      <c r="D218">
        <v>35.39</v>
      </c>
      <c r="E218">
        <v>0.0350381463690308</v>
      </c>
      <c r="F218">
        <v>0.06896551724137945</v>
      </c>
      <c r="G218">
        <v>0.08100693430783124</v>
      </c>
      <c r="H218">
        <v>1.164713299743169</v>
      </c>
      <c r="I218">
        <v>13748.346282</v>
      </c>
      <c r="J218">
        <v>14.65708558880597</v>
      </c>
      <c r="K218">
        <v>0.4914402108620966</v>
      </c>
      <c r="M218">
        <v>39.18</v>
      </c>
      <c r="N218">
        <v>24.71</v>
      </c>
    </row>
    <row r="219" spans="1:14">
      <c r="A219" s="1" t="s">
        <v>231</v>
      </c>
      <c r="B219">
        <f>HYPERLINK("https://www.suredividend.com/sure-analysis-research-database/","IQVIA Holdings Inc")</f>
        <v>0</v>
      </c>
      <c r="C219" t="s">
        <v>450</v>
      </c>
      <c r="D219">
        <v>196.76</v>
      </c>
      <c r="E219">
        <v>0</v>
      </c>
      <c r="F219" t="s">
        <v>461</v>
      </c>
      <c r="G219" t="s">
        <v>461</v>
      </c>
      <c r="H219">
        <v>0</v>
      </c>
      <c r="I219">
        <v>41103.701551</v>
      </c>
      <c r="J219">
        <v>37.67525348355637</v>
      </c>
      <c r="K219">
        <v>0</v>
      </c>
      <c r="M219">
        <v>254.94</v>
      </c>
      <c r="N219">
        <v>165.75</v>
      </c>
    </row>
    <row r="220" spans="1:14">
      <c r="A220" s="1" t="s">
        <v>232</v>
      </c>
      <c r="B220">
        <f>HYPERLINK("https://www.suredividend.com/sure-analysis-research-database/","Ingersoll-Rand Inc")</f>
        <v>0</v>
      </c>
      <c r="C220" t="s">
        <v>451</v>
      </c>
      <c r="D220">
        <v>55.9</v>
      </c>
      <c r="E220">
        <v>0.001680288290413</v>
      </c>
      <c r="F220" t="s">
        <v>461</v>
      </c>
      <c r="G220" t="s">
        <v>461</v>
      </c>
      <c r="H220">
        <v>0.09992674463087101</v>
      </c>
      <c r="I220">
        <v>24082.774652</v>
      </c>
      <c r="J220">
        <v>39.82598751719861</v>
      </c>
      <c r="K220">
        <v>0.06797737729991225</v>
      </c>
      <c r="M220">
        <v>59.65</v>
      </c>
      <c r="N220">
        <v>39.24</v>
      </c>
    </row>
    <row r="221" spans="1:14">
      <c r="A221" s="1" t="s">
        <v>233</v>
      </c>
      <c r="B221">
        <f>HYPERLINK("https://www.suredividend.com/sure-analysis-IRM/","Iron Mountain Inc.")</f>
        <v>0</v>
      </c>
      <c r="C221" t="s">
        <v>458</v>
      </c>
      <c r="D221">
        <v>51.21</v>
      </c>
      <c r="E221">
        <v>0.04823276703768795</v>
      </c>
      <c r="F221">
        <v>0</v>
      </c>
      <c r="G221">
        <v>0.01033725318703138</v>
      </c>
      <c r="H221">
        <v>2.431795433877854</v>
      </c>
      <c r="I221">
        <v>15891.65509</v>
      </c>
      <c r="J221">
        <v>28.53177234094161</v>
      </c>
      <c r="K221">
        <v>1.279892333619923</v>
      </c>
      <c r="M221">
        <v>57.21</v>
      </c>
      <c r="N221">
        <v>42.85</v>
      </c>
    </row>
    <row r="222" spans="1:14">
      <c r="A222" s="1" t="s">
        <v>234</v>
      </c>
      <c r="B222">
        <f>HYPERLINK("https://www.suredividend.com/sure-analysis-research-database/","Intuitive Surgical Inc")</f>
        <v>0</v>
      </c>
      <c r="C222" t="s">
        <v>450</v>
      </c>
      <c r="D222">
        <v>246.68</v>
      </c>
      <c r="E222">
        <v>0</v>
      </c>
      <c r="F222" t="s">
        <v>461</v>
      </c>
      <c r="G222" t="s">
        <v>461</v>
      </c>
      <c r="H222">
        <v>0</v>
      </c>
      <c r="I222">
        <v>82296.023907</v>
      </c>
      <c r="J222">
        <v>62.23702934790138</v>
      </c>
      <c r="K222">
        <v>0</v>
      </c>
      <c r="M222">
        <v>308.97</v>
      </c>
      <c r="N222">
        <v>180.07</v>
      </c>
    </row>
    <row r="223" spans="1:14">
      <c r="A223" s="1" t="s">
        <v>235</v>
      </c>
      <c r="B223">
        <f>HYPERLINK("https://www.suredividend.com/sure-analysis-research-database/","Gartner, Inc.")</f>
        <v>0</v>
      </c>
      <c r="C223" t="s">
        <v>452</v>
      </c>
      <c r="D223">
        <v>314.06</v>
      </c>
      <c r="E223">
        <v>0</v>
      </c>
      <c r="F223" t="s">
        <v>461</v>
      </c>
      <c r="G223" t="s">
        <v>461</v>
      </c>
      <c r="H223">
        <v>0</v>
      </c>
      <c r="I223">
        <v>26275.788748</v>
      </c>
      <c r="J223">
        <v>32.52763218108713</v>
      </c>
      <c r="K223">
        <v>0</v>
      </c>
      <c r="L223">
        <v>1.052852386242068</v>
      </c>
      <c r="M223">
        <v>358.25</v>
      </c>
      <c r="N223">
        <v>221.39</v>
      </c>
    </row>
    <row r="224" spans="1:14">
      <c r="A224" s="1" t="s">
        <v>236</v>
      </c>
      <c r="B224">
        <f>HYPERLINK("https://www.suredividend.com/sure-analysis-ITW/","Illinois Tool Works, Inc.")</f>
        <v>0</v>
      </c>
      <c r="C224" t="s">
        <v>451</v>
      </c>
      <c r="D224">
        <v>235.16</v>
      </c>
      <c r="E224">
        <v>0.0222827011396496</v>
      </c>
      <c r="F224">
        <v>0.07377049180327866</v>
      </c>
      <c r="G224">
        <v>0.1092650726196118</v>
      </c>
      <c r="H224">
        <v>5.01282567958981</v>
      </c>
      <c r="I224">
        <v>72889.93092899999</v>
      </c>
      <c r="J224">
        <v>24.02436747828939</v>
      </c>
      <c r="K224">
        <v>0.5130834881872887</v>
      </c>
      <c r="M224">
        <v>253.37</v>
      </c>
      <c r="N224">
        <v>171.29</v>
      </c>
    </row>
    <row r="225" spans="1:14">
      <c r="A225" s="1" t="s">
        <v>237</v>
      </c>
      <c r="B225">
        <f>HYPERLINK("https://www.suredividend.com/sure-analysis-research-database/","Jacobs Solutions Inc")</f>
        <v>0</v>
      </c>
      <c r="C225" t="s">
        <v>451</v>
      </c>
      <c r="D225">
        <v>114.89</v>
      </c>
      <c r="E225">
        <v>0.002299663810925</v>
      </c>
      <c r="F225">
        <v>0.1304347826086956</v>
      </c>
      <c r="G225">
        <v>0.1162884154841741</v>
      </c>
      <c r="H225">
        <v>0.259999990463256</v>
      </c>
      <c r="I225">
        <v>14326.299086</v>
      </c>
      <c r="J225">
        <v>0</v>
      </c>
      <c r="K225" t="s">
        <v>461</v>
      </c>
      <c r="M225">
        <v>129.72</v>
      </c>
      <c r="N225">
        <v>106.55</v>
      </c>
    </row>
    <row r="226" spans="1:14">
      <c r="A226" s="1" t="s">
        <v>238</v>
      </c>
      <c r="B226">
        <f>HYPERLINK("https://www.suredividend.com/sure-analysis-JBHT/","J.B. Hunt Transport Services, Inc.")</f>
        <v>0</v>
      </c>
      <c r="C226" t="s">
        <v>451</v>
      </c>
      <c r="D226">
        <v>170.38</v>
      </c>
      <c r="E226">
        <v>0.009860312243221035</v>
      </c>
      <c r="F226">
        <v>0.04999999999999982</v>
      </c>
      <c r="G226">
        <v>0.1184269147201447</v>
      </c>
      <c r="H226">
        <v>1.614654241777349</v>
      </c>
      <c r="I226">
        <v>19367.70111</v>
      </c>
      <c r="J226">
        <v>19.98007028438615</v>
      </c>
      <c r="K226">
        <v>0.1753153356978663</v>
      </c>
      <c r="M226">
        <v>216.2</v>
      </c>
      <c r="N226">
        <v>152.88</v>
      </c>
    </row>
    <row r="227" spans="1:14">
      <c r="A227" s="1" t="s">
        <v>239</v>
      </c>
      <c r="B227">
        <f>HYPERLINK("https://www.suredividend.com/sure-analysis-JCI/","Johnson Controls International plc")</f>
        <v>0</v>
      </c>
      <c r="C227" t="s">
        <v>451</v>
      </c>
      <c r="D227">
        <v>59.67</v>
      </c>
      <c r="E227">
        <v>0.02346237640355287</v>
      </c>
      <c r="F227">
        <v>0.02857142857142847</v>
      </c>
      <c r="G227">
        <v>0.06724918187953888</v>
      </c>
      <c r="H227">
        <v>1.38702000894319</v>
      </c>
      <c r="I227">
        <v>44813.243786</v>
      </c>
      <c r="J227">
        <v>35.31382489022064</v>
      </c>
      <c r="K227">
        <v>0.7579344311164972</v>
      </c>
      <c r="M227">
        <v>69.59999999999999</v>
      </c>
      <c r="N227">
        <v>44.97</v>
      </c>
    </row>
    <row r="228" spans="1:14">
      <c r="A228" s="1" t="s">
        <v>240</v>
      </c>
      <c r="B228">
        <f>HYPERLINK("https://www.suredividend.com/sure-analysis-JKHY/","Jack Henry &amp; Associates, Inc.")</f>
        <v>0</v>
      </c>
      <c r="C228" t="s">
        <v>452</v>
      </c>
      <c r="D228">
        <v>152.17</v>
      </c>
      <c r="E228">
        <v>0.01366892291516068</v>
      </c>
      <c r="F228">
        <v>0.06122448979591844</v>
      </c>
      <c r="G228">
        <v>0.07043505702569441</v>
      </c>
      <c r="H228">
        <v>1.952392519049744</v>
      </c>
      <c r="I228">
        <v>12120.840126</v>
      </c>
      <c r="J228">
        <v>34.38965466787344</v>
      </c>
      <c r="K228">
        <v>0.405060688599532</v>
      </c>
      <c r="M228">
        <v>211.53</v>
      </c>
      <c r="N228">
        <v>162.06</v>
      </c>
    </row>
    <row r="229" spans="1:14">
      <c r="A229" s="1" t="s">
        <v>241</v>
      </c>
      <c r="B229">
        <f>HYPERLINK("https://www.suredividend.com/sure-analysis-JNJ/","Johnson &amp; Johnson")</f>
        <v>0</v>
      </c>
      <c r="C229" t="s">
        <v>450</v>
      </c>
      <c r="D229">
        <v>153.89</v>
      </c>
      <c r="E229">
        <v>0.02937162908571057</v>
      </c>
      <c r="F229">
        <v>0.06603773584905648</v>
      </c>
      <c r="G229">
        <v>0.04656736199533262</v>
      </c>
      <c r="H229">
        <v>4.473961450455023</v>
      </c>
      <c r="I229">
        <v>401112.176388</v>
      </c>
      <c r="J229">
        <v>22.35729203433811</v>
      </c>
      <c r="K229">
        <v>0.6647788187897508</v>
      </c>
      <c r="M229">
        <v>181.77</v>
      </c>
      <c r="N229">
        <v>151.23</v>
      </c>
    </row>
    <row r="230" spans="1:14">
      <c r="A230" s="1" t="s">
        <v>242</v>
      </c>
      <c r="B230">
        <f>HYPERLINK("https://www.suredividend.com/sure-analysis-JPM/","JPMorgan Chase &amp; Co.")</f>
        <v>0</v>
      </c>
      <c r="C230" t="s">
        <v>455</v>
      </c>
      <c r="D230">
        <v>130.55</v>
      </c>
      <c r="E230">
        <v>0.03063960168517809</v>
      </c>
      <c r="F230">
        <v>0</v>
      </c>
      <c r="G230">
        <v>0.1229551070568209</v>
      </c>
      <c r="H230">
        <v>3.960398331290456</v>
      </c>
      <c r="I230">
        <v>422842.44524</v>
      </c>
      <c r="J230">
        <v>11.78096637802129</v>
      </c>
      <c r="K230">
        <v>0.327847543980998</v>
      </c>
      <c r="M230">
        <v>144.34</v>
      </c>
      <c r="N230">
        <v>100.54</v>
      </c>
    </row>
    <row r="231" spans="1:14">
      <c r="A231" s="1" t="s">
        <v>243</v>
      </c>
      <c r="B231">
        <f>HYPERLINK("https://www.suredividend.com/sure-analysis-K/","Kellogg Co")</f>
        <v>0</v>
      </c>
      <c r="C231" t="s">
        <v>453</v>
      </c>
      <c r="D231">
        <v>65.15000000000001</v>
      </c>
      <c r="E231">
        <v>0.03622409823484266</v>
      </c>
      <c r="F231">
        <v>0.01724137931034475</v>
      </c>
      <c r="G231">
        <v>0.01786844354535022</v>
      </c>
      <c r="H231">
        <v>2.320571391028842</v>
      </c>
      <c r="I231">
        <v>22222.7874</v>
      </c>
      <c r="J231">
        <v>23.26582424925</v>
      </c>
      <c r="K231">
        <v>0.8317460182899075</v>
      </c>
      <c r="M231">
        <v>75.87</v>
      </c>
      <c r="N231">
        <v>58.07</v>
      </c>
    </row>
    <row r="232" spans="1:14">
      <c r="A232" s="1" t="s">
        <v>244</v>
      </c>
      <c r="B232">
        <f>HYPERLINK("https://www.suredividend.com/sure-analysis-KEY/","Keycorp")</f>
        <v>0</v>
      </c>
      <c r="C232" t="s">
        <v>455</v>
      </c>
      <c r="D232">
        <v>12.76</v>
      </c>
      <c r="E232">
        <v>0.06426332288401254</v>
      </c>
      <c r="F232">
        <v>0.05128205128205132</v>
      </c>
      <c r="G232">
        <v>0.1130496130561056</v>
      </c>
      <c r="H232">
        <v>0.787169714660778</v>
      </c>
      <c r="I232">
        <v>17071.043325</v>
      </c>
      <c r="J232">
        <v>9.489184727559756</v>
      </c>
      <c r="K232">
        <v>0.4078599557827865</v>
      </c>
      <c r="M232">
        <v>23.68</v>
      </c>
      <c r="N232">
        <v>14.92</v>
      </c>
    </row>
    <row r="233" spans="1:14">
      <c r="A233" s="1" t="s">
        <v>245</v>
      </c>
      <c r="B233">
        <f>HYPERLINK("https://www.suredividend.com/sure-analysis-research-database/","Keysight Technologies Inc")</f>
        <v>0</v>
      </c>
      <c r="C233" t="s">
        <v>452</v>
      </c>
      <c r="D233">
        <v>157.25</v>
      </c>
      <c r="E233">
        <v>0</v>
      </c>
      <c r="F233" t="s">
        <v>461</v>
      </c>
      <c r="G233" t="s">
        <v>461</v>
      </c>
      <c r="H233">
        <v>0</v>
      </c>
      <c r="I233">
        <v>28481.551812</v>
      </c>
      <c r="J233">
        <v>25.33945890729537</v>
      </c>
      <c r="K233">
        <v>0</v>
      </c>
      <c r="M233">
        <v>189.45</v>
      </c>
      <c r="N233">
        <v>127.93</v>
      </c>
    </row>
    <row r="234" spans="1:14">
      <c r="A234" s="1" t="s">
        <v>246</v>
      </c>
      <c r="B234">
        <f>HYPERLINK("https://www.suredividend.com/sure-analysis-KHC/","Kraft Heinz Co")</f>
        <v>0</v>
      </c>
      <c r="C234" t="s">
        <v>453</v>
      </c>
      <c r="D234">
        <v>38.04</v>
      </c>
      <c r="E234">
        <v>0.04206098843322818</v>
      </c>
      <c r="F234">
        <v>0</v>
      </c>
      <c r="G234">
        <v>-0.08538989614534731</v>
      </c>
      <c r="H234">
        <v>1.575609799858212</v>
      </c>
      <c r="I234">
        <v>47824.131838</v>
      </c>
      <c r="J234">
        <v>20.23873543719001</v>
      </c>
      <c r="K234">
        <v>0.8249265967844042</v>
      </c>
      <c r="M234">
        <v>43.51</v>
      </c>
      <c r="N234">
        <v>32.39</v>
      </c>
    </row>
    <row r="235" spans="1:14">
      <c r="A235" s="1" t="s">
        <v>247</v>
      </c>
      <c r="B235">
        <f>HYPERLINK("https://www.suredividend.com/sure-analysis-KIM/","Kimco Realty Corporation")</f>
        <v>0</v>
      </c>
      <c r="C235" t="s">
        <v>458</v>
      </c>
      <c r="D235">
        <v>18.22</v>
      </c>
      <c r="E235">
        <v>0.05049396267837541</v>
      </c>
      <c r="F235">
        <v>0.2105263157894737</v>
      </c>
      <c r="G235">
        <v>-0.03857820993638306</v>
      </c>
      <c r="H235">
        <v>0</v>
      </c>
      <c r="I235">
        <v>12780.469109</v>
      </c>
      <c r="J235">
        <v>0</v>
      </c>
      <c r="K235" t="s">
        <v>461</v>
      </c>
      <c r="M235">
        <v>23.27</v>
      </c>
      <c r="N235">
        <v>20.1</v>
      </c>
    </row>
    <row r="236" spans="1:14">
      <c r="A236" s="1" t="s">
        <v>248</v>
      </c>
      <c r="B236">
        <f>HYPERLINK("https://www.suredividend.com/sure-analysis-KLAC/","KLA Corp.")</f>
        <v>0</v>
      </c>
      <c r="C236" t="s">
        <v>452</v>
      </c>
      <c r="D236">
        <v>385.06</v>
      </c>
      <c r="E236">
        <v>0.01350438892640108</v>
      </c>
      <c r="F236">
        <v>0.2380952380952381</v>
      </c>
      <c r="G236">
        <v>0.1162884154841741</v>
      </c>
      <c r="H236">
        <v>4.926600563708927</v>
      </c>
      <c r="I236">
        <v>52834.184359</v>
      </c>
      <c r="J236">
        <v>14.9218253058746</v>
      </c>
      <c r="K236">
        <v>0.2034944470759573</v>
      </c>
      <c r="M236">
        <v>428.08</v>
      </c>
      <c r="N236">
        <v>248.54</v>
      </c>
    </row>
    <row r="237" spans="1:14">
      <c r="A237" s="1" t="s">
        <v>249</v>
      </c>
      <c r="B237">
        <f>HYPERLINK("https://www.suredividend.com/sure-analysis-KMB/","Kimberly-Clark Corp.")</f>
        <v>0</v>
      </c>
      <c r="C237" t="s">
        <v>453</v>
      </c>
      <c r="D237">
        <v>128.02</v>
      </c>
      <c r="E237">
        <v>0.0368692391813779</v>
      </c>
      <c r="F237">
        <v>0.01724137931034475</v>
      </c>
      <c r="G237">
        <v>0.03365688434519343</v>
      </c>
      <c r="H237">
        <v>3.449843789823295</v>
      </c>
      <c r="I237">
        <v>42684.525343</v>
      </c>
      <c r="J237">
        <v>22.07059221481902</v>
      </c>
      <c r="K237">
        <v>0.6031195436754013</v>
      </c>
      <c r="M237">
        <v>140.74</v>
      </c>
      <c r="N237">
        <v>107.82</v>
      </c>
    </row>
    <row r="238" spans="1:14">
      <c r="A238" s="1" t="s">
        <v>250</v>
      </c>
      <c r="B238">
        <f>HYPERLINK("https://www.suredividend.com/sure-analysis-KMI/","Kinder Morgan Inc")</f>
        <v>0</v>
      </c>
      <c r="C238" t="s">
        <v>459</v>
      </c>
      <c r="D238">
        <v>16.82</v>
      </c>
      <c r="E238">
        <v>0.06599286563614745</v>
      </c>
      <c r="F238">
        <v>0.0277777777777779</v>
      </c>
      <c r="G238">
        <v>0.06769349892856424</v>
      </c>
      <c r="H238">
        <v>1.085045462480026</v>
      </c>
      <c r="I238">
        <v>39677.256904</v>
      </c>
      <c r="J238">
        <v>15.6517778712426</v>
      </c>
      <c r="K238">
        <v>0.9687905915000232</v>
      </c>
      <c r="M238">
        <v>19.29</v>
      </c>
      <c r="N238">
        <v>15.07</v>
      </c>
    </row>
    <row r="239" spans="1:14">
      <c r="A239" s="1" t="s">
        <v>251</v>
      </c>
      <c r="B239">
        <f>HYPERLINK("https://www.suredividend.com/sure-analysis-research-database/","Carmax Inc")</f>
        <v>0</v>
      </c>
      <c r="C239" t="s">
        <v>457</v>
      </c>
      <c r="D239">
        <v>59.12</v>
      </c>
      <c r="E239">
        <v>0</v>
      </c>
      <c r="F239" t="s">
        <v>461</v>
      </c>
      <c r="G239" t="s">
        <v>461</v>
      </c>
      <c r="H239">
        <v>0</v>
      </c>
      <c r="I239">
        <v>11116.953155</v>
      </c>
      <c r="J239">
        <v>19.31414793731953</v>
      </c>
      <c r="K239">
        <v>0</v>
      </c>
      <c r="M239">
        <v>106.24</v>
      </c>
      <c r="N239">
        <v>52.1</v>
      </c>
    </row>
    <row r="240" spans="1:14">
      <c r="A240" s="1" t="s">
        <v>252</v>
      </c>
      <c r="B240">
        <f>HYPERLINK("https://www.suredividend.com/sure-analysis-KO/","Coca-Cola Co")</f>
        <v>0</v>
      </c>
      <c r="C240" t="s">
        <v>453</v>
      </c>
      <c r="D240">
        <v>60.32</v>
      </c>
      <c r="E240">
        <v>0.03050397877984085</v>
      </c>
      <c r="F240">
        <v>0.04545454545454541</v>
      </c>
      <c r="G240">
        <v>0.03356702457817873</v>
      </c>
      <c r="H240">
        <v>1.741268720121097</v>
      </c>
      <c r="I240">
        <v>257178.559582</v>
      </c>
      <c r="J240">
        <v>26.95226992051142</v>
      </c>
      <c r="K240">
        <v>0.7950998722014142</v>
      </c>
      <c r="M240">
        <v>65.77</v>
      </c>
      <c r="N240">
        <v>53.63</v>
      </c>
    </row>
    <row r="241" spans="1:14">
      <c r="A241" s="1" t="s">
        <v>253</v>
      </c>
      <c r="B241">
        <f>HYPERLINK("https://www.suredividend.com/sure-analysis-KR/","Kroger Co.")</f>
        <v>0</v>
      </c>
      <c r="C241" t="s">
        <v>453</v>
      </c>
      <c r="D241">
        <v>47.76</v>
      </c>
      <c r="E241">
        <v>0.02177554438860972</v>
      </c>
      <c r="F241">
        <v>0.2380952380952381</v>
      </c>
      <c r="G241">
        <v>0.1577443413531583</v>
      </c>
      <c r="H241">
        <v>0.9820483566500021</v>
      </c>
      <c r="I241">
        <v>32913.489813</v>
      </c>
      <c r="J241">
        <v>13.9582229908821</v>
      </c>
      <c r="K241">
        <v>0.3049839616925472</v>
      </c>
      <c r="M241">
        <v>61.49</v>
      </c>
      <c r="N241">
        <v>41.34</v>
      </c>
    </row>
    <row r="242" spans="1:14">
      <c r="A242" s="1" t="s">
        <v>254</v>
      </c>
      <c r="B242">
        <f>HYPERLINK("https://www.suredividend.com/sure-analysis-KSU/","Kansas City Southern")</f>
        <v>0</v>
      </c>
      <c r="C242" t="s">
        <v>451</v>
      </c>
      <c r="D242">
        <v>293.59</v>
      </c>
      <c r="E242">
        <v>0.006996623579219</v>
      </c>
      <c r="F242" t="s">
        <v>461</v>
      </c>
      <c r="G242" t="s">
        <v>461</v>
      </c>
      <c r="H242">
        <v>2.054138716623186</v>
      </c>
      <c r="I242">
        <v>26710.94738</v>
      </c>
      <c r="J242">
        <v>277.6605756715177</v>
      </c>
      <c r="K242">
        <v>1.956322587260177</v>
      </c>
      <c r="L242">
        <v>0.9391559309247631</v>
      </c>
      <c r="M242">
        <v>314.21</v>
      </c>
      <c r="N242">
        <v>189</v>
      </c>
    </row>
    <row r="243" spans="1:14">
      <c r="A243" s="1" t="s">
        <v>255</v>
      </c>
      <c r="B243">
        <f>HYPERLINK("https://www.suredividend.com/sure-analysis-research-database/","Loews Corp.")</f>
        <v>0</v>
      </c>
      <c r="C243" t="s">
        <v>455</v>
      </c>
      <c r="D243">
        <v>56.02</v>
      </c>
      <c r="E243">
        <v>0.004438445788488001</v>
      </c>
      <c r="F243">
        <v>0</v>
      </c>
      <c r="G243">
        <v>0</v>
      </c>
      <c r="H243">
        <v>0.249795728976128</v>
      </c>
      <c r="I243">
        <v>13225.669036</v>
      </c>
      <c r="J243">
        <v>13.0688429213834</v>
      </c>
      <c r="K243">
        <v>0.06004705023464615</v>
      </c>
      <c r="M243">
        <v>67.98999999999999</v>
      </c>
      <c r="N243">
        <v>49.31</v>
      </c>
    </row>
    <row r="244" spans="1:14">
      <c r="A244" s="1" t="s">
        <v>256</v>
      </c>
      <c r="B244">
        <f>HYPERLINK("https://www.suredividend.com/sure-analysis-research-database/","L Brands Inc")</f>
        <v>0</v>
      </c>
      <c r="C244" t="s">
        <v>457</v>
      </c>
      <c r="D244">
        <v>79.92</v>
      </c>
      <c r="E244">
        <v>0.001876876951457</v>
      </c>
      <c r="F244" t="s">
        <v>461</v>
      </c>
      <c r="G244" t="s">
        <v>461</v>
      </c>
      <c r="H244">
        <v>0.150000005960464</v>
      </c>
      <c r="I244">
        <v>21957.908112</v>
      </c>
      <c r="J244">
        <v>15.48512560789845</v>
      </c>
      <c r="K244">
        <v>0.02988047927499283</v>
      </c>
      <c r="L244">
        <v>1.323418425797631</v>
      </c>
      <c r="M244">
        <v>82</v>
      </c>
      <c r="N244">
        <v>24.53</v>
      </c>
    </row>
    <row r="245" spans="1:14">
      <c r="A245" s="1" t="s">
        <v>257</v>
      </c>
      <c r="B245">
        <f>HYPERLINK("https://www.suredividend.com/sure-analysis-research-database/","Leidos Holdings Inc")</f>
        <v>0</v>
      </c>
      <c r="C245" t="s">
        <v>452</v>
      </c>
      <c r="D245">
        <v>92.64</v>
      </c>
      <c r="E245">
        <v>0.014720158766766</v>
      </c>
      <c r="F245">
        <v>0</v>
      </c>
      <c r="G245">
        <v>0.02383625553960966</v>
      </c>
      <c r="H245">
        <v>1.432271448006363</v>
      </c>
      <c r="I245">
        <v>13324.035583</v>
      </c>
      <c r="J245">
        <v>19.45114683635036</v>
      </c>
      <c r="K245">
        <v>0.2887644048399926</v>
      </c>
      <c r="M245">
        <v>110.54</v>
      </c>
      <c r="N245">
        <v>86.95</v>
      </c>
    </row>
    <row r="246" spans="1:14">
      <c r="A246" s="1" t="s">
        <v>258</v>
      </c>
      <c r="B246">
        <f>HYPERLINK("https://www.suredividend.com/sure-analysis-LEN/","Lennar Corp.")</f>
        <v>0</v>
      </c>
      <c r="C246" t="s">
        <v>457</v>
      </c>
      <c r="D246">
        <v>103.47</v>
      </c>
      <c r="E246">
        <v>0.01449695563931574</v>
      </c>
      <c r="F246">
        <v>0</v>
      </c>
      <c r="G246">
        <v>0.5645673222659491</v>
      </c>
      <c r="H246">
        <v>1.49035392300165</v>
      </c>
      <c r="I246">
        <v>27585.498272</v>
      </c>
      <c r="J246">
        <v>6.046607083220722</v>
      </c>
      <c r="K246">
        <v>0.09468576385016836</v>
      </c>
      <c r="M246">
        <v>109.28</v>
      </c>
      <c r="N246">
        <v>61.7</v>
      </c>
    </row>
    <row r="247" spans="1:14">
      <c r="A247" s="1" t="s">
        <v>259</v>
      </c>
      <c r="B247">
        <f>HYPERLINK("https://www.suredividend.com/sure-analysis-research-database/","Laboratory Corp. Of America Holdings")</f>
        <v>0</v>
      </c>
      <c r="C247" t="s">
        <v>450</v>
      </c>
      <c r="D247">
        <v>221.31</v>
      </c>
      <c r="E247">
        <v>0.011980433581673</v>
      </c>
      <c r="F247" t="s">
        <v>461</v>
      </c>
      <c r="G247" t="s">
        <v>461</v>
      </c>
      <c r="H247">
        <v>2.867516777773524</v>
      </c>
      <c r="I247">
        <v>21182.475</v>
      </c>
      <c r="J247">
        <v>16.56045266202799</v>
      </c>
      <c r="K247">
        <v>0.2054095113018284</v>
      </c>
      <c r="M247">
        <v>277.99</v>
      </c>
      <c r="N247">
        <v>199.15</v>
      </c>
    </row>
    <row r="248" spans="1:14">
      <c r="A248" s="1" t="s">
        <v>260</v>
      </c>
      <c r="B248">
        <f>HYPERLINK("https://www.suredividend.com/sure-analysis-LHX/","L3Harris Technologies Inc")</f>
        <v>0</v>
      </c>
      <c r="C248" t="s">
        <v>451</v>
      </c>
      <c r="D248">
        <v>197.8</v>
      </c>
      <c r="E248">
        <v>0.0230535894843276</v>
      </c>
      <c r="F248">
        <v>0.01785714285714279</v>
      </c>
      <c r="G248">
        <v>0.1486983549970351</v>
      </c>
      <c r="H248">
        <v>4.446928951705528</v>
      </c>
      <c r="I248">
        <v>40709.546975</v>
      </c>
      <c r="J248">
        <v>38.33290675593221</v>
      </c>
      <c r="K248">
        <v>0.8100052735347046</v>
      </c>
      <c r="M248">
        <v>274.44</v>
      </c>
      <c r="N248">
        <v>189.73</v>
      </c>
    </row>
    <row r="249" spans="1:14">
      <c r="A249" s="1" t="s">
        <v>261</v>
      </c>
      <c r="B249">
        <f>HYPERLINK("https://www.suredividend.com/sure-analysis-research-database/","LKQ Corp")</f>
        <v>0</v>
      </c>
      <c r="C249" t="s">
        <v>457</v>
      </c>
      <c r="D249">
        <v>55.22</v>
      </c>
      <c r="E249">
        <v>0.013223784011095</v>
      </c>
      <c r="F249" t="s">
        <v>461</v>
      </c>
      <c r="G249" t="s">
        <v>461</v>
      </c>
      <c r="H249">
        <v>0.7713433213672061</v>
      </c>
      <c r="I249">
        <v>15577.910433</v>
      </c>
      <c r="J249">
        <v>13.55779846198433</v>
      </c>
      <c r="K249">
        <v>0.1867659373770475</v>
      </c>
      <c r="M249">
        <v>59.33</v>
      </c>
      <c r="N249">
        <v>41.75</v>
      </c>
    </row>
    <row r="250" spans="1:14">
      <c r="A250" s="1" t="s">
        <v>262</v>
      </c>
      <c r="B250">
        <f>HYPERLINK("https://www.suredividend.com/sure-analysis-LLY/","Lilly(Eli) &amp; Co")</f>
        <v>0</v>
      </c>
      <c r="C250" t="s">
        <v>450</v>
      </c>
      <c r="D250">
        <v>331.08</v>
      </c>
      <c r="E250">
        <v>0.0136522894768636</v>
      </c>
      <c r="F250">
        <v>0.1530612244897958</v>
      </c>
      <c r="G250">
        <v>0.149717609800043</v>
      </c>
      <c r="H250">
        <v>4.051914095871618</v>
      </c>
      <c r="I250">
        <v>302602.792855</v>
      </c>
      <c r="J250">
        <v>48.45676288347745</v>
      </c>
      <c r="K250">
        <v>0.5872339269379157</v>
      </c>
      <c r="M250">
        <v>383.2</v>
      </c>
      <c r="N250">
        <v>254.62</v>
      </c>
    </row>
    <row r="251" spans="1:14">
      <c r="A251" s="1" t="s">
        <v>263</v>
      </c>
      <c r="B251">
        <f>HYPERLINK("https://www.suredividend.com/sure-analysis-LMT/","Lockheed Martin Corp.")</f>
        <v>0</v>
      </c>
      <c r="C251" t="s">
        <v>451</v>
      </c>
      <c r="D251">
        <v>474.76</v>
      </c>
      <c r="E251">
        <v>0.02527592889038672</v>
      </c>
      <c r="F251">
        <v>0.0714285714285714</v>
      </c>
      <c r="G251">
        <v>0.08447177119769855</v>
      </c>
      <c r="H251">
        <v>11.49349332397175</v>
      </c>
      <c r="I251">
        <v>122004.025741</v>
      </c>
      <c r="J251">
        <v>21.28472186692603</v>
      </c>
      <c r="K251">
        <v>0.5306321940891852</v>
      </c>
      <c r="M251">
        <v>495.83</v>
      </c>
      <c r="N251">
        <v>366.6</v>
      </c>
    </row>
    <row r="252" spans="1:14">
      <c r="A252" s="1" t="s">
        <v>264</v>
      </c>
      <c r="B252">
        <f>HYPERLINK("https://www.suredividend.com/sure-analysis-LNT/","Alliant Energy Corp.")</f>
        <v>0</v>
      </c>
      <c r="C252" t="s">
        <v>454</v>
      </c>
      <c r="D252">
        <v>52.01</v>
      </c>
      <c r="E252">
        <v>0.03480099980772929</v>
      </c>
      <c r="F252">
        <v>0.05847953216374258</v>
      </c>
      <c r="G252">
        <v>0.06197613016497328</v>
      </c>
      <c r="H252">
        <v>1.714153888766668</v>
      </c>
      <c r="I252">
        <v>13076.730771</v>
      </c>
      <c r="J252">
        <v>19.06228975297376</v>
      </c>
      <c r="K252">
        <v>0.6278951973504279</v>
      </c>
      <c r="M252">
        <v>63.54</v>
      </c>
      <c r="N252">
        <v>46.4</v>
      </c>
    </row>
    <row r="253" spans="1:14">
      <c r="A253" s="1" t="s">
        <v>265</v>
      </c>
      <c r="B253">
        <f>HYPERLINK("https://www.suredividend.com/sure-analysis-LOW/","Lowe`s Cos., Inc.")</f>
        <v>0</v>
      </c>
      <c r="C253" t="s">
        <v>457</v>
      </c>
      <c r="D253">
        <v>196.79</v>
      </c>
      <c r="E253">
        <v>0.02134254789369379</v>
      </c>
      <c r="F253">
        <v>0.3125</v>
      </c>
      <c r="G253">
        <v>0.2069272376856006</v>
      </c>
      <c r="H253">
        <v>3.92045425163089</v>
      </c>
      <c r="I253">
        <v>123550.447861</v>
      </c>
      <c r="J253">
        <v>18.54833326247561</v>
      </c>
      <c r="K253">
        <v>0.3821105508412174</v>
      </c>
      <c r="M253">
        <v>233.55</v>
      </c>
      <c r="N253">
        <v>167.36</v>
      </c>
    </row>
    <row r="254" spans="1:14">
      <c r="A254" s="1" t="s">
        <v>266</v>
      </c>
      <c r="B254">
        <f>HYPERLINK("https://www.suredividend.com/sure-analysis-LRCX/","Lam Research Corp.")</f>
        <v>0</v>
      </c>
      <c r="C254" t="s">
        <v>452</v>
      </c>
      <c r="D254">
        <v>507.36</v>
      </c>
      <c r="E254">
        <v>0.01359981078524125</v>
      </c>
      <c r="F254">
        <v>0.1500000000000001</v>
      </c>
      <c r="G254">
        <v>0.09415609226338262</v>
      </c>
      <c r="H254">
        <v>6.415924400948231</v>
      </c>
      <c r="I254">
        <v>66341.387155</v>
      </c>
      <c r="J254">
        <v>12.94441338582208</v>
      </c>
      <c r="K254">
        <v>0.1727497146189615</v>
      </c>
      <c r="M254">
        <v>568.53</v>
      </c>
      <c r="N254">
        <v>298.48</v>
      </c>
    </row>
    <row r="255" spans="1:14">
      <c r="A255" s="1" t="s">
        <v>267</v>
      </c>
      <c r="B255">
        <f>HYPERLINK("https://www.suredividend.com/sure-analysis-research-database/","Southwest Airlines Co")</f>
        <v>0</v>
      </c>
      <c r="C255" t="s">
        <v>451</v>
      </c>
      <c r="D255">
        <v>31.04</v>
      </c>
      <c r="E255">
        <v>0.005266237775089001</v>
      </c>
      <c r="F255" t="s">
        <v>461</v>
      </c>
      <c r="G255" t="s">
        <v>461</v>
      </c>
      <c r="H255">
        <v>0.180000007152557</v>
      </c>
      <c r="I255">
        <v>20312.715202</v>
      </c>
      <c r="J255">
        <v>37.68592801829313</v>
      </c>
      <c r="K255">
        <v>0.2143878122350608</v>
      </c>
      <c r="M255">
        <v>49.84</v>
      </c>
      <c r="N255">
        <v>30.05</v>
      </c>
    </row>
    <row r="256" spans="1:14">
      <c r="A256" s="1" t="s">
        <v>268</v>
      </c>
      <c r="B256">
        <f>HYPERLINK("https://www.suredividend.com/sure-analysis-research-database/","Las Vegas Sands Corp")</f>
        <v>0</v>
      </c>
      <c r="C256" t="s">
        <v>457</v>
      </c>
      <c r="D256">
        <v>55.16</v>
      </c>
      <c r="E256">
        <v>0</v>
      </c>
      <c r="F256" t="s">
        <v>461</v>
      </c>
      <c r="G256" t="s">
        <v>461</v>
      </c>
      <c r="H256">
        <v>0</v>
      </c>
      <c r="I256">
        <v>46467.820957</v>
      </c>
      <c r="J256">
        <v>25.36453108995633</v>
      </c>
      <c r="K256">
        <v>0</v>
      </c>
      <c r="M256">
        <v>60.99</v>
      </c>
      <c r="N256">
        <v>28.88</v>
      </c>
    </row>
    <row r="257" spans="1:14">
      <c r="A257" s="1" t="s">
        <v>269</v>
      </c>
      <c r="B257">
        <f>HYPERLINK("https://www.suredividend.com/sure-analysis-research-database/","Lamb Weston Holdings Inc")</f>
        <v>0</v>
      </c>
      <c r="C257" t="s">
        <v>453</v>
      </c>
      <c r="D257">
        <v>99.65000000000001</v>
      </c>
      <c r="E257">
        <v>0.01011522181422</v>
      </c>
      <c r="F257">
        <v>0.142857142857143</v>
      </c>
      <c r="G257">
        <v>0.07922331116721759</v>
      </c>
      <c r="H257">
        <v>1.010814115895062</v>
      </c>
      <c r="I257">
        <v>14376.988059</v>
      </c>
      <c r="J257">
        <v>30.35681600232264</v>
      </c>
      <c r="K257">
        <v>0.3091174666345756</v>
      </c>
      <c r="M257">
        <v>102.77</v>
      </c>
      <c r="N257">
        <v>49.1</v>
      </c>
    </row>
    <row r="258" spans="1:14">
      <c r="A258" s="1" t="s">
        <v>270</v>
      </c>
      <c r="B258">
        <f>HYPERLINK("https://www.suredividend.com/sure-analysis-LYB/","LyondellBasell Industries NV")</f>
        <v>0</v>
      </c>
      <c r="C258" t="s">
        <v>456</v>
      </c>
      <c r="D258">
        <v>88.48</v>
      </c>
      <c r="E258">
        <v>0.05379746835443038</v>
      </c>
      <c r="F258">
        <v>0</v>
      </c>
      <c r="G258">
        <v>0.03540293633542868</v>
      </c>
      <c r="H258">
        <v>4.701093701567581</v>
      </c>
      <c r="I258">
        <v>31699.478903</v>
      </c>
      <c r="J258">
        <v>8.17629066353366</v>
      </c>
      <c r="K258">
        <v>0.397723663415193</v>
      </c>
      <c r="M258">
        <v>109.7</v>
      </c>
      <c r="N258">
        <v>70.59</v>
      </c>
    </row>
    <row r="259" spans="1:14">
      <c r="A259" s="1" t="s">
        <v>271</v>
      </c>
      <c r="B259">
        <f>HYPERLINK("https://www.suredividend.com/sure-analysis-research-database/","Live Nation Entertainment Inc")</f>
        <v>0</v>
      </c>
      <c r="C259" t="s">
        <v>460</v>
      </c>
      <c r="D259">
        <v>69.23</v>
      </c>
      <c r="E259">
        <v>0</v>
      </c>
      <c r="F259" t="s">
        <v>461</v>
      </c>
      <c r="G259" t="s">
        <v>461</v>
      </c>
      <c r="H259">
        <v>0</v>
      </c>
      <c r="I259">
        <v>16899.213804</v>
      </c>
      <c r="J259">
        <v>57.09463895042333</v>
      </c>
      <c r="K259">
        <v>0</v>
      </c>
      <c r="M259">
        <v>121.28</v>
      </c>
      <c r="N259">
        <v>65.05</v>
      </c>
    </row>
    <row r="260" spans="1:14">
      <c r="A260" s="1" t="s">
        <v>272</v>
      </c>
      <c r="B260">
        <f>HYPERLINK("https://www.suredividend.com/sure-analysis-MA/","Mastercard Incorporated")</f>
        <v>0</v>
      </c>
      <c r="C260" t="s">
        <v>455</v>
      </c>
      <c r="D260">
        <v>354.57</v>
      </c>
      <c r="E260">
        <v>0.006430324054488535</v>
      </c>
      <c r="F260">
        <v>0.1632653061224492</v>
      </c>
      <c r="G260">
        <v>0.1791986393694678</v>
      </c>
      <c r="H260">
        <v>2.03529443941408</v>
      </c>
      <c r="I260">
        <v>341878.8645</v>
      </c>
      <c r="J260">
        <v>34.42888867069486</v>
      </c>
      <c r="K260">
        <v>0.1989535131392063</v>
      </c>
      <c r="M260">
        <v>390</v>
      </c>
      <c r="N260">
        <v>276.42</v>
      </c>
    </row>
    <row r="261" spans="1:14">
      <c r="A261" s="1" t="s">
        <v>273</v>
      </c>
      <c r="B261">
        <f>HYPERLINK("https://www.suredividend.com/sure-analysis-MAA/","Mid-America Apartment Communities, Inc.")</f>
        <v>0</v>
      </c>
      <c r="C261" t="s">
        <v>458</v>
      </c>
      <c r="D261">
        <v>144.89</v>
      </c>
      <c r="E261">
        <v>0.03865001035268135</v>
      </c>
      <c r="F261">
        <v>-0.02298850574712641</v>
      </c>
      <c r="G261">
        <v>0.02866156418808585</v>
      </c>
      <c r="H261">
        <v>4.928355794140691</v>
      </c>
      <c r="I261">
        <v>18594.013985</v>
      </c>
      <c r="J261">
        <v>29.33975962822763</v>
      </c>
      <c r="K261">
        <v>0.8993349989307829</v>
      </c>
      <c r="M261">
        <v>211.19</v>
      </c>
      <c r="N261">
        <v>139.9</v>
      </c>
    </row>
    <row r="262" spans="1:14">
      <c r="A262" s="1" t="s">
        <v>274</v>
      </c>
      <c r="B262">
        <f>HYPERLINK("https://www.suredividend.com/sure-analysis-MAR/","Marriott International, Inc.")</f>
        <v>0</v>
      </c>
      <c r="C262" t="s">
        <v>457</v>
      </c>
      <c r="D262">
        <v>167.76</v>
      </c>
      <c r="E262">
        <v>0.005364806866952791</v>
      </c>
      <c r="F262" t="s">
        <v>461</v>
      </c>
      <c r="G262" t="s">
        <v>461</v>
      </c>
      <c r="H262">
        <v>1.395624692987251</v>
      </c>
      <c r="I262">
        <v>53326.528988</v>
      </c>
      <c r="J262">
        <v>22.61515224263359</v>
      </c>
      <c r="K262">
        <v>0.1927658415728247</v>
      </c>
      <c r="M262">
        <v>194.24</v>
      </c>
      <c r="N262">
        <v>130.14</v>
      </c>
    </row>
    <row r="263" spans="1:14">
      <c r="A263" s="1" t="s">
        <v>275</v>
      </c>
      <c r="B263">
        <f>HYPERLINK("https://www.suredividend.com/sure-analysis-research-database/","Masco Corp.")</f>
        <v>0</v>
      </c>
      <c r="C263" t="s">
        <v>451</v>
      </c>
      <c r="D263">
        <v>51.3</v>
      </c>
      <c r="E263">
        <v>0.021088834232292</v>
      </c>
      <c r="F263">
        <v>0.01785714285714279</v>
      </c>
      <c r="G263">
        <v>0.2210434328336239</v>
      </c>
      <c r="H263">
        <v>1.11559933088825</v>
      </c>
      <c r="I263">
        <v>11913.244995</v>
      </c>
      <c r="J263">
        <v>14.14874702505938</v>
      </c>
      <c r="K263">
        <v>0.3073276393631543</v>
      </c>
      <c r="M263">
        <v>57.21</v>
      </c>
      <c r="N263">
        <v>41.84</v>
      </c>
    </row>
    <row r="264" spans="1:14">
      <c r="A264" s="1" t="s">
        <v>276</v>
      </c>
      <c r="B264">
        <f>HYPERLINK("https://www.suredividend.com/sure-analysis-MCD/","McDonald`s Corp")</f>
        <v>0</v>
      </c>
      <c r="C264" t="s">
        <v>457</v>
      </c>
      <c r="D264">
        <v>270.21</v>
      </c>
      <c r="E264">
        <v>0.02250101772695311</v>
      </c>
      <c r="F264">
        <v>0.1014492753623188</v>
      </c>
      <c r="G264">
        <v>0.08518665103512735</v>
      </c>
      <c r="H264">
        <v>5.752634179197277</v>
      </c>
      <c r="I264">
        <v>196823.884606</v>
      </c>
      <c r="J264">
        <v>31.8619297124308</v>
      </c>
      <c r="K264">
        <v>0.6905923384390489</v>
      </c>
      <c r="M264">
        <v>278.48</v>
      </c>
      <c r="N264">
        <v>212.86</v>
      </c>
    </row>
    <row r="265" spans="1:14">
      <c r="A265" s="1" t="s">
        <v>277</v>
      </c>
      <c r="B265">
        <f>HYPERLINK("https://www.suredividend.com/sure-analysis-MCHP/","Microchip Technology, Inc.")</f>
        <v>0</v>
      </c>
      <c r="C265" t="s">
        <v>452</v>
      </c>
      <c r="D265">
        <v>82.29000000000001</v>
      </c>
      <c r="E265">
        <v>0.01737756714060031</v>
      </c>
      <c r="F265">
        <v>0.4150197628458496</v>
      </c>
      <c r="G265">
        <v>-0.0030446178365926</v>
      </c>
      <c r="H265">
        <v>1.255482410986571</v>
      </c>
      <c r="I265">
        <v>45247.941092</v>
      </c>
      <c r="J265">
        <v>21.84202601477119</v>
      </c>
      <c r="K265">
        <v>0.3393195705369111</v>
      </c>
      <c r="M265">
        <v>87.39</v>
      </c>
      <c r="N265">
        <v>53.63</v>
      </c>
    </row>
    <row r="266" spans="1:14">
      <c r="A266" s="1" t="s">
        <v>278</v>
      </c>
      <c r="B266">
        <f>HYPERLINK("https://www.suredividend.com/sure-analysis-MCK/","Mckesson Corporation")</f>
        <v>0</v>
      </c>
      <c r="C266" t="s">
        <v>450</v>
      </c>
      <c r="D266">
        <v>347.47</v>
      </c>
      <c r="E266">
        <v>0.00621636400264771</v>
      </c>
      <c r="F266">
        <v>0.1489361702127661</v>
      </c>
      <c r="G266">
        <v>0.06724918187953888</v>
      </c>
      <c r="H266">
        <v>2.085523025922373</v>
      </c>
      <c r="I266">
        <v>47335.782597</v>
      </c>
      <c r="J266">
        <v>15.07029054348615</v>
      </c>
      <c r="K266">
        <v>0.09659671264114743</v>
      </c>
      <c r="M266">
        <v>400.6</v>
      </c>
      <c r="N266">
        <v>269.92</v>
      </c>
    </row>
    <row r="267" spans="1:14">
      <c r="A267" s="1" t="s">
        <v>279</v>
      </c>
      <c r="B267">
        <f>HYPERLINK("https://www.suredividend.com/sure-analysis-MCO/","Moody`s Corp.")</f>
        <v>0</v>
      </c>
      <c r="C267" t="s">
        <v>455</v>
      </c>
      <c r="D267">
        <v>297.09</v>
      </c>
      <c r="E267">
        <v>0.0103672287858898</v>
      </c>
      <c r="F267">
        <v>0.09999999999999987</v>
      </c>
      <c r="G267">
        <v>0.1184269147201447</v>
      </c>
      <c r="H267">
        <v>2.855862306293494</v>
      </c>
      <c r="I267">
        <v>54707.184</v>
      </c>
      <c r="J267">
        <v>39.816</v>
      </c>
      <c r="K267">
        <v>0.3838524605233191</v>
      </c>
      <c r="M267">
        <v>341.95</v>
      </c>
      <c r="N267">
        <v>228.39</v>
      </c>
    </row>
    <row r="268" spans="1:14">
      <c r="A268" s="1" t="s">
        <v>280</v>
      </c>
      <c r="B268">
        <f>HYPERLINK("https://www.suredividend.com/sure-analysis-MDLZ/","Mondelez International Inc.")</f>
        <v>0</v>
      </c>
      <c r="C268" t="s">
        <v>453</v>
      </c>
      <c r="D268">
        <v>67.83</v>
      </c>
      <c r="E268">
        <v>0.02270381836945305</v>
      </c>
      <c r="F268">
        <v>0.09999999999999987</v>
      </c>
      <c r="G268">
        <v>0.1184269147201447</v>
      </c>
      <c r="H268">
        <v>1.457180075346527</v>
      </c>
      <c r="I268">
        <v>89582.893048</v>
      </c>
      <c r="J268">
        <v>32.971252501947</v>
      </c>
      <c r="K268">
        <v>0.743459222115575</v>
      </c>
      <c r="M268">
        <v>68.41</v>
      </c>
      <c r="N268">
        <v>54.4</v>
      </c>
    </row>
    <row r="269" spans="1:14">
      <c r="A269" s="1" t="s">
        <v>281</v>
      </c>
      <c r="B269">
        <f>HYPERLINK("https://www.suredividend.com/sure-analysis-MDT/","Medtronic Plc")</f>
        <v>0</v>
      </c>
      <c r="C269" t="s">
        <v>450</v>
      </c>
      <c r="D269">
        <v>81.23</v>
      </c>
      <c r="E269">
        <v>0.0334851655792195</v>
      </c>
      <c r="F269">
        <v>0.07936507936507953</v>
      </c>
      <c r="G269">
        <v>0.08130999208865752</v>
      </c>
      <c r="H269">
        <v>2.63743394349721</v>
      </c>
      <c r="I269">
        <v>110970.641484</v>
      </c>
      <c r="J269">
        <v>27.29905079564083</v>
      </c>
      <c r="K269">
        <v>0.8675769550977663</v>
      </c>
      <c r="M269">
        <v>111.55</v>
      </c>
      <c r="N269">
        <v>75.09999999999999</v>
      </c>
    </row>
    <row r="270" spans="1:14">
      <c r="A270" s="1" t="s">
        <v>282</v>
      </c>
      <c r="B270">
        <f>HYPERLINK("https://www.suredividend.com/sure-analysis-MET/","Metlife Inc")</f>
        <v>0</v>
      </c>
      <c r="C270" t="s">
        <v>455</v>
      </c>
      <c r="D270">
        <v>58.53</v>
      </c>
      <c r="E270">
        <v>0.03417051084913719</v>
      </c>
      <c r="F270">
        <v>0.04166666666666674</v>
      </c>
      <c r="G270">
        <v>0.03548578845590522</v>
      </c>
      <c r="H270">
        <v>1.978660636800265</v>
      </c>
      <c r="I270">
        <v>54460.88593</v>
      </c>
      <c r="J270">
        <v>23.13546556090059</v>
      </c>
      <c r="K270">
        <v>0.6799521088660704</v>
      </c>
      <c r="M270">
        <v>76.81</v>
      </c>
      <c r="N270">
        <v>56.17</v>
      </c>
    </row>
    <row r="271" spans="1:14">
      <c r="A271" s="1" t="s">
        <v>283</v>
      </c>
      <c r="B271">
        <f>HYPERLINK("https://www.suredividend.com/sure-analysis-research-database/","MGM Resorts International")</f>
        <v>0</v>
      </c>
      <c r="C271" t="s">
        <v>457</v>
      </c>
      <c r="D271">
        <v>42.68</v>
      </c>
      <c r="E271">
        <v>0.000217794385937</v>
      </c>
      <c r="F271" t="s">
        <v>461</v>
      </c>
      <c r="G271" t="s">
        <v>461</v>
      </c>
      <c r="H271">
        <v>0.00999894025839</v>
      </c>
      <c r="I271">
        <v>17166.366489</v>
      </c>
      <c r="J271">
        <v>11.91112054808303</v>
      </c>
      <c r="K271">
        <v>0.002865025862002865</v>
      </c>
      <c r="M271">
        <v>46.1</v>
      </c>
      <c r="N271">
        <v>26.41</v>
      </c>
    </row>
    <row r="272" spans="1:14">
      <c r="A272" s="1" t="s">
        <v>284</v>
      </c>
      <c r="B272">
        <f>HYPERLINK("https://www.suredividend.com/sure-analysis-MKC/","McCormick &amp; Co., Inc.")</f>
        <v>0</v>
      </c>
      <c r="C272" t="s">
        <v>453</v>
      </c>
      <c r="D272">
        <v>72.79000000000001</v>
      </c>
      <c r="E272">
        <v>0.02143151531803819</v>
      </c>
      <c r="F272">
        <v>0.05405405405405417</v>
      </c>
      <c r="G272">
        <v>-0.05591248870509802</v>
      </c>
      <c r="H272">
        <v>1.489397240505706</v>
      </c>
      <c r="I272">
        <v>19543.007792</v>
      </c>
      <c r="J272">
        <v>28.65543664530792</v>
      </c>
      <c r="K272">
        <v>0.5910306509943278</v>
      </c>
      <c r="M272">
        <v>105.45</v>
      </c>
      <c r="N272">
        <v>70.48999999999999</v>
      </c>
    </row>
    <row r="273" spans="1:14">
      <c r="A273" s="1" t="s">
        <v>285</v>
      </c>
      <c r="B273">
        <f>HYPERLINK("https://www.suredividend.com/sure-analysis-MKTX/","MarketAxess Holdings Inc.")</f>
        <v>0</v>
      </c>
      <c r="C273" t="s">
        <v>455</v>
      </c>
      <c r="D273">
        <v>384.5</v>
      </c>
      <c r="E273">
        <v>0.007490247074122236</v>
      </c>
      <c r="F273">
        <v>0.02857142857142847</v>
      </c>
      <c r="G273">
        <v>0.1138241786028791</v>
      </c>
      <c r="H273">
        <v>2.809871162611004</v>
      </c>
      <c r="I273">
        <v>13897.112874</v>
      </c>
      <c r="J273">
        <v>55.5386888311273</v>
      </c>
      <c r="K273">
        <v>0.4225370169339855</v>
      </c>
      <c r="M273">
        <v>388.77</v>
      </c>
      <c r="N273">
        <v>216.37</v>
      </c>
    </row>
    <row r="274" spans="1:14">
      <c r="A274" s="1" t="s">
        <v>286</v>
      </c>
      <c r="B274">
        <f>HYPERLINK("https://www.suredividend.com/sure-analysis-MLM/","Martin Marietta Materials, Inc.")</f>
        <v>0</v>
      </c>
      <c r="C274" t="s">
        <v>456</v>
      </c>
      <c r="D274">
        <v>335.16</v>
      </c>
      <c r="E274">
        <v>0.007876834944504117</v>
      </c>
      <c r="F274">
        <v>0.08196721311475419</v>
      </c>
      <c r="G274">
        <v>0.08447177119769855</v>
      </c>
      <c r="H274">
        <v>2.58299312527014</v>
      </c>
      <c r="I274">
        <v>22706.300317</v>
      </c>
      <c r="J274">
        <v>26.19554720422243</v>
      </c>
      <c r="K274">
        <v>0.1862287761550209</v>
      </c>
      <c r="M274">
        <v>404.59</v>
      </c>
      <c r="N274">
        <v>283.4</v>
      </c>
    </row>
    <row r="275" spans="1:14">
      <c r="A275" s="1" t="s">
        <v>287</v>
      </c>
      <c r="B275">
        <f>HYPERLINK("https://www.suredividend.com/sure-analysis-MMC/","Marsh &amp; McLennan Cos., Inc.")</f>
        <v>0</v>
      </c>
      <c r="C275" t="s">
        <v>455</v>
      </c>
      <c r="D275">
        <v>160.42</v>
      </c>
      <c r="E275">
        <v>0.01471138262062087</v>
      </c>
      <c r="F275">
        <v>0.1028037383177569</v>
      </c>
      <c r="G275">
        <v>0.09487401536266371</v>
      </c>
      <c r="H275">
        <v>2.293001703540544</v>
      </c>
      <c r="I275">
        <v>80946.509385</v>
      </c>
      <c r="J275">
        <v>26.53983914267868</v>
      </c>
      <c r="K275">
        <v>0.3796360436325404</v>
      </c>
      <c r="M275">
        <v>181.15</v>
      </c>
      <c r="N275">
        <v>141.77</v>
      </c>
    </row>
    <row r="276" spans="1:14">
      <c r="A276" s="1" t="s">
        <v>288</v>
      </c>
      <c r="B276">
        <f>HYPERLINK("https://www.suredividend.com/sure-analysis-MMM/","3M Co.")</f>
        <v>0</v>
      </c>
      <c r="C276" t="s">
        <v>451</v>
      </c>
      <c r="D276">
        <v>104.29</v>
      </c>
      <c r="E276">
        <v>0.05753188225141432</v>
      </c>
      <c r="F276">
        <v>0.006711409395973256</v>
      </c>
      <c r="G276">
        <v>0.01978934521903875</v>
      </c>
      <c r="H276">
        <v>5.862785485013029</v>
      </c>
      <c r="I276">
        <v>61248.63</v>
      </c>
      <c r="J276">
        <v>10.60398718836565</v>
      </c>
      <c r="K276">
        <v>0.5759121301584509</v>
      </c>
      <c r="M276">
        <v>147.85</v>
      </c>
      <c r="N276">
        <v>104.45</v>
      </c>
    </row>
    <row r="277" spans="1:14">
      <c r="A277" s="1" t="s">
        <v>289</v>
      </c>
      <c r="B277">
        <f>HYPERLINK("https://www.suredividend.com/sure-analysis-research-database/","Monster Beverage Corp.")</f>
        <v>0</v>
      </c>
      <c r="C277" t="s">
        <v>453</v>
      </c>
      <c r="D277">
        <v>103.79</v>
      </c>
      <c r="E277">
        <v>0</v>
      </c>
      <c r="F277" t="s">
        <v>461</v>
      </c>
      <c r="G277" t="s">
        <v>461</v>
      </c>
      <c r="H277">
        <v>0</v>
      </c>
      <c r="I277">
        <v>53290.97861</v>
      </c>
      <c r="J277">
        <v>44.72130354002605</v>
      </c>
      <c r="K277">
        <v>0</v>
      </c>
      <c r="M277">
        <v>105.45</v>
      </c>
      <c r="N277">
        <v>71.78</v>
      </c>
    </row>
    <row r="278" spans="1:14">
      <c r="A278" s="1" t="s">
        <v>290</v>
      </c>
      <c r="B278">
        <f>HYPERLINK("https://www.suredividend.com/sure-analysis-MO/","Altria Group Inc.")</f>
        <v>0</v>
      </c>
      <c r="C278" t="s">
        <v>453</v>
      </c>
      <c r="D278">
        <v>46.2</v>
      </c>
      <c r="E278">
        <v>0.08138528138528138</v>
      </c>
      <c r="F278" t="s">
        <v>461</v>
      </c>
      <c r="G278" t="s">
        <v>461</v>
      </c>
      <c r="H278">
        <v>3.569500084064888</v>
      </c>
      <c r="I278">
        <v>83082.28487</v>
      </c>
      <c r="J278">
        <v>14.44658057212832</v>
      </c>
      <c r="K278">
        <v>1.118965543594009</v>
      </c>
      <c r="M278">
        <v>53.63</v>
      </c>
      <c r="N278">
        <v>39.29</v>
      </c>
    </row>
    <row r="279" spans="1:14">
      <c r="A279" s="1" t="s">
        <v>291</v>
      </c>
      <c r="B279">
        <f>HYPERLINK("https://www.suredividend.com/sure-analysis-research-database/","Mosaic Company")</f>
        <v>0</v>
      </c>
      <c r="C279" t="s">
        <v>456</v>
      </c>
      <c r="D279">
        <v>45.37</v>
      </c>
      <c r="E279">
        <v>0.011323670069474</v>
      </c>
      <c r="F279">
        <v>0.6666666666666667</v>
      </c>
      <c r="G279">
        <v>0.5848931924611136</v>
      </c>
      <c r="H279">
        <v>0.6470345077698011</v>
      </c>
      <c r="I279">
        <v>19226.850895</v>
      </c>
      <c r="J279">
        <v>5.366431532628113</v>
      </c>
      <c r="K279">
        <v>0.06431754550395637</v>
      </c>
      <c r="M279">
        <v>78.34999999999999</v>
      </c>
      <c r="N279">
        <v>40.14</v>
      </c>
    </row>
    <row r="280" spans="1:14">
      <c r="A280" s="1" t="s">
        <v>292</v>
      </c>
      <c r="B280">
        <f>HYPERLINK("https://www.suredividend.com/sure-analysis-MPC/","Marathon Petroleum Corp")</f>
        <v>0</v>
      </c>
      <c r="C280" t="s">
        <v>459</v>
      </c>
      <c r="D280">
        <v>128.29</v>
      </c>
      <c r="E280">
        <v>0.02338451944812534</v>
      </c>
      <c r="F280">
        <v>0.2931034482758621</v>
      </c>
      <c r="G280">
        <v>0.102708408810896</v>
      </c>
      <c r="H280">
        <v>2.638218460033768</v>
      </c>
      <c r="I280">
        <v>59480.512085</v>
      </c>
      <c r="J280">
        <v>4.099842299731183</v>
      </c>
      <c r="K280">
        <v>0.09382000213491351</v>
      </c>
      <c r="M280">
        <v>135.66</v>
      </c>
      <c r="N280">
        <v>71.43000000000001</v>
      </c>
    </row>
    <row r="281" spans="1:14">
      <c r="A281" s="1" t="s">
        <v>293</v>
      </c>
      <c r="B281">
        <f>HYPERLINK("https://www.suredividend.com/sure-analysis-MRK/","Merck &amp; Co Inc")</f>
        <v>0</v>
      </c>
      <c r="C281" t="s">
        <v>450</v>
      </c>
      <c r="D281">
        <v>105.54</v>
      </c>
      <c r="E281">
        <v>0.02766723517149896</v>
      </c>
      <c r="F281">
        <v>0.05797101449275344</v>
      </c>
      <c r="G281">
        <v>0.08746759523109526</v>
      </c>
      <c r="H281">
        <v>2.76989191221934</v>
      </c>
      <c r="I281">
        <v>271324.762873</v>
      </c>
      <c r="J281">
        <v>18.68756545719127</v>
      </c>
      <c r="K281">
        <v>0.4850949058177478</v>
      </c>
      <c r="M281">
        <v>115.49</v>
      </c>
      <c r="N281">
        <v>73.70999999999999</v>
      </c>
    </row>
    <row r="282" spans="1:14">
      <c r="A282" s="1" t="s">
        <v>294</v>
      </c>
      <c r="B282">
        <f>HYPERLINK("https://www.suredividend.com/sure-analysis-research-database/","Marathon Oil Corporation")</f>
        <v>0</v>
      </c>
      <c r="C282" t="s">
        <v>459</v>
      </c>
      <c r="D282">
        <v>22.96</v>
      </c>
      <c r="E282">
        <v>0.013131252024448</v>
      </c>
      <c r="F282" t="s">
        <v>461</v>
      </c>
      <c r="G282" t="s">
        <v>461</v>
      </c>
      <c r="H282">
        <v>0.348372116208615</v>
      </c>
      <c r="I282">
        <v>16704.726032</v>
      </c>
      <c r="J282">
        <v>4.624785723178295</v>
      </c>
      <c r="K282">
        <v>0.06623044034384316</v>
      </c>
      <c r="M282">
        <v>33.21</v>
      </c>
      <c r="N282">
        <v>19.23</v>
      </c>
    </row>
    <row r="283" spans="1:14">
      <c r="A283" s="1" t="s">
        <v>295</v>
      </c>
      <c r="B283">
        <f>HYPERLINK("https://www.suredividend.com/sure-analysis-MS/","Morgan Stanley")</f>
        <v>0</v>
      </c>
      <c r="C283" t="s">
        <v>455</v>
      </c>
      <c r="D283">
        <v>88.76000000000001</v>
      </c>
      <c r="E283">
        <v>0.03492564218116268</v>
      </c>
      <c r="F283">
        <v>0.107142857142857</v>
      </c>
      <c r="G283">
        <v>0.2539272451403496</v>
      </c>
      <c r="H283">
        <v>2.986483452643382</v>
      </c>
      <c r="I283">
        <v>165385.175441</v>
      </c>
      <c r="J283">
        <v>15.69119311585863</v>
      </c>
      <c r="K283">
        <v>0.4856070654704686</v>
      </c>
      <c r="M283">
        <v>100.99</v>
      </c>
      <c r="N283">
        <v>70.12</v>
      </c>
    </row>
    <row r="284" spans="1:14">
      <c r="A284" s="1" t="s">
        <v>296</v>
      </c>
      <c r="B284">
        <f>HYPERLINK("https://www.suredividend.com/sure-analysis-research-database/","MSCI Inc")</f>
        <v>0</v>
      </c>
      <c r="C284" t="s">
        <v>455</v>
      </c>
      <c r="D284">
        <v>554.33</v>
      </c>
      <c r="E284">
        <v>0.009135514990825001</v>
      </c>
      <c r="F284">
        <v>0.3269230769230769</v>
      </c>
      <c r="G284">
        <v>0.2942527545374622</v>
      </c>
      <c r="H284">
        <v>4.902756830126114</v>
      </c>
      <c r="I284">
        <v>42912.127297</v>
      </c>
      <c r="J284">
        <v>49.29181963675648</v>
      </c>
      <c r="K284">
        <v>0.4573467192281822</v>
      </c>
      <c r="M284">
        <v>571.11</v>
      </c>
      <c r="N284">
        <v>372.57</v>
      </c>
    </row>
    <row r="285" spans="1:14">
      <c r="A285" s="1" t="s">
        <v>297</v>
      </c>
      <c r="B285">
        <f>HYPERLINK("https://www.suredividend.com/sure-analysis-MSFT/","Microsoft Corporation")</f>
        <v>0</v>
      </c>
      <c r="C285" t="s">
        <v>452</v>
      </c>
      <c r="D285">
        <v>273.78</v>
      </c>
      <c r="E285">
        <v>0.009934984293958655</v>
      </c>
      <c r="F285">
        <v>0.09677419354838723</v>
      </c>
      <c r="G285">
        <v>0.1011637965442986</v>
      </c>
      <c r="H285">
        <v>2.59042075876791</v>
      </c>
      <c r="I285">
        <v>1900328.60394</v>
      </c>
      <c r="J285">
        <v>28.17430360627393</v>
      </c>
      <c r="K285">
        <v>0.2881446895181212</v>
      </c>
      <c r="M285">
        <v>312.88</v>
      </c>
      <c r="N285">
        <v>212.3</v>
      </c>
    </row>
    <row r="286" spans="1:14">
      <c r="A286" s="1" t="s">
        <v>298</v>
      </c>
      <c r="B286">
        <f>HYPERLINK("https://www.suredividend.com/sure-analysis-research-database/","Motorola Solutions Inc")</f>
        <v>0</v>
      </c>
      <c r="C286" t="s">
        <v>452</v>
      </c>
      <c r="D286">
        <v>271.66</v>
      </c>
      <c r="E286">
        <v>0.012132642034881</v>
      </c>
      <c r="F286">
        <v>0.1139240506329113</v>
      </c>
      <c r="G286">
        <v>0.1109534595426207</v>
      </c>
      <c r="H286">
        <v>3.234077060818107</v>
      </c>
      <c r="I286">
        <v>44582.178926</v>
      </c>
      <c r="J286">
        <v>32.70886201449743</v>
      </c>
      <c r="K286">
        <v>0.407828128728639</v>
      </c>
      <c r="M286">
        <v>274.25</v>
      </c>
      <c r="N286">
        <v>193.91</v>
      </c>
    </row>
    <row r="287" spans="1:14">
      <c r="A287" s="1" t="s">
        <v>299</v>
      </c>
      <c r="B287">
        <f>HYPERLINK("https://www.suredividend.com/sure-analysis-MTB/","M &amp; T Bank Corp")</f>
        <v>0</v>
      </c>
      <c r="C287" t="s">
        <v>455</v>
      </c>
      <c r="D287">
        <v>127.55</v>
      </c>
      <c r="E287">
        <v>0.04076832614660918</v>
      </c>
      <c r="F287">
        <v>0.08333333333333348</v>
      </c>
      <c r="G287">
        <v>0.1019722877214801</v>
      </c>
      <c r="H287">
        <v>4.844610627198028</v>
      </c>
      <c r="I287">
        <v>25595.10456</v>
      </c>
      <c r="J287">
        <v>13.53186574012051</v>
      </c>
      <c r="K287">
        <v>0.4201743822374699</v>
      </c>
      <c r="M287">
        <v>189.57</v>
      </c>
      <c r="N287">
        <v>137.24</v>
      </c>
    </row>
    <row r="288" spans="1:14">
      <c r="A288" s="1" t="s">
        <v>300</v>
      </c>
      <c r="B288">
        <f>HYPERLINK("https://www.suredividend.com/sure-analysis-research-database/","Mettler-Toledo International, Inc.")</f>
        <v>0</v>
      </c>
      <c r="C288" t="s">
        <v>450</v>
      </c>
      <c r="D288">
        <v>1500.22</v>
      </c>
      <c r="E288">
        <v>0</v>
      </c>
      <c r="F288" t="s">
        <v>461</v>
      </c>
      <c r="G288" t="s">
        <v>461</v>
      </c>
      <c r="H288">
        <v>0</v>
      </c>
      <c r="I288">
        <v>33350.259852</v>
      </c>
      <c r="J288">
        <v>38.22370590783746</v>
      </c>
      <c r="K288">
        <v>0</v>
      </c>
      <c r="M288">
        <v>1609.25</v>
      </c>
      <c r="N288">
        <v>1065.55</v>
      </c>
    </row>
    <row r="289" spans="1:14">
      <c r="A289" s="1" t="s">
        <v>301</v>
      </c>
      <c r="B289">
        <f>HYPERLINK("https://www.suredividend.com/sure-analysis-MU/","Micron Technology Inc.")</f>
        <v>0</v>
      </c>
      <c r="C289" t="s">
        <v>452</v>
      </c>
      <c r="D289">
        <v>58.63</v>
      </c>
      <c r="E289">
        <v>0.007845812723861504</v>
      </c>
      <c r="F289" t="s">
        <v>461</v>
      </c>
      <c r="G289" t="s">
        <v>461</v>
      </c>
      <c r="H289">
        <v>0.4436046185584671</v>
      </c>
      <c r="I289">
        <v>61957.004623</v>
      </c>
      <c r="J289">
        <v>10.01568131628839</v>
      </c>
      <c r="K289">
        <v>0.07978500333785378</v>
      </c>
      <c r="M289">
        <v>85.58</v>
      </c>
      <c r="N289">
        <v>48.24</v>
      </c>
    </row>
    <row r="290" spans="1:14">
      <c r="A290" s="1" t="s">
        <v>302</v>
      </c>
      <c r="B290">
        <f>HYPERLINK("https://www.suredividend.com/sure-analysis-NDAQ/","Nasdaq Inc")</f>
        <v>0</v>
      </c>
      <c r="C290" t="s">
        <v>455</v>
      </c>
      <c r="D290">
        <v>54.01</v>
      </c>
      <c r="E290">
        <v>0.01481207183854842</v>
      </c>
      <c r="F290">
        <v>-0.6296296296296297</v>
      </c>
      <c r="G290">
        <v>-0.1458867408852547</v>
      </c>
      <c r="H290">
        <v>0.776386517336194</v>
      </c>
      <c r="I290">
        <v>27491.746186</v>
      </c>
      <c r="J290">
        <v>24.48062883910953</v>
      </c>
      <c r="K290">
        <v>0.3435338572284045</v>
      </c>
      <c r="M290">
        <v>69.22</v>
      </c>
      <c r="N290">
        <v>46.3</v>
      </c>
    </row>
    <row r="291" spans="1:14">
      <c r="A291" s="1" t="s">
        <v>303</v>
      </c>
      <c r="B291">
        <f>HYPERLINK("https://www.suredividend.com/sure-analysis-NEE/","NextEra Energy Inc")</f>
        <v>0</v>
      </c>
      <c r="C291" t="s">
        <v>454</v>
      </c>
      <c r="D291">
        <v>75.36</v>
      </c>
      <c r="E291">
        <v>0.02481422505307856</v>
      </c>
      <c r="F291">
        <v>0.1000000000000001</v>
      </c>
      <c r="G291">
        <v>-0.1588145980261129</v>
      </c>
      <c r="H291">
        <v>1.728030649600254</v>
      </c>
      <c r="I291">
        <v>147571.526471</v>
      </c>
      <c r="J291">
        <v>35.58512815782493</v>
      </c>
      <c r="K291">
        <v>0.8228717379048828</v>
      </c>
      <c r="M291">
        <v>90.02</v>
      </c>
      <c r="N291">
        <v>65.76000000000001</v>
      </c>
    </row>
    <row r="292" spans="1:14">
      <c r="A292" s="1" t="s">
        <v>304</v>
      </c>
      <c r="B292">
        <f>HYPERLINK("https://www.suredividend.com/sure-analysis-NEM/","Newmont Corp")</f>
        <v>0</v>
      </c>
      <c r="C292" t="s">
        <v>456</v>
      </c>
      <c r="D292">
        <v>46.6</v>
      </c>
      <c r="E292">
        <v>0.03433476394849785</v>
      </c>
      <c r="F292">
        <v>-0.2727272727272727</v>
      </c>
      <c r="G292">
        <v>0.2336341725167208</v>
      </c>
      <c r="H292">
        <v>2.162057227596977</v>
      </c>
      <c r="I292">
        <v>35482.594571</v>
      </c>
      <c r="J292" t="s">
        <v>461</v>
      </c>
      <c r="K292" t="s">
        <v>461</v>
      </c>
      <c r="M292">
        <v>83.55</v>
      </c>
      <c r="N292">
        <v>37.01</v>
      </c>
    </row>
    <row r="293" spans="1:14">
      <c r="A293" s="1" t="s">
        <v>305</v>
      </c>
      <c r="B293">
        <f>HYPERLINK("https://www.suredividend.com/sure-analysis-research-database/","Netflix Inc.")</f>
        <v>0</v>
      </c>
      <c r="C293" t="s">
        <v>460</v>
      </c>
      <c r="D293">
        <v>305.79</v>
      </c>
      <c r="E293">
        <v>0</v>
      </c>
      <c r="F293" t="s">
        <v>461</v>
      </c>
      <c r="G293" t="s">
        <v>461</v>
      </c>
      <c r="H293">
        <v>0</v>
      </c>
      <c r="I293">
        <v>139244.950621</v>
      </c>
      <c r="J293">
        <v>30.99895515183249</v>
      </c>
      <c r="K293">
        <v>0</v>
      </c>
      <c r="M293">
        <v>396.5</v>
      </c>
      <c r="N293">
        <v>162.71</v>
      </c>
    </row>
    <row r="294" spans="1:14">
      <c r="A294" s="1" t="s">
        <v>306</v>
      </c>
      <c r="B294">
        <f>HYPERLINK("https://www.suredividend.com/sure-analysis-research-database/","NiSource Inc")</f>
        <v>0</v>
      </c>
      <c r="C294" t="s">
        <v>454</v>
      </c>
      <c r="D294">
        <v>26.98</v>
      </c>
      <c r="E294">
        <v>0.034021031711917</v>
      </c>
      <c r="F294">
        <v>0.06382978723404253</v>
      </c>
      <c r="G294">
        <v>0.0509476404473832</v>
      </c>
      <c r="H294">
        <v>0.9423825784201121</v>
      </c>
      <c r="I294">
        <v>11426.470049</v>
      </c>
      <c r="J294">
        <v>15.25563424405874</v>
      </c>
      <c r="K294">
        <v>0.557622827467522</v>
      </c>
      <c r="M294">
        <v>31.48</v>
      </c>
      <c r="N294">
        <v>23.34</v>
      </c>
    </row>
    <row r="295" spans="1:14">
      <c r="A295" s="1" t="s">
        <v>307</v>
      </c>
      <c r="B295">
        <f>HYPERLINK("https://www.suredividend.com/sure-analysis-NKE/","Nike, Inc.")</f>
        <v>0</v>
      </c>
      <c r="C295" t="s">
        <v>457</v>
      </c>
      <c r="D295">
        <v>125.61</v>
      </c>
      <c r="E295">
        <v>0.01082716344240108</v>
      </c>
      <c r="F295">
        <v>0.1147540983606559</v>
      </c>
      <c r="G295">
        <v>0.1119615859385787</v>
      </c>
      <c r="H295">
        <v>1.284569290489993</v>
      </c>
      <c r="I295">
        <v>188666.4</v>
      </c>
      <c r="J295">
        <v>26.73958351209443</v>
      </c>
      <c r="K295">
        <v>0.3628726809293766</v>
      </c>
      <c r="M295">
        <v>138.29</v>
      </c>
      <c r="N295">
        <v>81.73999999999999</v>
      </c>
    </row>
    <row r="296" spans="1:14">
      <c r="A296" s="1" t="s">
        <v>308</v>
      </c>
      <c r="B296">
        <f>HYPERLINK("https://www.suredividend.com/sure-analysis-research-database/","NortonLifeLock Inc")</f>
        <v>0</v>
      </c>
      <c r="C296" t="s">
        <v>452</v>
      </c>
      <c r="D296">
        <v>21.62</v>
      </c>
      <c r="E296">
        <v>0.022909417805913</v>
      </c>
      <c r="F296" t="s">
        <v>461</v>
      </c>
      <c r="G296" t="s">
        <v>461</v>
      </c>
      <c r="H296">
        <v>0.496217989676096</v>
      </c>
      <c r="I296">
        <v>12375.789401</v>
      </c>
      <c r="J296">
        <v>14.47460748666667</v>
      </c>
      <c r="K296">
        <v>0.3445958261639556</v>
      </c>
      <c r="L296">
        <v>0.676024807799637</v>
      </c>
      <c r="M296">
        <v>30.46</v>
      </c>
      <c r="N296">
        <v>20.12</v>
      </c>
    </row>
    <row r="297" spans="1:14">
      <c r="A297" s="1" t="s">
        <v>309</v>
      </c>
      <c r="B297">
        <f>HYPERLINK("https://www.suredividend.com/sure-analysis-NLSN/","Nielsen Holdings plc")</f>
        <v>0</v>
      </c>
      <c r="C297" t="s">
        <v>451</v>
      </c>
      <c r="D297">
        <v>27.98</v>
      </c>
      <c r="E297">
        <v>0.008546166511954001</v>
      </c>
      <c r="F297" t="s">
        <v>461</v>
      </c>
      <c r="G297" t="s">
        <v>461</v>
      </c>
      <c r="H297">
        <v>0.239121739004478</v>
      </c>
      <c r="I297">
        <v>10068.164861</v>
      </c>
      <c r="J297">
        <v>18.99653747392453</v>
      </c>
      <c r="K297">
        <v>0.1626678496629102</v>
      </c>
      <c r="M297">
        <v>28</v>
      </c>
      <c r="N297">
        <v>15.89</v>
      </c>
    </row>
    <row r="298" spans="1:14">
      <c r="A298" s="1" t="s">
        <v>310</v>
      </c>
      <c r="B298">
        <f>HYPERLINK("https://www.suredividend.com/sure-analysis-NOC/","Northrop Grumman Corp.")</f>
        <v>0</v>
      </c>
      <c r="C298" t="s">
        <v>451</v>
      </c>
      <c r="D298">
        <v>449.98</v>
      </c>
      <c r="E298">
        <v>0.01537846126494511</v>
      </c>
      <c r="F298">
        <v>0.1019108280254777</v>
      </c>
      <c r="G298">
        <v>0.07590263566280786</v>
      </c>
      <c r="H298">
        <v>6.895116902660688</v>
      </c>
      <c r="I298">
        <v>71534.084538</v>
      </c>
      <c r="J298">
        <v>14.61071988112337</v>
      </c>
      <c r="K298">
        <v>0.2191012679587127</v>
      </c>
      <c r="M298">
        <v>554.25</v>
      </c>
      <c r="N298">
        <v>411.74</v>
      </c>
    </row>
    <row r="299" spans="1:14">
      <c r="A299" s="1" t="s">
        <v>311</v>
      </c>
      <c r="B299">
        <f>HYPERLINK("https://www.suredividend.com/sure-analysis-research-database/","ServiceNow Inc")</f>
        <v>0</v>
      </c>
      <c r="C299" t="s">
        <v>452</v>
      </c>
      <c r="D299">
        <v>445.46</v>
      </c>
      <c r="E299">
        <v>0</v>
      </c>
      <c r="F299" t="s">
        <v>461</v>
      </c>
      <c r="G299" t="s">
        <v>461</v>
      </c>
      <c r="H299">
        <v>0</v>
      </c>
      <c r="I299">
        <v>90127.94</v>
      </c>
      <c r="J299">
        <v>277.3167384615385</v>
      </c>
      <c r="K299">
        <v>0</v>
      </c>
      <c r="M299">
        <v>601.62</v>
      </c>
      <c r="N299">
        <v>337</v>
      </c>
    </row>
    <row r="300" spans="1:14">
      <c r="A300" s="1" t="s">
        <v>312</v>
      </c>
      <c r="B300">
        <f>HYPERLINK("https://www.suredividend.com/sure-analysis-NSC/","Norfolk Southern Corp.")</f>
        <v>0</v>
      </c>
      <c r="C300" t="s">
        <v>451</v>
      </c>
      <c r="D300">
        <v>205.39</v>
      </c>
      <c r="E300">
        <v>0.02629144554262623</v>
      </c>
      <c r="F300">
        <v>0.08870967741935498</v>
      </c>
      <c r="G300">
        <v>0.1339665776330272</v>
      </c>
      <c r="H300">
        <v>5.030184134736146</v>
      </c>
      <c r="I300">
        <v>52023.177115</v>
      </c>
      <c r="J300">
        <v>15.91896484540392</v>
      </c>
      <c r="K300">
        <v>0.3626664841194049</v>
      </c>
      <c r="M300">
        <v>285.6</v>
      </c>
      <c r="N300">
        <v>201.43</v>
      </c>
    </row>
    <row r="301" spans="1:14">
      <c r="A301" s="1" t="s">
        <v>313</v>
      </c>
      <c r="B301">
        <f>HYPERLINK("https://www.suredividend.com/sure-analysis-NTAP/","Netapp Inc")</f>
        <v>0</v>
      </c>
      <c r="C301" t="s">
        <v>452</v>
      </c>
      <c r="D301">
        <v>64.19</v>
      </c>
      <c r="E301">
        <v>0.0311575011684063</v>
      </c>
      <c r="F301">
        <v>0</v>
      </c>
      <c r="G301">
        <v>0.2011244339814313</v>
      </c>
      <c r="H301">
        <v>1.976622151733976</v>
      </c>
      <c r="I301">
        <v>14070.65189</v>
      </c>
      <c r="J301">
        <v>10.92441916892857</v>
      </c>
      <c r="K301">
        <v>0.3419761508190269</v>
      </c>
      <c r="M301">
        <v>87.55</v>
      </c>
      <c r="N301">
        <v>57.61</v>
      </c>
    </row>
    <row r="302" spans="1:14">
      <c r="A302" s="1" t="s">
        <v>314</v>
      </c>
      <c r="B302">
        <f>HYPERLINK("https://www.suredividend.com/sure-analysis-NTRS/","Northern Trust Corp.")</f>
        <v>0</v>
      </c>
      <c r="C302" t="s">
        <v>455</v>
      </c>
      <c r="D302">
        <v>87.25</v>
      </c>
      <c r="E302">
        <v>0.03438395415472779</v>
      </c>
      <c r="F302" t="s">
        <v>461</v>
      </c>
      <c r="G302" t="s">
        <v>461</v>
      </c>
      <c r="H302">
        <v>2.866421095904616</v>
      </c>
      <c r="I302">
        <v>19774.544886</v>
      </c>
      <c r="J302">
        <v>15.41995078470056</v>
      </c>
      <c r="K302">
        <v>0.4668438266945629</v>
      </c>
      <c r="M302">
        <v>118.52</v>
      </c>
      <c r="N302">
        <v>75.5</v>
      </c>
    </row>
    <row r="303" spans="1:14">
      <c r="A303" s="1" t="s">
        <v>315</v>
      </c>
      <c r="B303">
        <f>HYPERLINK("https://www.suredividend.com/sure-analysis-NUE/","Nucor Corp.")</f>
        <v>0</v>
      </c>
      <c r="C303" t="s">
        <v>456</v>
      </c>
      <c r="D303">
        <v>152.1</v>
      </c>
      <c r="E303">
        <v>0.01341222879684418</v>
      </c>
      <c r="F303">
        <v>0.02000000000000002</v>
      </c>
      <c r="G303">
        <v>0.06061390336787298</v>
      </c>
      <c r="H303">
        <v>1.997344488312796</v>
      </c>
      <c r="I303">
        <v>44936.623712</v>
      </c>
      <c r="J303">
        <v>5.931315343782772</v>
      </c>
      <c r="K303">
        <v>0.06937632818036804</v>
      </c>
      <c r="M303">
        <v>185.45</v>
      </c>
      <c r="N303">
        <v>99.28</v>
      </c>
    </row>
    <row r="304" spans="1:14">
      <c r="A304" s="1" t="s">
        <v>316</v>
      </c>
      <c r="B304">
        <f>HYPERLINK("https://www.suredividend.com/sure-analysis-NVDA/","NVIDIA Corp")</f>
        <v>0</v>
      </c>
      <c r="C304" t="s">
        <v>452</v>
      </c>
      <c r="D304">
        <v>261.99</v>
      </c>
      <c r="E304">
        <v>0.0006107103324554372</v>
      </c>
      <c r="F304">
        <v>0</v>
      </c>
      <c r="G304">
        <v>-0.2322961007252451</v>
      </c>
      <c r="H304">
        <v>0.119967644633113</v>
      </c>
      <c r="I304">
        <v>590083</v>
      </c>
      <c r="J304">
        <v>135.0922619047619</v>
      </c>
      <c r="K304">
        <v>0.06894692220293851</v>
      </c>
      <c r="M304">
        <v>289.24</v>
      </c>
      <c r="N304">
        <v>108.1</v>
      </c>
    </row>
    <row r="305" spans="1:14">
      <c r="A305" s="1" t="s">
        <v>317</v>
      </c>
      <c r="B305">
        <f>HYPERLINK("https://www.suredividend.com/sure-analysis-research-database/","NVR Inc.")</f>
        <v>0</v>
      </c>
      <c r="C305" t="s">
        <v>457</v>
      </c>
      <c r="D305">
        <v>5482.24</v>
      </c>
      <c r="E305">
        <v>0</v>
      </c>
      <c r="F305" t="s">
        <v>461</v>
      </c>
      <c r="G305" t="s">
        <v>461</v>
      </c>
      <c r="H305">
        <v>0</v>
      </c>
      <c r="I305">
        <v>17049.63815</v>
      </c>
      <c r="J305">
        <v>9.88055468438057</v>
      </c>
      <c r="K305">
        <v>0</v>
      </c>
      <c r="M305">
        <v>5500</v>
      </c>
      <c r="N305">
        <v>3576.01</v>
      </c>
    </row>
    <row r="306" spans="1:14">
      <c r="A306" s="1" t="s">
        <v>318</v>
      </c>
      <c r="B306">
        <f>HYPERLINK("https://www.suredividend.com/sure-analysis-O/","Realty Income Corp.")</f>
        <v>0</v>
      </c>
      <c r="C306" t="s">
        <v>458</v>
      </c>
      <c r="D306">
        <v>61.27</v>
      </c>
      <c r="E306">
        <v>0.04994287579565856</v>
      </c>
      <c r="F306">
        <v>0.02620967741935476</v>
      </c>
      <c r="G306">
        <v>0.0156390136608302</v>
      </c>
      <c r="H306">
        <v>2.918925487852839</v>
      </c>
      <c r="I306">
        <v>42596.993228</v>
      </c>
      <c r="J306">
        <v>48.99540058055596</v>
      </c>
      <c r="K306">
        <v>2.055581329473831</v>
      </c>
      <c r="M306">
        <v>73.08</v>
      </c>
      <c r="N306">
        <v>54.43</v>
      </c>
    </row>
    <row r="307" spans="1:14">
      <c r="A307" s="1" t="s">
        <v>319</v>
      </c>
      <c r="B307">
        <f>HYPERLINK("https://www.suredividend.com/sure-analysis-ODFL/","Old Dominion Freight Line, Inc.")</f>
        <v>0</v>
      </c>
      <c r="C307" t="s">
        <v>451</v>
      </c>
      <c r="D307">
        <v>336.15</v>
      </c>
      <c r="E307">
        <v>0.004759779860181467</v>
      </c>
      <c r="F307">
        <v>0.3333333333333333</v>
      </c>
      <c r="G307">
        <v>0.2520547720070587</v>
      </c>
      <c r="H307">
        <v>1.298328269587342</v>
      </c>
      <c r="I307">
        <v>39065.984236</v>
      </c>
      <c r="J307">
        <v>28.36708342014248</v>
      </c>
      <c r="K307">
        <v>0.1065950960252333</v>
      </c>
      <c r="M307">
        <v>381.36</v>
      </c>
      <c r="N307">
        <v>230.8</v>
      </c>
    </row>
    <row r="308" spans="1:14">
      <c r="A308" s="1" t="s">
        <v>320</v>
      </c>
      <c r="B308">
        <f>HYPERLINK("https://www.suredividend.com/sure-analysis-OKE/","Oneok Inc.")</f>
        <v>0</v>
      </c>
      <c r="C308" t="s">
        <v>459</v>
      </c>
      <c r="D308">
        <v>61.87</v>
      </c>
      <c r="E308">
        <v>0.06044932923872637</v>
      </c>
      <c r="F308">
        <v>0.02139037433155089</v>
      </c>
      <c r="G308">
        <v>0.03735462742977802</v>
      </c>
      <c r="H308">
        <v>3.678545827208677</v>
      </c>
      <c r="I308">
        <v>30343.94295</v>
      </c>
      <c r="J308">
        <v>17.6303368271028</v>
      </c>
      <c r="K308">
        <v>0.9579546425022597</v>
      </c>
      <c r="M308">
        <v>70.75</v>
      </c>
      <c r="N308">
        <v>49.03</v>
      </c>
    </row>
    <row r="309" spans="1:14">
      <c r="A309" s="1" t="s">
        <v>321</v>
      </c>
      <c r="B309">
        <f>HYPERLINK("https://www.suredividend.com/sure-analysis-OMC/","Omnicom Group, Inc.")</f>
        <v>0</v>
      </c>
      <c r="C309" t="s">
        <v>460</v>
      </c>
      <c r="D309">
        <v>89.90000000000001</v>
      </c>
      <c r="E309">
        <v>0.03114571746384872</v>
      </c>
      <c r="F309">
        <v>0</v>
      </c>
      <c r="G309">
        <v>0.03131030647754507</v>
      </c>
      <c r="H309">
        <v>2.759983580931979</v>
      </c>
      <c r="I309">
        <v>18588.813095</v>
      </c>
      <c r="J309">
        <v>14.11987322035701</v>
      </c>
      <c r="K309">
        <v>0.4339596825364747</v>
      </c>
      <c r="M309">
        <v>96.52</v>
      </c>
      <c r="N309">
        <v>60.13</v>
      </c>
    </row>
    <row r="310" spans="1:14">
      <c r="A310" s="1" t="s">
        <v>322</v>
      </c>
      <c r="B310">
        <f>HYPERLINK("https://www.suredividend.com/sure-analysis-ORCL/","Oracle Corp.")</f>
        <v>0</v>
      </c>
      <c r="C310" t="s">
        <v>452</v>
      </c>
      <c r="D310">
        <v>87.58</v>
      </c>
      <c r="E310">
        <v>0.01826901118976935</v>
      </c>
      <c r="F310">
        <v>0</v>
      </c>
      <c r="G310">
        <v>0.1098883056567086</v>
      </c>
      <c r="H310">
        <v>1.27174099536041</v>
      </c>
      <c r="I310">
        <v>240640.58025</v>
      </c>
      <c r="J310">
        <v>27.35795591746248</v>
      </c>
      <c r="K310">
        <v>0.4011801247193723</v>
      </c>
      <c r="M310">
        <v>91.22</v>
      </c>
      <c r="N310">
        <v>60.24</v>
      </c>
    </row>
    <row r="311" spans="1:14">
      <c r="A311" s="1" t="s">
        <v>323</v>
      </c>
      <c r="B311">
        <f>HYPERLINK("https://www.suredividend.com/sure-analysis-research-database/","O`Reilly Automotive, Inc.")</f>
        <v>0</v>
      </c>
      <c r="C311" t="s">
        <v>457</v>
      </c>
      <c r="D311">
        <v>819.63</v>
      </c>
      <c r="E311">
        <v>0</v>
      </c>
      <c r="F311" t="s">
        <v>461</v>
      </c>
      <c r="G311" t="s">
        <v>461</v>
      </c>
      <c r="H311">
        <v>0</v>
      </c>
      <c r="I311">
        <v>51818.089166</v>
      </c>
      <c r="J311">
        <v>23.85017796996756</v>
      </c>
      <c r="K311">
        <v>0</v>
      </c>
      <c r="M311">
        <v>873.9400000000001</v>
      </c>
      <c r="N311">
        <v>562.9</v>
      </c>
    </row>
    <row r="312" spans="1:14">
      <c r="A312" s="1" t="s">
        <v>324</v>
      </c>
      <c r="B312">
        <f>HYPERLINK("https://www.suredividend.com/sure-analysis-OTIS/","Otis Worldwide Corp")</f>
        <v>0</v>
      </c>
      <c r="C312" t="s">
        <v>451</v>
      </c>
      <c r="D312">
        <v>82.31</v>
      </c>
      <c r="E312">
        <v>0.01409306281132305</v>
      </c>
      <c r="F312" t="s">
        <v>461</v>
      </c>
      <c r="G312" t="s">
        <v>461</v>
      </c>
      <c r="H312">
        <v>1.153842640904087</v>
      </c>
      <c r="I312">
        <v>36064.602245</v>
      </c>
      <c r="J312">
        <v>28.78260354727056</v>
      </c>
      <c r="K312">
        <v>0.3898117030081375</v>
      </c>
      <c r="M312">
        <v>87.06</v>
      </c>
      <c r="N312">
        <v>62.05</v>
      </c>
    </row>
    <row r="313" spans="1:14">
      <c r="A313" s="1" t="s">
        <v>325</v>
      </c>
      <c r="B313">
        <f>HYPERLINK("https://www.suredividend.com/sure-analysis-OXY/","Occidental Petroleum Corp.")</f>
        <v>0</v>
      </c>
      <c r="C313" t="s">
        <v>459</v>
      </c>
      <c r="D313">
        <v>60.24</v>
      </c>
      <c r="E313">
        <v>0.01195219123505976</v>
      </c>
      <c r="F313">
        <v>0.3846153846153846</v>
      </c>
      <c r="G313">
        <v>-0.2541773292157967</v>
      </c>
      <c r="H313">
        <v>0.51843827620742</v>
      </c>
      <c r="I313">
        <v>55129.437379</v>
      </c>
      <c r="J313">
        <v>4.438405714415104</v>
      </c>
      <c r="K313">
        <v>0.04180953840382419</v>
      </c>
      <c r="M313">
        <v>76.81999999999999</v>
      </c>
      <c r="N313">
        <v>50.73</v>
      </c>
    </row>
    <row r="314" spans="1:14">
      <c r="A314" s="1" t="s">
        <v>326</v>
      </c>
      <c r="B314">
        <f>HYPERLINK("https://www.suredividend.com/sure-analysis-research-database/","Paycom Software Inc")</f>
        <v>0</v>
      </c>
      <c r="C314" t="s">
        <v>452</v>
      </c>
      <c r="D314">
        <v>277.35</v>
      </c>
      <c r="E314">
        <v>0</v>
      </c>
      <c r="F314" t="s">
        <v>461</v>
      </c>
      <c r="G314" t="s">
        <v>461</v>
      </c>
      <c r="H314">
        <v>0</v>
      </c>
      <c r="I314">
        <v>17586.006789</v>
      </c>
      <c r="J314">
        <v>62.49713666340902</v>
      </c>
      <c r="K314">
        <v>0</v>
      </c>
      <c r="M314">
        <v>402.78</v>
      </c>
      <c r="N314">
        <v>255.82</v>
      </c>
    </row>
    <row r="315" spans="1:14">
      <c r="A315" s="1" t="s">
        <v>327</v>
      </c>
      <c r="B315">
        <f>HYPERLINK("https://www.suredividend.com/sure-analysis-PAYX/","Paychex Inc.")</f>
        <v>0</v>
      </c>
      <c r="C315" t="s">
        <v>451</v>
      </c>
      <c r="D315">
        <v>110.29</v>
      </c>
      <c r="E315">
        <v>0.02865173633148971</v>
      </c>
      <c r="F315">
        <v>0.196969696969697</v>
      </c>
      <c r="G315">
        <v>0.07124254564338495</v>
      </c>
      <c r="H315">
        <v>3.128666574509183</v>
      </c>
      <c r="I315">
        <v>40635.393956</v>
      </c>
      <c r="J315">
        <v>27.70720984320197</v>
      </c>
      <c r="K315">
        <v>0.7744224194329661</v>
      </c>
      <c r="M315">
        <v>138.24</v>
      </c>
      <c r="N315">
        <v>104.23</v>
      </c>
    </row>
    <row r="316" spans="1:14">
      <c r="A316" s="1" t="s">
        <v>328</v>
      </c>
      <c r="B316">
        <f>HYPERLINK("https://www.suredividend.com/sure-analysis-PCAR/","Paccar Inc.")</f>
        <v>0</v>
      </c>
      <c r="C316" t="s">
        <v>451</v>
      </c>
      <c r="D316">
        <v>71.44</v>
      </c>
      <c r="E316">
        <v>0.03737402015677491</v>
      </c>
      <c r="F316">
        <v>-0.2647058823529412</v>
      </c>
      <c r="G316">
        <v>-0.0481730306420608</v>
      </c>
      <c r="H316">
        <v>0.926219624534324</v>
      </c>
      <c r="I316">
        <v>39810.329927</v>
      </c>
      <c r="J316">
        <v>13.21899652236021</v>
      </c>
      <c r="K316">
        <v>0.2412030272224802</v>
      </c>
      <c r="M316">
        <v>76.34999999999999</v>
      </c>
      <c r="N316">
        <v>49.41</v>
      </c>
    </row>
    <row r="317" spans="1:14">
      <c r="A317" s="1" t="s">
        <v>329</v>
      </c>
      <c r="B317">
        <f>HYPERLINK("https://www.suredividend.com/sure-analysis-PEAK/","Healthpeak Properties Inc.")</f>
        <v>0</v>
      </c>
      <c r="C317" t="s">
        <v>458</v>
      </c>
      <c r="D317">
        <v>20.9</v>
      </c>
      <c r="E317">
        <v>0.05741626794258373</v>
      </c>
      <c r="F317">
        <v>0</v>
      </c>
      <c r="G317">
        <v>-0.04107662305049664</v>
      </c>
      <c r="H317">
        <v>0</v>
      </c>
      <c r="I317">
        <v>13275.879319</v>
      </c>
      <c r="J317">
        <v>26.66953128720429</v>
      </c>
      <c r="K317">
        <v>0</v>
      </c>
      <c r="M317">
        <v>26.52</v>
      </c>
      <c r="N317">
        <v>23.38</v>
      </c>
    </row>
    <row r="318" spans="1:14">
      <c r="A318" s="1" t="s">
        <v>330</v>
      </c>
      <c r="B318">
        <f>HYPERLINK("https://www.suredividend.com/sure-analysis-PEG/","Public Service Enterprise Group Inc.")</f>
        <v>0</v>
      </c>
      <c r="C318" t="s">
        <v>454</v>
      </c>
      <c r="D318">
        <v>58.53</v>
      </c>
      <c r="E318">
        <v>0.0389543823680164</v>
      </c>
      <c r="F318">
        <v>0.05555555555555558</v>
      </c>
      <c r="G318">
        <v>0.04841317128472156</v>
      </c>
      <c r="H318">
        <v>2.132654535939173</v>
      </c>
      <c r="I318">
        <v>30110.739467</v>
      </c>
      <c r="J318">
        <v>29.20537290659553</v>
      </c>
      <c r="K318">
        <v>1.035269192203482</v>
      </c>
      <c r="M318">
        <v>73.75</v>
      </c>
      <c r="N318">
        <v>52.04</v>
      </c>
    </row>
    <row r="319" spans="1:14">
      <c r="A319" s="1" t="s">
        <v>331</v>
      </c>
      <c r="B319">
        <f>HYPERLINK("https://www.suredividend.com/sure-analysis-PEP/","PepsiCo Inc")</f>
        <v>0</v>
      </c>
      <c r="C319" t="s">
        <v>453</v>
      </c>
      <c r="D319">
        <v>178.01</v>
      </c>
      <c r="E319">
        <v>0.02842536936127184</v>
      </c>
      <c r="F319">
        <v>0.06976744186046502</v>
      </c>
      <c r="G319">
        <v>0.04394299489131082</v>
      </c>
      <c r="H319">
        <v>4.55510253226301</v>
      </c>
      <c r="I319">
        <v>238471.065365</v>
      </c>
      <c r="J319">
        <v>26.7644293339394</v>
      </c>
      <c r="K319">
        <v>0.709517528389877</v>
      </c>
      <c r="M319">
        <v>185.59</v>
      </c>
      <c r="N319">
        <v>149.35</v>
      </c>
    </row>
    <row r="320" spans="1:14">
      <c r="A320" s="1" t="s">
        <v>332</v>
      </c>
      <c r="B320">
        <f>HYPERLINK("https://www.suredividend.com/sure-analysis-PFE/","Pfizer Inc.")</f>
        <v>0</v>
      </c>
      <c r="C320" t="s">
        <v>450</v>
      </c>
      <c r="D320">
        <v>40.66</v>
      </c>
      <c r="E320">
        <v>0.04033448106246926</v>
      </c>
      <c r="F320">
        <v>0.02499999999999991</v>
      </c>
      <c r="G320">
        <v>0.03815210271659408</v>
      </c>
      <c r="H320">
        <v>1.589321579345167</v>
      </c>
      <c r="I320">
        <v>231224.920654</v>
      </c>
      <c r="J320">
        <v>7.37018839939279</v>
      </c>
      <c r="K320">
        <v>0.2905523911051494</v>
      </c>
      <c r="M320">
        <v>54.46</v>
      </c>
      <c r="N320">
        <v>39.81</v>
      </c>
    </row>
    <row r="321" spans="1:14">
      <c r="A321" s="1" t="s">
        <v>333</v>
      </c>
      <c r="B321">
        <f>HYPERLINK("https://www.suredividend.com/sure-analysis-PFG/","Principal Financial Group Inc")</f>
        <v>0</v>
      </c>
      <c r="C321" t="s">
        <v>455</v>
      </c>
      <c r="D321">
        <v>75.14</v>
      </c>
      <c r="E321">
        <v>0.03406973649188182</v>
      </c>
      <c r="F321">
        <v>0</v>
      </c>
      <c r="G321">
        <v>0.0424022162772979</v>
      </c>
      <c r="H321">
        <v>2.529866161715626</v>
      </c>
      <c r="I321">
        <v>21286.19701</v>
      </c>
      <c r="J321">
        <v>4.423933205145897</v>
      </c>
      <c r="K321">
        <v>0.1342104064570624</v>
      </c>
      <c r="M321">
        <v>95.48</v>
      </c>
      <c r="N321">
        <v>60.09</v>
      </c>
    </row>
    <row r="322" spans="1:14">
      <c r="A322" s="1" t="s">
        <v>334</v>
      </c>
      <c r="B322">
        <f>HYPERLINK("https://www.suredividend.com/sure-analysis-PG/","Procter &amp; Gamble Co.")</f>
        <v>0</v>
      </c>
      <c r="C322" t="s">
        <v>453</v>
      </c>
      <c r="D322">
        <v>144.08</v>
      </c>
      <c r="E322">
        <v>0.02533314825097168</v>
      </c>
      <c r="F322">
        <v>0.05001149689583806</v>
      </c>
      <c r="G322">
        <v>0.04952946419705073</v>
      </c>
      <c r="H322">
        <v>3.617497850516998</v>
      </c>
      <c r="I322">
        <v>332521.360331</v>
      </c>
      <c r="J322">
        <v>23.75661644146603</v>
      </c>
      <c r="K322">
        <v>0.648297105827419</v>
      </c>
      <c r="M322">
        <v>161.67</v>
      </c>
      <c r="N322">
        <v>120.56</v>
      </c>
    </row>
    <row r="323" spans="1:14">
      <c r="A323" s="1" t="s">
        <v>335</v>
      </c>
      <c r="B323">
        <f>HYPERLINK("https://www.suredividend.com/sure-analysis-PGR/","Progressive Corp.")</f>
        <v>0</v>
      </c>
      <c r="C323" t="s">
        <v>455</v>
      </c>
      <c r="D323">
        <v>140.23</v>
      </c>
      <c r="E323">
        <v>0.002852456678314198</v>
      </c>
      <c r="F323">
        <v>0</v>
      </c>
      <c r="G323">
        <v>-0.4752808125995285</v>
      </c>
      <c r="H323">
        <v>0.399522853787972</v>
      </c>
      <c r="I323">
        <v>79793.55370800001</v>
      </c>
      <c r="J323">
        <v>114.8769848942125</v>
      </c>
      <c r="K323">
        <v>0.3385786896508238</v>
      </c>
      <c r="M323">
        <v>146.5</v>
      </c>
      <c r="N323">
        <v>106.09</v>
      </c>
    </row>
    <row r="324" spans="1:14">
      <c r="A324" s="1" t="s">
        <v>336</v>
      </c>
      <c r="B324">
        <f>HYPERLINK("https://www.suredividend.com/sure-analysis-PH/","Parker-Hannifin Corp.")</f>
        <v>0</v>
      </c>
      <c r="C324" t="s">
        <v>451</v>
      </c>
      <c r="D324">
        <v>326.21</v>
      </c>
      <c r="E324">
        <v>0.01630851292112443</v>
      </c>
      <c r="F324">
        <v>0</v>
      </c>
      <c r="G324">
        <v>0.1184269147201447</v>
      </c>
      <c r="H324">
        <v>5.269388838122866</v>
      </c>
      <c r="I324">
        <v>46156.530896</v>
      </c>
      <c r="J324">
        <v>36.63394092531464</v>
      </c>
      <c r="K324">
        <v>0.543796577721658</v>
      </c>
      <c r="M324">
        <v>361.34</v>
      </c>
      <c r="N324">
        <v>226.48</v>
      </c>
    </row>
    <row r="325" spans="1:14">
      <c r="A325" s="1" t="s">
        <v>337</v>
      </c>
      <c r="B325">
        <f>HYPERLINK("https://www.suredividend.com/sure-analysis-PHM/","PulteGroup Inc")</f>
        <v>0</v>
      </c>
      <c r="C325" t="s">
        <v>457</v>
      </c>
      <c r="D325">
        <v>55.82</v>
      </c>
      <c r="E325">
        <v>0.01146542457900394</v>
      </c>
      <c r="F325">
        <v>0.06666666666666665</v>
      </c>
      <c r="G325">
        <v>0.1219551454461996</v>
      </c>
      <c r="H325">
        <v>0.606765381737809</v>
      </c>
      <c r="I325">
        <v>12450.686288</v>
      </c>
      <c r="J325">
        <v>4.786624903532719</v>
      </c>
      <c r="K325">
        <v>0.05511038889535051</v>
      </c>
      <c r="M325">
        <v>60.89</v>
      </c>
      <c r="N325">
        <v>34.78</v>
      </c>
    </row>
    <row r="326" spans="1:14">
      <c r="A326" s="1" t="s">
        <v>338</v>
      </c>
      <c r="B326">
        <f>HYPERLINK("https://www.suredividend.com/sure-analysis-PKG/","Packaging Corp Of America")</f>
        <v>0</v>
      </c>
      <c r="C326" t="s">
        <v>457</v>
      </c>
      <c r="D326">
        <v>132.96</v>
      </c>
      <c r="E326">
        <v>0.03760529482551143</v>
      </c>
      <c r="F326">
        <v>0.25</v>
      </c>
      <c r="G326">
        <v>0.09611616948779322</v>
      </c>
      <c r="H326">
        <v>4.684159216088057</v>
      </c>
      <c r="I326">
        <v>12766.961545</v>
      </c>
      <c r="J326">
        <v>12.4933570262648</v>
      </c>
      <c r="K326">
        <v>0.425059819971693</v>
      </c>
      <c r="M326">
        <v>163.65</v>
      </c>
      <c r="N326">
        <v>108.49</v>
      </c>
    </row>
    <row r="327" spans="1:14">
      <c r="A327" s="1" t="s">
        <v>339</v>
      </c>
      <c r="B327">
        <f>HYPERLINK("https://www.suredividend.com/sure-analysis-research-database/","Perkinelmer, Inc.")</f>
        <v>0</v>
      </c>
      <c r="C327" t="s">
        <v>450</v>
      </c>
      <c r="D327">
        <v>125.55</v>
      </c>
      <c r="E327">
        <v>0.002130176712411</v>
      </c>
      <c r="F327">
        <v>0</v>
      </c>
      <c r="G327">
        <v>0</v>
      </c>
      <c r="H327">
        <v>0.279777409408124</v>
      </c>
      <c r="I327">
        <v>16602.95011</v>
      </c>
      <c r="J327">
        <v>29.16999768069447</v>
      </c>
      <c r="K327">
        <v>0.06217275764624978</v>
      </c>
      <c r="M327">
        <v>184.38</v>
      </c>
      <c r="N327">
        <v>113.34</v>
      </c>
    </row>
    <row r="328" spans="1:14">
      <c r="A328" s="1" t="s">
        <v>340</v>
      </c>
      <c r="B328">
        <f>HYPERLINK("https://www.suredividend.com/sure-analysis-PLD/","Prologis Inc")</f>
        <v>0</v>
      </c>
      <c r="C328" t="s">
        <v>458</v>
      </c>
      <c r="D328">
        <v>118.36</v>
      </c>
      <c r="E328">
        <v>0.02669820885434268</v>
      </c>
      <c r="F328">
        <v>0.10126582278481</v>
      </c>
      <c r="G328">
        <v>0.1263039392161627</v>
      </c>
      <c r="H328">
        <v>3.128732728355126</v>
      </c>
      <c r="I328">
        <v>117229.31155</v>
      </c>
      <c r="J328">
        <v>34.90218267200509</v>
      </c>
      <c r="K328">
        <v>0.7557325430809483</v>
      </c>
      <c r="M328">
        <v>171.05</v>
      </c>
      <c r="N328">
        <v>97.38</v>
      </c>
    </row>
    <row r="329" spans="1:14">
      <c r="A329" s="1" t="s">
        <v>341</v>
      </c>
      <c r="B329">
        <f>HYPERLINK("https://www.suredividend.com/sure-analysis-PM/","Philip Morris International Inc")</f>
        <v>0</v>
      </c>
      <c r="C329" t="s">
        <v>453</v>
      </c>
      <c r="D329">
        <v>94.43000000000001</v>
      </c>
      <c r="E329">
        <v>0.05379646298845706</v>
      </c>
      <c r="F329">
        <v>0.01600000000000001</v>
      </c>
      <c r="G329">
        <v>0.0218326467232044</v>
      </c>
      <c r="H329">
        <v>4.943318793118778</v>
      </c>
      <c r="I329">
        <v>153783.103184</v>
      </c>
      <c r="J329">
        <v>17.041567285461</v>
      </c>
      <c r="K329">
        <v>0.8508293964059859</v>
      </c>
      <c r="M329">
        <v>105.62</v>
      </c>
      <c r="N329">
        <v>81.81</v>
      </c>
    </row>
    <row r="330" spans="1:14">
      <c r="A330" s="1" t="s">
        <v>342</v>
      </c>
      <c r="B330">
        <f>HYPERLINK("https://www.suredividend.com/sure-analysis-PNC/","PNC Financial Services Group Inc")</f>
        <v>0</v>
      </c>
      <c r="C330" t="s">
        <v>455</v>
      </c>
      <c r="D330">
        <v>131.62</v>
      </c>
      <c r="E330">
        <v>0.0455857772375019</v>
      </c>
      <c r="F330">
        <v>0.2</v>
      </c>
      <c r="G330">
        <v>0.1486983549970351</v>
      </c>
      <c r="H330">
        <v>5.917078467363313</v>
      </c>
      <c r="I330">
        <v>61107.40529</v>
      </c>
      <c r="J330">
        <v>10.70557205492467</v>
      </c>
      <c r="K330">
        <v>0.4272258821200948</v>
      </c>
      <c r="M330">
        <v>192.31</v>
      </c>
      <c r="N330">
        <v>140.85</v>
      </c>
    </row>
    <row r="331" spans="1:14">
      <c r="A331" s="1" t="s">
        <v>343</v>
      </c>
      <c r="B331">
        <f>HYPERLINK("https://www.suredividend.com/sure-analysis-PPG/","PPG Industries, Inc.")</f>
        <v>0</v>
      </c>
      <c r="C331" t="s">
        <v>456</v>
      </c>
      <c r="D331">
        <v>126.6</v>
      </c>
      <c r="E331">
        <v>0.01958925750394945</v>
      </c>
      <c r="F331">
        <v>0.05084745762711873</v>
      </c>
      <c r="G331">
        <v>0.06619302030280272</v>
      </c>
      <c r="H331">
        <v>2.432107683695252</v>
      </c>
      <c r="I331">
        <v>32327.841838</v>
      </c>
      <c r="J331">
        <v>31.50861777561404</v>
      </c>
      <c r="K331">
        <v>0.5629878897442713</v>
      </c>
      <c r="M331">
        <v>137.51</v>
      </c>
      <c r="N331">
        <v>105.47</v>
      </c>
    </row>
    <row r="332" spans="1:14">
      <c r="A332" s="1" t="s">
        <v>344</v>
      </c>
      <c r="B332">
        <f>HYPERLINK("https://www.suredividend.com/sure-analysis-PPL/","PPL Corp")</f>
        <v>0</v>
      </c>
      <c r="C332" t="s">
        <v>454</v>
      </c>
      <c r="D332">
        <v>26.78</v>
      </c>
      <c r="E332">
        <v>0.03584764749813293</v>
      </c>
      <c r="F332">
        <v>0.2</v>
      </c>
      <c r="G332">
        <v>-0.1015674519177134</v>
      </c>
      <c r="H332">
        <v>0.8650255865594201</v>
      </c>
      <c r="I332">
        <v>20177.606421</v>
      </c>
      <c r="J332">
        <v>26.72530651796026</v>
      </c>
      <c r="K332">
        <v>0.8480643005484511</v>
      </c>
      <c r="M332">
        <v>31.74</v>
      </c>
      <c r="N332">
        <v>23.28</v>
      </c>
    </row>
    <row r="333" spans="1:14">
      <c r="A333" s="1" t="s">
        <v>345</v>
      </c>
      <c r="B333">
        <f>HYPERLINK("https://www.suredividend.com/sure-analysis-PRU/","Prudential Financial Inc.")</f>
        <v>0</v>
      </c>
      <c r="C333" t="s">
        <v>455</v>
      </c>
      <c r="D333">
        <v>82.45</v>
      </c>
      <c r="E333">
        <v>0.06064281382656155</v>
      </c>
      <c r="F333">
        <v>0.04166666666666674</v>
      </c>
      <c r="G333">
        <v>0.06790716584560208</v>
      </c>
      <c r="H333">
        <v>4.766244994183903</v>
      </c>
      <c r="I333">
        <v>36263.28</v>
      </c>
      <c r="J333" t="s">
        <v>461</v>
      </c>
      <c r="K333" t="s">
        <v>461</v>
      </c>
      <c r="M333">
        <v>116.87</v>
      </c>
      <c r="N333">
        <v>83.48</v>
      </c>
    </row>
    <row r="334" spans="1:14">
      <c r="A334" s="1" t="s">
        <v>346</v>
      </c>
      <c r="B334">
        <f>HYPERLINK("https://www.suredividend.com/sure-analysis-PSA/","Public Storage")</f>
        <v>0</v>
      </c>
      <c r="C334" t="s">
        <v>458</v>
      </c>
      <c r="D334">
        <v>292.92</v>
      </c>
      <c r="E334">
        <v>0.04096681687832855</v>
      </c>
      <c r="F334">
        <v>0.5</v>
      </c>
      <c r="G334">
        <v>0.08447177119769855</v>
      </c>
      <c r="H334">
        <v>7.769932377706109</v>
      </c>
      <c r="I334">
        <v>53574.38347</v>
      </c>
      <c r="J334">
        <v>12.9335245329248</v>
      </c>
      <c r="K334">
        <v>0.3306354203279195</v>
      </c>
      <c r="M334">
        <v>397.56</v>
      </c>
      <c r="N334">
        <v>268.93</v>
      </c>
    </row>
    <row r="335" spans="1:14">
      <c r="A335" s="1" t="s">
        <v>347</v>
      </c>
      <c r="B335">
        <f>HYPERLINK("https://www.suredividend.com/sure-analysis-PSX/","Phillips 66")</f>
        <v>0</v>
      </c>
      <c r="C335" t="s">
        <v>459</v>
      </c>
      <c r="D335">
        <v>95.55</v>
      </c>
      <c r="E335">
        <v>0.04395604395604396</v>
      </c>
      <c r="F335">
        <v>0.1413043478260869</v>
      </c>
      <c r="G335">
        <v>0.05589288248337687</v>
      </c>
      <c r="H335">
        <v>3.903778448923046</v>
      </c>
      <c r="I335">
        <v>49183.436679</v>
      </c>
      <c r="J335">
        <v>4.46553810415108</v>
      </c>
      <c r="K335">
        <v>0.167904449416045</v>
      </c>
      <c r="M335">
        <v>111.72</v>
      </c>
      <c r="N335">
        <v>70.95999999999999</v>
      </c>
    </row>
    <row r="336" spans="1:14">
      <c r="A336" s="1" t="s">
        <v>348</v>
      </c>
      <c r="B336">
        <f>HYPERLINK("https://www.suredividend.com/sure-analysis-research-database/","Quanta Services, Inc.")</f>
        <v>0</v>
      </c>
      <c r="C336" t="s">
        <v>451</v>
      </c>
      <c r="D336">
        <v>161.62</v>
      </c>
      <c r="E336">
        <v>0.001776390792876</v>
      </c>
      <c r="F336" t="s">
        <v>461</v>
      </c>
      <c r="G336" t="s">
        <v>461</v>
      </c>
      <c r="H336">
        <v>0.289764866133971</v>
      </c>
      <c r="I336">
        <v>23489.365149</v>
      </c>
      <c r="J336">
        <v>47.82143970781105</v>
      </c>
      <c r="K336">
        <v>0.08727857413673826</v>
      </c>
      <c r="M336">
        <v>168.75</v>
      </c>
      <c r="N336">
        <v>106.15</v>
      </c>
    </row>
    <row r="337" spans="1:14">
      <c r="A337" s="1" t="s">
        <v>349</v>
      </c>
      <c r="B337">
        <f>HYPERLINK("https://www.suredividend.com/sure-analysis-PXD/","Pioneer Natural Resources Co.")</f>
        <v>0</v>
      </c>
      <c r="C337" t="s">
        <v>459</v>
      </c>
      <c r="D337">
        <v>195.34</v>
      </c>
      <c r="E337">
        <v>0.05109040647076891</v>
      </c>
      <c r="F337">
        <v>-0.4772462077012836</v>
      </c>
      <c r="G337">
        <v>0.5211886098515739</v>
      </c>
      <c r="H337">
        <v>26.15954001391281</v>
      </c>
      <c r="I337">
        <v>49310.921424</v>
      </c>
      <c r="J337">
        <v>6.297691114174968</v>
      </c>
      <c r="K337">
        <v>0.8419549409048216</v>
      </c>
      <c r="M337">
        <v>267.2</v>
      </c>
      <c r="N337">
        <v>185.35</v>
      </c>
    </row>
    <row r="338" spans="1:14">
      <c r="A338" s="1" t="s">
        <v>350</v>
      </c>
      <c r="B338">
        <f>HYPERLINK("https://www.suredividend.com/sure-analysis-research-database/","PayPal Holdings Inc")</f>
        <v>0</v>
      </c>
      <c r="C338" t="s">
        <v>455</v>
      </c>
      <c r="D338">
        <v>76.72</v>
      </c>
      <c r="E338">
        <v>0</v>
      </c>
      <c r="F338" t="s">
        <v>461</v>
      </c>
      <c r="G338" t="s">
        <v>461</v>
      </c>
      <c r="H338">
        <v>0</v>
      </c>
      <c r="I338">
        <v>86312.46890399999</v>
      </c>
      <c r="J338">
        <v>35.68105370170318</v>
      </c>
      <c r="K338">
        <v>0</v>
      </c>
      <c r="M338">
        <v>122.92</v>
      </c>
      <c r="N338">
        <v>66.39</v>
      </c>
    </row>
    <row r="339" spans="1:14">
      <c r="A339" s="1" t="s">
        <v>351</v>
      </c>
      <c r="B339">
        <f>HYPERLINK("https://www.suredividend.com/sure-analysis-QCOM/","Qualcomm, Inc.")</f>
        <v>0</v>
      </c>
      <c r="C339" t="s">
        <v>452</v>
      </c>
      <c r="D339">
        <v>123.8</v>
      </c>
      <c r="E339">
        <v>0.02423263327948304</v>
      </c>
      <c r="F339">
        <v>0.1029411764705881</v>
      </c>
      <c r="G339">
        <v>0.03880472124431766</v>
      </c>
      <c r="H339">
        <v>2.972760108938298</v>
      </c>
      <c r="I339">
        <v>137814</v>
      </c>
      <c r="J339">
        <v>11.70693170234455</v>
      </c>
      <c r="K339">
        <v>0.2863930740788341</v>
      </c>
      <c r="M339">
        <v>159.4</v>
      </c>
      <c r="N339">
        <v>100.67</v>
      </c>
    </row>
    <row r="340" spans="1:14">
      <c r="A340" s="1" t="s">
        <v>352</v>
      </c>
      <c r="B340">
        <f>HYPERLINK("https://www.suredividend.com/sure-analysis-research-database/","Qorvo Inc")</f>
        <v>0</v>
      </c>
      <c r="C340" t="s">
        <v>452</v>
      </c>
      <c r="D340">
        <v>100.92</v>
      </c>
      <c r="E340">
        <v>0</v>
      </c>
      <c r="F340" t="s">
        <v>461</v>
      </c>
      <c r="G340" t="s">
        <v>461</v>
      </c>
      <c r="H340">
        <v>0</v>
      </c>
      <c r="I340">
        <v>10258.621867</v>
      </c>
      <c r="J340">
        <v>22.60390017473003</v>
      </c>
      <c r="K340">
        <v>0</v>
      </c>
      <c r="M340">
        <v>133.51</v>
      </c>
      <c r="N340">
        <v>75.38</v>
      </c>
    </row>
    <row r="341" spans="1:14">
      <c r="A341" s="1" t="s">
        <v>353</v>
      </c>
      <c r="B341">
        <f>HYPERLINK("https://www.suredividend.com/sure-analysis-research-database/","Royal Caribbean Group")</f>
        <v>0</v>
      </c>
      <c r="C341" t="s">
        <v>457</v>
      </c>
      <c r="D341">
        <v>63.39</v>
      </c>
      <c r="E341">
        <v>0</v>
      </c>
      <c r="F341" t="s">
        <v>461</v>
      </c>
      <c r="G341" t="s">
        <v>461</v>
      </c>
      <c r="H341">
        <v>0</v>
      </c>
      <c r="I341">
        <v>18901.058592</v>
      </c>
      <c r="J341" t="s">
        <v>461</v>
      </c>
      <c r="K341">
        <v>-0</v>
      </c>
      <c r="M341">
        <v>87.68000000000001</v>
      </c>
      <c r="N341">
        <v>31.09</v>
      </c>
    </row>
    <row r="342" spans="1:14">
      <c r="A342" s="1" t="s">
        <v>354</v>
      </c>
      <c r="B342">
        <f>HYPERLINK("https://www.suredividend.com/sure-analysis-RE/","Everest Re Group Ltd")</f>
        <v>0</v>
      </c>
      <c r="C342" t="s">
        <v>455</v>
      </c>
      <c r="D342">
        <v>353.75</v>
      </c>
      <c r="E342">
        <v>0.01865724381625442</v>
      </c>
      <c r="F342">
        <v>0</v>
      </c>
      <c r="G342">
        <v>0.0488372867840543</v>
      </c>
      <c r="H342">
        <v>6.446962615926482</v>
      </c>
      <c r="I342">
        <v>14988.214841</v>
      </c>
      <c r="J342">
        <v>25.10588750577889</v>
      </c>
      <c r="K342">
        <v>0.4210948802042118</v>
      </c>
      <c r="M342">
        <v>395</v>
      </c>
      <c r="N342">
        <v>243.33</v>
      </c>
    </row>
    <row r="343" spans="1:14">
      <c r="A343" s="1" t="s">
        <v>355</v>
      </c>
      <c r="B343">
        <f>HYPERLINK("https://www.suredividend.com/sure-analysis-REG/","Regency Centers Corporation")</f>
        <v>0</v>
      </c>
      <c r="C343" t="s">
        <v>458</v>
      </c>
      <c r="D343">
        <v>58.09</v>
      </c>
      <c r="E343">
        <v>0.04475813393010845</v>
      </c>
      <c r="F343">
        <v>0.04000000000000004</v>
      </c>
      <c r="G343">
        <v>0.03210545800579934</v>
      </c>
      <c r="H343">
        <v>2.486771954701495</v>
      </c>
      <c r="I343">
        <v>10840.365621</v>
      </c>
      <c r="J343">
        <v>22.45009603214149</v>
      </c>
      <c r="K343">
        <v>0.8849722258724181</v>
      </c>
      <c r="M343">
        <v>71.14</v>
      </c>
      <c r="N343">
        <v>51.45</v>
      </c>
    </row>
    <row r="344" spans="1:14">
      <c r="A344" s="1" t="s">
        <v>356</v>
      </c>
      <c r="B344">
        <f>HYPERLINK("https://www.suredividend.com/sure-analysis-research-database/","Regeneron Pharmaceuticals, Inc.")</f>
        <v>0</v>
      </c>
      <c r="C344" t="s">
        <v>450</v>
      </c>
      <c r="D344">
        <v>759.76</v>
      </c>
      <c r="E344">
        <v>0</v>
      </c>
      <c r="F344" t="s">
        <v>461</v>
      </c>
      <c r="G344" t="s">
        <v>461</v>
      </c>
      <c r="H344">
        <v>0</v>
      </c>
      <c r="I344">
        <v>83780.50591000001</v>
      </c>
      <c r="J344">
        <v>19.31138343854877</v>
      </c>
      <c r="K344">
        <v>0</v>
      </c>
      <c r="M344">
        <v>800.48</v>
      </c>
      <c r="N344">
        <v>538.01</v>
      </c>
    </row>
    <row r="345" spans="1:14">
      <c r="A345" s="1" t="s">
        <v>357</v>
      </c>
      <c r="B345">
        <f>HYPERLINK("https://www.suredividend.com/sure-analysis-RF/","Regions Financial Corp.")</f>
        <v>0</v>
      </c>
      <c r="C345" t="s">
        <v>455</v>
      </c>
      <c r="D345">
        <v>18.98</v>
      </c>
      <c r="E345">
        <v>0.04214963119072708</v>
      </c>
      <c r="F345">
        <v>0.1764705882352942</v>
      </c>
      <c r="G345">
        <v>0.173160676311841</v>
      </c>
      <c r="H345">
        <v>0.7305779883632221</v>
      </c>
      <c r="I345">
        <v>21822.015088</v>
      </c>
      <c r="J345">
        <v>10.16869295801491</v>
      </c>
      <c r="K345">
        <v>0.320428942264571</v>
      </c>
      <c r="M345">
        <v>24.33</v>
      </c>
      <c r="N345">
        <v>17.68</v>
      </c>
    </row>
    <row r="346" spans="1:14">
      <c r="A346" s="1" t="s">
        <v>358</v>
      </c>
      <c r="B346">
        <f>HYPERLINK("https://www.suredividend.com/sure-analysis-RJF/","Raymond James Financial, Inc.")</f>
        <v>0</v>
      </c>
      <c r="C346" t="s">
        <v>455</v>
      </c>
      <c r="D346">
        <v>95.13</v>
      </c>
      <c r="E346">
        <v>0.01766004415011038</v>
      </c>
      <c r="F346">
        <v>0.2352941176470587</v>
      </c>
      <c r="G346">
        <v>0.1093328057258516</v>
      </c>
      <c r="H346">
        <v>1.432418180976265</v>
      </c>
      <c r="I346">
        <v>23245.044256</v>
      </c>
      <c r="J346">
        <v>14.84357870762452</v>
      </c>
      <c r="K346">
        <v>0.1986710375833932</v>
      </c>
      <c r="M346">
        <v>125.51</v>
      </c>
      <c r="N346">
        <v>83.92</v>
      </c>
    </row>
    <row r="347" spans="1:14">
      <c r="A347" s="1" t="s">
        <v>359</v>
      </c>
      <c r="B347">
        <f>HYPERLINK("https://www.suredividend.com/sure-analysis-RMD/","Resmed Inc.")</f>
        <v>0</v>
      </c>
      <c r="C347" t="s">
        <v>450</v>
      </c>
      <c r="D347">
        <v>213.87</v>
      </c>
      <c r="E347">
        <v>0.0082292981717866</v>
      </c>
      <c r="F347">
        <v>0.04761904761904767</v>
      </c>
      <c r="G347">
        <v>0.04683184708394994</v>
      </c>
      <c r="H347">
        <v>1.734903120658149</v>
      </c>
      <c r="I347">
        <v>32292.158072</v>
      </c>
      <c r="J347">
        <v>39.89321103633882</v>
      </c>
      <c r="K347">
        <v>0.3154369310287544</v>
      </c>
      <c r="M347">
        <v>260.28</v>
      </c>
      <c r="N347">
        <v>188.29</v>
      </c>
    </row>
    <row r="348" spans="1:14">
      <c r="A348" s="1" t="s">
        <v>360</v>
      </c>
      <c r="B348">
        <f>HYPERLINK("https://www.suredividend.com/sure-analysis-ROK/","Rockwell Automation Inc")</f>
        <v>0</v>
      </c>
      <c r="C348" t="s">
        <v>451</v>
      </c>
      <c r="D348">
        <v>283.16</v>
      </c>
      <c r="E348">
        <v>0.01666902104817064</v>
      </c>
      <c r="F348">
        <v>0.05357142857142838</v>
      </c>
      <c r="G348">
        <v>0.05103901130952315</v>
      </c>
      <c r="H348">
        <v>4.555987490301711</v>
      </c>
      <c r="I348">
        <v>34732.020638</v>
      </c>
      <c r="J348">
        <v>32.42952440497665</v>
      </c>
      <c r="K348">
        <v>0.4946783377091977</v>
      </c>
      <c r="M348">
        <v>303.2</v>
      </c>
      <c r="N348">
        <v>186.77</v>
      </c>
    </row>
    <row r="349" spans="1:14">
      <c r="A349" s="1" t="s">
        <v>361</v>
      </c>
      <c r="B349">
        <f>HYPERLINK("https://www.suredividend.com/sure-analysis-ROL/","Rollins, Inc.")</f>
        <v>0</v>
      </c>
      <c r="C349" t="s">
        <v>457</v>
      </c>
      <c r="D349">
        <v>36.77</v>
      </c>
      <c r="E349">
        <v>0.01414196355724776</v>
      </c>
      <c r="F349">
        <v>0.3</v>
      </c>
      <c r="G349">
        <v>0.04364022715043592</v>
      </c>
      <c r="H349">
        <v>0.457913064702166</v>
      </c>
      <c r="I349">
        <v>17387.331472</v>
      </c>
      <c r="J349">
        <v>47.17140163690081</v>
      </c>
      <c r="K349">
        <v>0.6116925790838446</v>
      </c>
      <c r="M349">
        <v>42.77</v>
      </c>
      <c r="N349">
        <v>31.14</v>
      </c>
    </row>
    <row r="350" spans="1:14">
      <c r="A350" s="1" t="s">
        <v>362</v>
      </c>
      <c r="B350">
        <f>HYPERLINK("https://www.suredividend.com/sure-analysis-ROP/","Roper Technologies Inc")</f>
        <v>0</v>
      </c>
      <c r="C350" t="s">
        <v>451</v>
      </c>
      <c r="D350">
        <v>430.44</v>
      </c>
      <c r="E350">
        <v>0.006342347365486479</v>
      </c>
      <c r="F350">
        <v>0.1008064516129032</v>
      </c>
      <c r="G350">
        <v>0.1059506305412523</v>
      </c>
      <c r="H350">
        <v>2.536620893955785</v>
      </c>
      <c r="I350">
        <v>45696.29501</v>
      </c>
      <c r="J350">
        <v>10.05485400802033</v>
      </c>
      <c r="K350">
        <v>0.05961506213762127</v>
      </c>
      <c r="M350">
        <v>485.92</v>
      </c>
      <c r="N350">
        <v>355.66</v>
      </c>
    </row>
    <row r="351" spans="1:14">
      <c r="A351" s="1" t="s">
        <v>363</v>
      </c>
      <c r="B351">
        <f>HYPERLINK("https://www.suredividend.com/sure-analysis-ROST/","Ross Stores, Inc.")</f>
        <v>0</v>
      </c>
      <c r="C351" t="s">
        <v>457</v>
      </c>
      <c r="D351">
        <v>104.14</v>
      </c>
      <c r="E351">
        <v>0.01286729402727098</v>
      </c>
      <c r="F351" t="s">
        <v>461</v>
      </c>
      <c r="G351" t="s">
        <v>461</v>
      </c>
      <c r="H351">
        <v>1.234256660240915</v>
      </c>
      <c r="I351">
        <v>38717.632542</v>
      </c>
      <c r="J351">
        <v>27.04085188212904</v>
      </c>
      <c r="K351">
        <v>0.2995768592817755</v>
      </c>
      <c r="M351">
        <v>122.45</v>
      </c>
      <c r="N351">
        <v>68.81999999999999</v>
      </c>
    </row>
    <row r="352" spans="1:14">
      <c r="A352" s="1" t="s">
        <v>364</v>
      </c>
      <c r="B352">
        <f>HYPERLINK("https://www.suredividend.com/sure-analysis-RSG/","Republic Services, Inc.")</f>
        <v>0</v>
      </c>
      <c r="C352" t="s">
        <v>451</v>
      </c>
      <c r="D352">
        <v>130.61</v>
      </c>
      <c r="E352">
        <v>0.01515963555623612</v>
      </c>
      <c r="F352">
        <v>0.07608695652173902</v>
      </c>
      <c r="G352">
        <v>0.07487316557532875</v>
      </c>
      <c r="H352">
        <v>1.899729413031072</v>
      </c>
      <c r="I352">
        <v>40750.047127</v>
      </c>
      <c r="J352">
        <v>27.39314810904813</v>
      </c>
      <c r="K352">
        <v>0.4050595763392478</v>
      </c>
      <c r="M352">
        <v>148.07</v>
      </c>
      <c r="N352">
        <v>118.42</v>
      </c>
    </row>
    <row r="353" spans="1:14">
      <c r="A353" s="1" t="s">
        <v>365</v>
      </c>
      <c r="B353">
        <f>HYPERLINK("https://www.suredividend.com/sure-analysis-RTX/","Raytheon Technologies Corporation")</f>
        <v>0</v>
      </c>
      <c r="C353" t="s">
        <v>451</v>
      </c>
      <c r="D353">
        <v>98.01000000000001</v>
      </c>
      <c r="E353">
        <v>0.02244668911335578</v>
      </c>
      <c r="F353">
        <v>0.07843137254901977</v>
      </c>
      <c r="G353">
        <v>-0.04708770630564463</v>
      </c>
      <c r="H353">
        <v>2.18144558827707</v>
      </c>
      <c r="I353">
        <v>145059.802908</v>
      </c>
      <c r="J353">
        <v>27.91221914713873</v>
      </c>
      <c r="K353">
        <v>0.6232701680791628</v>
      </c>
      <c r="M353">
        <v>108.24</v>
      </c>
      <c r="N353">
        <v>79.37</v>
      </c>
    </row>
    <row r="354" spans="1:14">
      <c r="A354" s="1" t="s">
        <v>366</v>
      </c>
      <c r="B354">
        <f>HYPERLINK("https://www.suredividend.com/sure-analysis-SBAC/","SBA Communications Corp")</f>
        <v>0</v>
      </c>
      <c r="C354" t="s">
        <v>458</v>
      </c>
      <c r="D354">
        <v>254.84</v>
      </c>
      <c r="E354">
        <v>0.01334170459896405</v>
      </c>
      <c r="F354" t="s">
        <v>461</v>
      </c>
      <c r="G354" t="s">
        <v>461</v>
      </c>
      <c r="H354">
        <v>2.830320639843239</v>
      </c>
      <c r="I354">
        <v>28127.941934</v>
      </c>
      <c r="J354">
        <v>60.95833147515653</v>
      </c>
      <c r="K354">
        <v>0.6706920947495828</v>
      </c>
      <c r="M354">
        <v>377.44</v>
      </c>
      <c r="N354">
        <v>235.63</v>
      </c>
    </row>
    <row r="355" spans="1:14">
      <c r="A355" s="1" t="s">
        <v>367</v>
      </c>
      <c r="B355">
        <f>HYPERLINK("https://www.suredividend.com/sure-analysis-SBUX/","Starbucks Corp.")</f>
        <v>0</v>
      </c>
      <c r="C355" t="s">
        <v>457</v>
      </c>
      <c r="D355">
        <v>100.54</v>
      </c>
      <c r="E355">
        <v>0.02108613487169286</v>
      </c>
      <c r="F355">
        <v>0.08163265306122458</v>
      </c>
      <c r="G355">
        <v>0.0804251218424088</v>
      </c>
      <c r="H355">
        <v>2.015510306868472</v>
      </c>
      <c r="I355">
        <v>120159.315</v>
      </c>
      <c r="J355">
        <v>36.18275618055346</v>
      </c>
      <c r="K355">
        <v>0.6998299676626639</v>
      </c>
      <c r="M355">
        <v>110.28</v>
      </c>
      <c r="N355">
        <v>66.89</v>
      </c>
    </row>
    <row r="356" spans="1:14">
      <c r="A356" s="1" t="s">
        <v>368</v>
      </c>
      <c r="B356">
        <f>HYPERLINK("https://www.suredividend.com/sure-analysis-SCHW/","Charles Schwab Corp.")</f>
        <v>0</v>
      </c>
      <c r="C356" t="s">
        <v>455</v>
      </c>
      <c r="D356">
        <v>59.47</v>
      </c>
      <c r="E356">
        <v>0.0147973768286531</v>
      </c>
      <c r="F356">
        <v>0.25</v>
      </c>
      <c r="G356">
        <v>0.1397230490720158</v>
      </c>
      <c r="H356">
        <v>0.884444727435957</v>
      </c>
      <c r="I356">
        <v>140564.613857</v>
      </c>
      <c r="J356">
        <v>21.18532235969404</v>
      </c>
      <c r="K356">
        <v>0.2526984935531306</v>
      </c>
      <c r="M356">
        <v>91.78</v>
      </c>
      <c r="N356">
        <v>58.65</v>
      </c>
    </row>
    <row r="357" spans="1:14">
      <c r="A357" s="1" t="s">
        <v>369</v>
      </c>
      <c r="B357">
        <f>HYPERLINK("https://www.suredividend.com/sure-analysis-SHW/","Sherwin-Williams Co.")</f>
        <v>0</v>
      </c>
      <c r="C357" t="s">
        <v>456</v>
      </c>
      <c r="D357">
        <v>220.8</v>
      </c>
      <c r="E357">
        <v>0.01096014492753623</v>
      </c>
      <c r="F357">
        <v>0.008333333333333082</v>
      </c>
      <c r="G357">
        <v>-0.06792387294550184</v>
      </c>
      <c r="H357">
        <v>2.395711905088</v>
      </c>
      <c r="I357">
        <v>56865.055088</v>
      </c>
      <c r="J357">
        <v>28.149623824776</v>
      </c>
      <c r="K357">
        <v>0.3103253763067358</v>
      </c>
      <c r="M357">
        <v>282.19</v>
      </c>
      <c r="N357">
        <v>194.23</v>
      </c>
    </row>
    <row r="358" spans="1:14">
      <c r="A358" s="1" t="s">
        <v>370</v>
      </c>
      <c r="B358">
        <f>HYPERLINK("https://www.suredividend.com/sure-analysis-research-database/","SVB Financial Group")</f>
        <v>0</v>
      </c>
      <c r="C358" t="s">
        <v>455</v>
      </c>
      <c r="D358">
        <v>106.04</v>
      </c>
      <c r="E358">
        <v>0</v>
      </c>
      <c r="F358" t="s">
        <v>461</v>
      </c>
      <c r="G358" t="s">
        <v>461</v>
      </c>
      <c r="H358">
        <v>0</v>
      </c>
      <c r="I358">
        <v>16837.335079</v>
      </c>
      <c r="J358">
        <v>11.15794239844268</v>
      </c>
      <c r="K358">
        <v>0</v>
      </c>
      <c r="M358">
        <v>597.16</v>
      </c>
      <c r="N358">
        <v>198.1</v>
      </c>
    </row>
    <row r="359" spans="1:14">
      <c r="A359" s="1" t="s">
        <v>371</v>
      </c>
      <c r="B359">
        <f>HYPERLINK("https://www.suredividend.com/sure-analysis-SJM/","J.M. Smucker Co.")</f>
        <v>0</v>
      </c>
      <c r="C359" t="s">
        <v>453</v>
      </c>
      <c r="D359">
        <v>154.11</v>
      </c>
      <c r="E359">
        <v>0.02647459606774382</v>
      </c>
      <c r="F359">
        <v>0.03030303030303028</v>
      </c>
      <c r="G359">
        <v>0.03713728933664817</v>
      </c>
      <c r="H359">
        <v>3.987573762250028</v>
      </c>
      <c r="I359">
        <v>16080.722824</v>
      </c>
      <c r="J359">
        <v>22.64252720980006</v>
      </c>
      <c r="K359">
        <v>0.6032638066944067</v>
      </c>
      <c r="M359">
        <v>161.95</v>
      </c>
      <c r="N359">
        <v>116.48</v>
      </c>
    </row>
    <row r="360" spans="1:14">
      <c r="A360" s="1" t="s">
        <v>372</v>
      </c>
      <c r="B360">
        <f>HYPERLINK("https://www.suredividend.com/sure-analysis-SLB/","SLB")</f>
        <v>0</v>
      </c>
      <c r="C360" t="s">
        <v>459</v>
      </c>
      <c r="D360">
        <v>48.28</v>
      </c>
      <c r="E360">
        <v>0.02071251035625518</v>
      </c>
      <c r="F360">
        <v>1</v>
      </c>
      <c r="G360">
        <v>-0.1294494367038759</v>
      </c>
      <c r="H360">
        <v>0.7713412595381991</v>
      </c>
      <c r="I360">
        <v>79964.332177</v>
      </c>
      <c r="J360">
        <v>23.23868996705318</v>
      </c>
      <c r="K360">
        <v>0.3227369286770707</v>
      </c>
      <c r="M360">
        <v>62.48</v>
      </c>
      <c r="N360">
        <v>30.4</v>
      </c>
    </row>
    <row r="361" spans="1:14">
      <c r="A361" s="1" t="s">
        <v>373</v>
      </c>
      <c r="B361">
        <f>HYPERLINK("https://www.suredividend.com/sure-analysis-SNA/","Snap-on, Inc.")</f>
        <v>0</v>
      </c>
      <c r="C361" t="s">
        <v>451</v>
      </c>
      <c r="D361">
        <v>239.08</v>
      </c>
      <c r="E361">
        <v>0.02710389827672745</v>
      </c>
      <c r="F361">
        <v>0.1408450704225352</v>
      </c>
      <c r="G361">
        <v>0.1458828839838071</v>
      </c>
      <c r="H361">
        <v>6.022539033396658</v>
      </c>
      <c r="I361">
        <v>13283.925196</v>
      </c>
      <c r="J361">
        <v>14.57050037896238</v>
      </c>
      <c r="K361">
        <v>0.358058206503963</v>
      </c>
      <c r="M361">
        <v>258.07</v>
      </c>
      <c r="N361">
        <v>186.37</v>
      </c>
    </row>
    <row r="362" spans="1:14">
      <c r="A362" s="1" t="s">
        <v>374</v>
      </c>
      <c r="B362">
        <f>HYPERLINK("https://www.suredividend.com/sure-analysis-research-database/","Synopsys, Inc.")</f>
        <v>0</v>
      </c>
      <c r="C362" t="s">
        <v>452</v>
      </c>
      <c r="D362">
        <v>374.36</v>
      </c>
      <c r="E362">
        <v>0</v>
      </c>
      <c r="F362" t="s">
        <v>461</v>
      </c>
      <c r="G362" t="s">
        <v>461</v>
      </c>
      <c r="H362">
        <v>0</v>
      </c>
      <c r="I362">
        <v>55970.866298</v>
      </c>
      <c r="J362">
        <v>59.38912623628166</v>
      </c>
      <c r="K362">
        <v>0</v>
      </c>
      <c r="M362">
        <v>391.17</v>
      </c>
      <c r="N362">
        <v>255.02</v>
      </c>
    </row>
    <row r="363" spans="1:14">
      <c r="A363" s="1" t="s">
        <v>375</v>
      </c>
      <c r="B363">
        <f>HYPERLINK("https://www.suredividend.com/sure-analysis-SO/","Southern Company")</f>
        <v>0</v>
      </c>
      <c r="C363" t="s">
        <v>454</v>
      </c>
      <c r="D363">
        <v>67.13</v>
      </c>
      <c r="E363">
        <v>0.04051839713987786</v>
      </c>
      <c r="F363">
        <v>0.03030303030303028</v>
      </c>
      <c r="G363">
        <v>0.02534857565773274</v>
      </c>
      <c r="H363">
        <v>2.67902612844922</v>
      </c>
      <c r="I363">
        <v>70572.12222999999</v>
      </c>
      <c r="J363">
        <v>20.026141382063</v>
      </c>
      <c r="K363">
        <v>0.8217871559660185</v>
      </c>
      <c r="M363">
        <v>78.90000000000001</v>
      </c>
      <c r="N363">
        <v>58.24</v>
      </c>
    </row>
    <row r="364" spans="1:14">
      <c r="A364" s="1" t="s">
        <v>376</v>
      </c>
      <c r="B364">
        <f>HYPERLINK("https://www.suredividend.com/sure-analysis-SPG/","Simon Property Group, Inc.")</f>
        <v>0</v>
      </c>
      <c r="C364" t="s">
        <v>458</v>
      </c>
      <c r="D364">
        <v>109.12</v>
      </c>
      <c r="E364">
        <v>0.06598240469208211</v>
      </c>
      <c r="F364">
        <v>0.09090909090909105</v>
      </c>
      <c r="G364">
        <v>-0.01588108586647574</v>
      </c>
      <c r="H364">
        <v>6.742892890694519</v>
      </c>
      <c r="I364">
        <v>40564.662048</v>
      </c>
      <c r="J364">
        <v>18.98918641822528</v>
      </c>
      <c r="K364">
        <v>1.034186026180141</v>
      </c>
      <c r="M364">
        <v>133.08</v>
      </c>
      <c r="N364">
        <v>84.72</v>
      </c>
    </row>
    <row r="365" spans="1:14">
      <c r="A365" s="1" t="s">
        <v>377</v>
      </c>
      <c r="B365">
        <f>HYPERLINK("https://www.suredividend.com/sure-analysis-SPGI/","S&amp;P Global Inc")</f>
        <v>0</v>
      </c>
      <c r="C365" t="s">
        <v>455</v>
      </c>
      <c r="D365">
        <v>341.6</v>
      </c>
      <c r="E365">
        <v>0.01053864168618267</v>
      </c>
      <c r="F365">
        <v>0.1688311688311688</v>
      </c>
      <c r="G365">
        <v>0.1247461131420948</v>
      </c>
      <c r="H365">
        <v>3.44145307875664</v>
      </c>
      <c r="I365">
        <v>115241.31</v>
      </c>
      <c r="J365">
        <v>34.30866379310345</v>
      </c>
      <c r="K365">
        <v>0.3373973606624157</v>
      </c>
      <c r="M365">
        <v>420.46</v>
      </c>
      <c r="N365">
        <v>278.59</v>
      </c>
    </row>
    <row r="366" spans="1:14">
      <c r="A366" s="1" t="s">
        <v>378</v>
      </c>
      <c r="B366">
        <f>HYPERLINK("https://www.suredividend.com/sure-analysis-SRE/","Sempra Energy")</f>
        <v>0</v>
      </c>
      <c r="C366" t="s">
        <v>454</v>
      </c>
      <c r="D366">
        <v>145.59</v>
      </c>
      <c r="E366">
        <v>0.03269455319733498</v>
      </c>
      <c r="F366">
        <v>0.0393013100436681</v>
      </c>
      <c r="G366">
        <v>0.05863143360816192</v>
      </c>
      <c r="H366">
        <v>4.530425004550722</v>
      </c>
      <c r="I366">
        <v>47465.394722</v>
      </c>
      <c r="J366">
        <v>22.66733272297516</v>
      </c>
      <c r="K366">
        <v>0.6843542302946709</v>
      </c>
      <c r="M366">
        <v>173.97</v>
      </c>
      <c r="N366">
        <v>133.82</v>
      </c>
    </row>
    <row r="367" spans="1:14">
      <c r="A367" s="1" t="s">
        <v>379</v>
      </c>
      <c r="B367">
        <f>HYPERLINK("https://www.suredividend.com/sure-analysis-STE/","Steris Plc")</f>
        <v>0</v>
      </c>
      <c r="C367" t="s">
        <v>450</v>
      </c>
      <c r="D367">
        <v>184.49</v>
      </c>
      <c r="E367">
        <v>0.01019025421432056</v>
      </c>
      <c r="F367">
        <v>0.09302325581395365</v>
      </c>
      <c r="G367">
        <v>0.08679400183142283</v>
      </c>
      <c r="H367">
        <v>1.833983398848705</v>
      </c>
      <c r="I367">
        <v>18859.079948</v>
      </c>
      <c r="J367" t="s">
        <v>461</v>
      </c>
      <c r="K367" t="s">
        <v>461</v>
      </c>
      <c r="M367">
        <v>254.07</v>
      </c>
      <c r="N367">
        <v>158.36</v>
      </c>
    </row>
    <row r="368" spans="1:14">
      <c r="A368" s="1" t="s">
        <v>380</v>
      </c>
      <c r="B368">
        <f>HYPERLINK("https://www.suredividend.com/sure-analysis-STT/","State Street Corp.")</f>
        <v>0</v>
      </c>
      <c r="C368" t="s">
        <v>455</v>
      </c>
      <c r="D368">
        <v>76.72</v>
      </c>
      <c r="E368">
        <v>0.03284671532846715</v>
      </c>
      <c r="F368">
        <v>0.1052631578947367</v>
      </c>
      <c r="G368">
        <v>0.08447177119769855</v>
      </c>
      <c r="H368">
        <v>2.999245161984432</v>
      </c>
      <c r="I368">
        <v>31147.756007</v>
      </c>
      <c r="J368">
        <v>11.70968270925564</v>
      </c>
      <c r="K368">
        <v>0.4171411908184189</v>
      </c>
      <c r="M368">
        <v>94.73999999999999</v>
      </c>
      <c r="N368">
        <v>57.73</v>
      </c>
    </row>
    <row r="369" spans="1:14">
      <c r="A369" s="1" t="s">
        <v>381</v>
      </c>
      <c r="B369">
        <f>HYPERLINK("https://www.suredividend.com/sure-analysis-STX/","Seagate Technology Holdings Plc")</f>
        <v>0</v>
      </c>
      <c r="C369" t="s">
        <v>452</v>
      </c>
      <c r="D369">
        <v>62.1</v>
      </c>
      <c r="E369">
        <v>0.04508856682769726</v>
      </c>
      <c r="F369">
        <v>0</v>
      </c>
      <c r="G369">
        <v>0.02129568760013512</v>
      </c>
      <c r="H369">
        <v>2.748913481630258</v>
      </c>
      <c r="I369">
        <v>13204.07</v>
      </c>
      <c r="J369">
        <v>21.13285501294498</v>
      </c>
      <c r="K369">
        <v>0.9511811355122001</v>
      </c>
      <c r="M369">
        <v>91.47</v>
      </c>
      <c r="N369">
        <v>46.82</v>
      </c>
    </row>
    <row r="370" spans="1:14">
      <c r="A370" s="1" t="s">
        <v>382</v>
      </c>
      <c r="B370">
        <f>HYPERLINK("https://www.suredividend.com/sure-analysis-STZ/","Constellation Brands Inc")</f>
        <v>0</v>
      </c>
      <c r="C370" t="s">
        <v>453</v>
      </c>
      <c r="D370">
        <v>216.17</v>
      </c>
      <c r="E370">
        <v>0.01480316417634269</v>
      </c>
      <c r="F370" t="s">
        <v>461</v>
      </c>
      <c r="G370" t="s">
        <v>461</v>
      </c>
      <c r="H370">
        <v>3.183686357371718</v>
      </c>
      <c r="I370">
        <v>41189.227392</v>
      </c>
      <c r="J370">
        <v>406.2053983407297</v>
      </c>
      <c r="K370">
        <v>5.440338956547706</v>
      </c>
      <c r="M370">
        <v>260.42</v>
      </c>
      <c r="N370">
        <v>206.89</v>
      </c>
    </row>
    <row r="371" spans="1:14">
      <c r="A371" s="1" t="s">
        <v>383</v>
      </c>
      <c r="B371">
        <f>HYPERLINK("https://www.suredividend.com/sure-analysis-SWK/","Stanley Black &amp; Decker Inc")</f>
        <v>0</v>
      </c>
      <c r="C371" t="s">
        <v>451</v>
      </c>
      <c r="D371">
        <v>79.67</v>
      </c>
      <c r="E371">
        <v>0.04016568344420736</v>
      </c>
      <c r="F371">
        <v>0.01265822784810133</v>
      </c>
      <c r="G371">
        <v>0.04893816562469966</v>
      </c>
      <c r="H371">
        <v>3.136731898739138</v>
      </c>
      <c r="I371">
        <v>13352.864292</v>
      </c>
      <c r="J371">
        <v>12.62204772885906</v>
      </c>
      <c r="K371">
        <v>0.4640135944880382</v>
      </c>
      <c r="M371">
        <v>159.08</v>
      </c>
      <c r="N371">
        <v>69.54000000000001</v>
      </c>
    </row>
    <row r="372" spans="1:14">
      <c r="A372" s="1" t="s">
        <v>384</v>
      </c>
      <c r="B372">
        <f>HYPERLINK("https://www.suredividend.com/sure-analysis-SWKS/","Skyworks Solutions, Inc.")</f>
        <v>0</v>
      </c>
      <c r="C372" t="s">
        <v>452</v>
      </c>
      <c r="D372">
        <v>116.765</v>
      </c>
      <c r="E372">
        <v>0.02123924121097932</v>
      </c>
      <c r="F372">
        <v>0.107142857142857</v>
      </c>
      <c r="G372">
        <v>0.1414275278508146</v>
      </c>
      <c r="H372">
        <v>2.399050125927385</v>
      </c>
      <c r="I372">
        <v>18086.491548</v>
      </c>
      <c r="J372">
        <v>15.2667270603866</v>
      </c>
      <c r="K372">
        <v>0.327739088241446</v>
      </c>
      <c r="M372">
        <v>137.97</v>
      </c>
      <c r="N372">
        <v>75.23999999999999</v>
      </c>
    </row>
    <row r="373" spans="1:14">
      <c r="A373" s="1" t="s">
        <v>385</v>
      </c>
      <c r="B373">
        <f>HYPERLINK("https://www.suredividend.com/sure-analysis-SYF/","Synchrony Financial")</f>
        <v>0</v>
      </c>
      <c r="C373" t="s">
        <v>455</v>
      </c>
      <c r="D373">
        <v>29.9</v>
      </c>
      <c r="E373">
        <v>0.03076923076923077</v>
      </c>
      <c r="F373">
        <v>0.04545454545454541</v>
      </c>
      <c r="G373">
        <v>0.08924936491294377</v>
      </c>
      <c r="H373">
        <v>0.901484526707356</v>
      </c>
      <c r="I373">
        <v>15899.339121</v>
      </c>
      <c r="J373">
        <v>5.346112683523874</v>
      </c>
      <c r="K373">
        <v>0.1465828498711148</v>
      </c>
      <c r="M373">
        <v>40.83</v>
      </c>
      <c r="N373">
        <v>26.69</v>
      </c>
    </row>
    <row r="374" spans="1:14">
      <c r="A374" s="1" t="s">
        <v>386</v>
      </c>
      <c r="B374">
        <f>HYPERLINK("https://www.suredividend.com/sure-analysis-SYK/","Stryker Corp.")</f>
        <v>0</v>
      </c>
      <c r="C374" t="s">
        <v>450</v>
      </c>
      <c r="D374">
        <v>278.12</v>
      </c>
      <c r="E374">
        <v>0.01078671077232849</v>
      </c>
      <c r="F374">
        <v>0.07913669064748197</v>
      </c>
      <c r="G374">
        <v>0.09797557995870743</v>
      </c>
      <c r="H374">
        <v>2.821423835006069</v>
      </c>
      <c r="I374">
        <v>102864.049041</v>
      </c>
      <c r="J374">
        <v>43.62343046690839</v>
      </c>
      <c r="K374">
        <v>0.4572810105358296</v>
      </c>
      <c r="M374">
        <v>284</v>
      </c>
      <c r="N374">
        <v>187.62</v>
      </c>
    </row>
    <row r="375" spans="1:14">
      <c r="A375" s="1" t="s">
        <v>387</v>
      </c>
      <c r="B375">
        <f>HYPERLINK("https://www.suredividend.com/sure-analysis-SYY/","Sysco Corp.")</f>
        <v>0</v>
      </c>
      <c r="C375" t="s">
        <v>453</v>
      </c>
      <c r="D375">
        <v>75.2</v>
      </c>
      <c r="E375">
        <v>0.02606382978723404</v>
      </c>
      <c r="F375">
        <v>0.04255319148936154</v>
      </c>
      <c r="G375">
        <v>0.06360094824680784</v>
      </c>
      <c r="H375">
        <v>1.921878276641909</v>
      </c>
      <c r="I375">
        <v>38709.882489</v>
      </c>
      <c r="J375">
        <v>27.25859939873164</v>
      </c>
      <c r="K375">
        <v>0.6913231210942118</v>
      </c>
      <c r="M375">
        <v>89.84</v>
      </c>
      <c r="N375">
        <v>69.7</v>
      </c>
    </row>
    <row r="376" spans="1:14">
      <c r="A376" s="1" t="s">
        <v>388</v>
      </c>
      <c r="B376">
        <f>HYPERLINK("https://www.suredividend.com/sure-analysis-T/","AT&amp;T, Inc.")</f>
        <v>0</v>
      </c>
      <c r="C376" t="s">
        <v>460</v>
      </c>
      <c r="D376">
        <v>18.54</v>
      </c>
      <c r="E376">
        <v>0.05987055016181231</v>
      </c>
      <c r="F376">
        <v>-0.4663461538461539</v>
      </c>
      <c r="G376">
        <v>-0.1110883529448955</v>
      </c>
      <c r="H376">
        <v>1.362614217453155</v>
      </c>
      <c r="I376">
        <v>134115.3</v>
      </c>
      <c r="J376" t="s">
        <v>461</v>
      </c>
      <c r="K376" t="s">
        <v>461</v>
      </c>
      <c r="M376">
        <v>22.84</v>
      </c>
      <c r="N376">
        <v>14.25</v>
      </c>
    </row>
    <row r="377" spans="1:14">
      <c r="A377" s="1" t="s">
        <v>389</v>
      </c>
      <c r="B377">
        <f>HYPERLINK("https://www.suredividend.com/sure-analysis-TAP/","Molson Coors Beverage Company")</f>
        <v>0</v>
      </c>
      <c r="C377" t="s">
        <v>453</v>
      </c>
      <c r="D377">
        <v>50.91</v>
      </c>
      <c r="E377">
        <v>0.0322137104694559</v>
      </c>
      <c r="F377" t="s">
        <v>461</v>
      </c>
      <c r="G377" t="s">
        <v>461</v>
      </c>
      <c r="H377">
        <v>1.533235920395879</v>
      </c>
      <c r="I377">
        <v>10861.306702</v>
      </c>
      <c r="J377" t="s">
        <v>461</v>
      </c>
      <c r="K377" t="s">
        <v>461</v>
      </c>
      <c r="M377">
        <v>58.81</v>
      </c>
      <c r="N377">
        <v>46</v>
      </c>
    </row>
    <row r="378" spans="1:14">
      <c r="A378" s="1" t="s">
        <v>390</v>
      </c>
      <c r="B378">
        <f>HYPERLINK("https://www.suredividend.com/sure-analysis-research-database/","Transdigm Group Incorporated")</f>
        <v>0</v>
      </c>
      <c r="C378" t="s">
        <v>451</v>
      </c>
      <c r="D378">
        <v>716.46</v>
      </c>
      <c r="E378">
        <v>0</v>
      </c>
      <c r="F378" t="s">
        <v>461</v>
      </c>
      <c r="G378" t="s">
        <v>461</v>
      </c>
      <c r="H378">
        <v>0</v>
      </c>
      <c r="I378">
        <v>41888.726662</v>
      </c>
      <c r="J378">
        <v>49.10753418766706</v>
      </c>
      <c r="K378">
        <v>0</v>
      </c>
      <c r="M378">
        <v>768.63</v>
      </c>
      <c r="N378">
        <v>486.25</v>
      </c>
    </row>
    <row r="379" spans="1:14">
      <c r="A379" s="1" t="s">
        <v>391</v>
      </c>
      <c r="B379">
        <f>HYPERLINK("https://www.suredividend.com/sure-analysis-research-database/","Teledyne Technologies Inc")</f>
        <v>0</v>
      </c>
      <c r="C379" t="s">
        <v>452</v>
      </c>
      <c r="D379">
        <v>424.56</v>
      </c>
      <c r="E379">
        <v>0</v>
      </c>
      <c r="F379" t="s">
        <v>461</v>
      </c>
      <c r="G379" t="s">
        <v>461</v>
      </c>
      <c r="H379">
        <v>0</v>
      </c>
      <c r="I379">
        <v>20579.690803</v>
      </c>
      <c r="J379">
        <v>26.09648846477302</v>
      </c>
      <c r="K379">
        <v>0</v>
      </c>
      <c r="M379">
        <v>493.97</v>
      </c>
      <c r="N379">
        <v>325</v>
      </c>
    </row>
    <row r="380" spans="1:14">
      <c r="A380" s="1" t="s">
        <v>392</v>
      </c>
      <c r="B380">
        <f>HYPERLINK("https://www.suredividend.com/sure-analysis-TEL/","TE Connectivity Ltd")</f>
        <v>0</v>
      </c>
      <c r="C380" t="s">
        <v>452</v>
      </c>
      <c r="D380">
        <v>125.42</v>
      </c>
      <c r="E380">
        <v>0.01785999043214798</v>
      </c>
      <c r="F380">
        <v>0.1200000000000001</v>
      </c>
      <c r="G380">
        <v>0.04941452284458392</v>
      </c>
      <c r="H380">
        <v>2.225678226464759</v>
      </c>
      <c r="I380">
        <v>41291.259256</v>
      </c>
      <c r="J380">
        <v>18.27855655408588</v>
      </c>
      <c r="K380">
        <v>0.3175004602660141</v>
      </c>
      <c r="M380">
        <v>136.48</v>
      </c>
      <c r="N380">
        <v>103.85</v>
      </c>
    </row>
    <row r="381" spans="1:14">
      <c r="A381" s="1" t="s">
        <v>393</v>
      </c>
      <c r="B381">
        <f>HYPERLINK("https://www.suredividend.com/sure-analysis-TFC/","Truist Financial Corporation")</f>
        <v>0</v>
      </c>
      <c r="C381" t="s">
        <v>455</v>
      </c>
      <c r="D381">
        <v>33.7</v>
      </c>
      <c r="E381">
        <v>0.06172106824925816</v>
      </c>
      <c r="F381">
        <v>0.08333333333333348</v>
      </c>
      <c r="G381">
        <v>0.06756521663494941</v>
      </c>
      <c r="H381">
        <v>2.007595165018766</v>
      </c>
      <c r="I381">
        <v>61402.557568</v>
      </c>
      <c r="J381">
        <v>10.35980387509364</v>
      </c>
      <c r="K381">
        <v>0.4531817528259066</v>
      </c>
      <c r="M381">
        <v>58.53</v>
      </c>
      <c r="N381">
        <v>39.12</v>
      </c>
    </row>
    <row r="382" spans="1:14">
      <c r="A382" s="1" t="s">
        <v>394</v>
      </c>
      <c r="B382">
        <f>HYPERLINK("https://www.suredividend.com/sure-analysis-research-database/","Teleflex Incorporated")</f>
        <v>0</v>
      </c>
      <c r="C382" t="s">
        <v>450</v>
      </c>
      <c r="D382">
        <v>244.87</v>
      </c>
      <c r="E382">
        <v>0.005673356054601001</v>
      </c>
      <c r="F382">
        <v>0</v>
      </c>
      <c r="G382">
        <v>0</v>
      </c>
      <c r="H382">
        <v>1.357010034700095</v>
      </c>
      <c r="I382">
        <v>11228.572434</v>
      </c>
      <c r="J382">
        <v>30.92086620949554</v>
      </c>
      <c r="K382">
        <v>0.1766940149349082</v>
      </c>
      <c r="M382">
        <v>354.72</v>
      </c>
      <c r="N382">
        <v>182.1</v>
      </c>
    </row>
    <row r="383" spans="1:14">
      <c r="A383" s="1" t="s">
        <v>395</v>
      </c>
      <c r="B383">
        <f>HYPERLINK("https://www.suredividend.com/sure-analysis-TGT/","Target Corp")</f>
        <v>0</v>
      </c>
      <c r="C383" t="s">
        <v>453</v>
      </c>
      <c r="D383">
        <v>162.71</v>
      </c>
      <c r="E383">
        <v>0.02655030422223588</v>
      </c>
      <c r="F383">
        <v>0.2</v>
      </c>
      <c r="G383">
        <v>0.11032151746146</v>
      </c>
      <c r="H383">
        <v>4.090397627509714</v>
      </c>
      <c r="I383">
        <v>76403.59658</v>
      </c>
      <c r="J383">
        <v>22.15881571345708</v>
      </c>
      <c r="K383">
        <v>0.5557605472159937</v>
      </c>
      <c r="M383">
        <v>247.48</v>
      </c>
      <c r="N383">
        <v>133.73</v>
      </c>
    </row>
    <row r="384" spans="1:14">
      <c r="A384" s="1" t="s">
        <v>396</v>
      </c>
      <c r="B384">
        <f>HYPERLINK("https://www.suredividend.com/sure-analysis-research-database/","Tiffany &amp; Co.")</f>
        <v>0</v>
      </c>
      <c r="C384" t="s">
        <v>457</v>
      </c>
      <c r="D384">
        <v>131.46</v>
      </c>
      <c r="E384">
        <v>0.017524473752942</v>
      </c>
      <c r="F384" t="s">
        <v>461</v>
      </c>
      <c r="G384" t="s">
        <v>461</v>
      </c>
      <c r="H384">
        <v>2.303767319561764</v>
      </c>
      <c r="I384">
        <v>15960.711882</v>
      </c>
      <c r="J384">
        <v>55.5155195908174</v>
      </c>
      <c r="K384">
        <v>0.9761725930346458</v>
      </c>
      <c r="L384">
        <v>0.243947514158117</v>
      </c>
      <c r="M384">
        <v>131.77</v>
      </c>
      <c r="N384">
        <v>109.07</v>
      </c>
    </row>
    <row r="385" spans="1:14">
      <c r="A385" s="1" t="s">
        <v>397</v>
      </c>
      <c r="B385">
        <f>HYPERLINK("https://www.suredividend.com/sure-analysis-TJX/","TJX Companies, Inc.")</f>
        <v>0</v>
      </c>
      <c r="C385" t="s">
        <v>457</v>
      </c>
      <c r="D385">
        <v>76.36</v>
      </c>
      <c r="E385">
        <v>0.01741749607124149</v>
      </c>
      <c r="F385" t="s">
        <v>461</v>
      </c>
      <c r="G385" t="s">
        <v>461</v>
      </c>
      <c r="H385">
        <v>1.172927814622845</v>
      </c>
      <c r="I385">
        <v>90418.19965900001</v>
      </c>
      <c r="J385">
        <v>26.59497263806086</v>
      </c>
      <c r="K385">
        <v>0.408685649694371</v>
      </c>
      <c r="M385">
        <v>82.81999999999999</v>
      </c>
      <c r="N385">
        <v>53.02</v>
      </c>
    </row>
    <row r="386" spans="1:14">
      <c r="A386" s="1" t="s">
        <v>398</v>
      </c>
      <c r="B386">
        <f>HYPERLINK("https://www.suredividend.com/sure-analysis-TMO/","Thermo Fisher Scientific Inc.")</f>
        <v>0</v>
      </c>
      <c r="C386" t="s">
        <v>450</v>
      </c>
      <c r="D386">
        <v>556.7</v>
      </c>
      <c r="E386">
        <v>0.00251481947188791</v>
      </c>
      <c r="F386">
        <v>0.1666666666666665</v>
      </c>
      <c r="G386">
        <v>0.1553772840444183</v>
      </c>
      <c r="H386">
        <v>1.199030552956939</v>
      </c>
      <c r="I386">
        <v>215625.002277</v>
      </c>
      <c r="J386">
        <v>31.02518018372374</v>
      </c>
      <c r="K386">
        <v>0.06797225356898746</v>
      </c>
      <c r="M386">
        <v>617.34</v>
      </c>
      <c r="N386">
        <v>475.52</v>
      </c>
    </row>
    <row r="387" spans="1:14">
      <c r="A387" s="1" t="s">
        <v>399</v>
      </c>
      <c r="B387">
        <f>HYPERLINK("https://www.suredividend.com/sure-analysis-research-database/","T-Mobile US Inc")</f>
        <v>0</v>
      </c>
      <c r="C387" t="s">
        <v>460</v>
      </c>
      <c r="D387">
        <v>144.67</v>
      </c>
      <c r="E387">
        <v>0</v>
      </c>
      <c r="F387" t="s">
        <v>461</v>
      </c>
      <c r="G387" t="s">
        <v>461</v>
      </c>
      <c r="H387">
        <v>0</v>
      </c>
      <c r="I387">
        <v>173030.463309</v>
      </c>
      <c r="J387">
        <v>66.80712869073359</v>
      </c>
      <c r="K387">
        <v>0</v>
      </c>
      <c r="M387">
        <v>154.38</v>
      </c>
      <c r="N387">
        <v>116.91</v>
      </c>
    </row>
    <row r="388" spans="1:14">
      <c r="A388" s="1" t="s">
        <v>400</v>
      </c>
      <c r="B388">
        <f>HYPERLINK("https://www.suredividend.com/sure-analysis-TPR/","Tapestry Inc")</f>
        <v>0</v>
      </c>
      <c r="C388" t="s">
        <v>457</v>
      </c>
      <c r="D388">
        <v>41.45</v>
      </c>
      <c r="E388">
        <v>0.02895054282267792</v>
      </c>
      <c r="F388" t="s">
        <v>461</v>
      </c>
      <c r="G388" t="s">
        <v>461</v>
      </c>
      <c r="H388">
        <v>0.843352967998058</v>
      </c>
      <c r="I388">
        <v>10498.283444</v>
      </c>
      <c r="J388">
        <v>12.54724924582288</v>
      </c>
      <c r="K388">
        <v>0.2540219783126681</v>
      </c>
      <c r="M388">
        <v>47.48</v>
      </c>
      <c r="N388">
        <v>25.76</v>
      </c>
    </row>
    <row r="389" spans="1:14">
      <c r="A389" s="1" t="s">
        <v>401</v>
      </c>
      <c r="B389">
        <f>HYPERLINK("https://www.suredividend.com/sure-analysis-TROW/","T. Rowe Price Group Inc.")</f>
        <v>0</v>
      </c>
      <c r="C389" t="s">
        <v>455</v>
      </c>
      <c r="D389">
        <v>110.48</v>
      </c>
      <c r="E389">
        <v>0.04417089065894279</v>
      </c>
      <c r="F389">
        <v>0.01666666666666661</v>
      </c>
      <c r="G389">
        <v>0.1175124188813634</v>
      </c>
      <c r="H389">
        <v>4.725957099148772</v>
      </c>
      <c r="I389">
        <v>25467.033885</v>
      </c>
      <c r="J389">
        <v>16.73481001758444</v>
      </c>
      <c r="K389">
        <v>0.7053667312162346</v>
      </c>
      <c r="M389">
        <v>152.84</v>
      </c>
      <c r="N389">
        <v>92.58</v>
      </c>
    </row>
    <row r="390" spans="1:14">
      <c r="A390" s="1" t="s">
        <v>402</v>
      </c>
      <c r="B390">
        <f>HYPERLINK("https://www.suredividend.com/sure-analysis-TRV/","Travelers Companies Inc.")</f>
        <v>0</v>
      </c>
      <c r="C390" t="s">
        <v>455</v>
      </c>
      <c r="D390">
        <v>171.75</v>
      </c>
      <c r="E390">
        <v>0.02165938864628821</v>
      </c>
      <c r="F390">
        <v>0.05681818181818188</v>
      </c>
      <c r="G390">
        <v>0.03848073592670653</v>
      </c>
      <c r="H390">
        <v>3.641635440177124</v>
      </c>
      <c r="I390">
        <v>42610.187213</v>
      </c>
      <c r="J390">
        <v>15.09928675155564</v>
      </c>
      <c r="K390">
        <v>0.3093997825129247</v>
      </c>
      <c r="M390">
        <v>194.51</v>
      </c>
      <c r="N390">
        <v>148.91</v>
      </c>
    </row>
    <row r="391" spans="1:14">
      <c r="A391" s="1" t="s">
        <v>403</v>
      </c>
      <c r="B391">
        <f>HYPERLINK("https://www.suredividend.com/sure-analysis-TSCO/","Tractor Supply Co.")</f>
        <v>0</v>
      </c>
      <c r="C391" t="s">
        <v>457</v>
      </c>
      <c r="D391">
        <v>235.67</v>
      </c>
      <c r="E391">
        <v>0.017482072389358</v>
      </c>
      <c r="F391">
        <v>0.1195652173913044</v>
      </c>
      <c r="G391">
        <v>0.2714377627029996</v>
      </c>
      <c r="H391">
        <v>3.765867490617373</v>
      </c>
      <c r="I391">
        <v>25334.322965</v>
      </c>
      <c r="J391">
        <v>23.26999515508233</v>
      </c>
      <c r="K391">
        <v>0.3878339331222835</v>
      </c>
      <c r="M391">
        <v>238.6</v>
      </c>
      <c r="N391">
        <v>164.3</v>
      </c>
    </row>
    <row r="392" spans="1:14">
      <c r="A392" s="1" t="s">
        <v>404</v>
      </c>
      <c r="B392">
        <f>HYPERLINK("https://www.suredividend.com/sure-analysis-TSN/","Tyson Foods, Inc.")</f>
        <v>0</v>
      </c>
      <c r="C392" t="s">
        <v>453</v>
      </c>
      <c r="D392">
        <v>58.23</v>
      </c>
      <c r="E392">
        <v>0.03297269448737764</v>
      </c>
      <c r="F392">
        <v>0.04347826086956519</v>
      </c>
      <c r="G392">
        <v>0.09856054330611763</v>
      </c>
      <c r="H392">
        <v>1.859567960262985</v>
      </c>
      <c r="I392">
        <v>21300.8849</v>
      </c>
      <c r="J392">
        <v>6.953149242277024</v>
      </c>
      <c r="K392">
        <v>0.2763102466958373</v>
      </c>
      <c r="M392">
        <v>97.45</v>
      </c>
      <c r="N392">
        <v>58.24</v>
      </c>
    </row>
    <row r="393" spans="1:14">
      <c r="A393" s="1" t="s">
        <v>405</v>
      </c>
      <c r="B393">
        <f>HYPERLINK("https://www.suredividend.com/sure-analysis-TT/","Trane Technologies plc")</f>
        <v>0</v>
      </c>
      <c r="C393" t="s">
        <v>451</v>
      </c>
      <c r="D393">
        <v>183.04</v>
      </c>
      <c r="E393">
        <v>0.01638986013986014</v>
      </c>
      <c r="F393">
        <v>0.1194029850746268</v>
      </c>
      <c r="G393">
        <v>0.1075663432482898</v>
      </c>
      <c r="H393">
        <v>2.743977615695551</v>
      </c>
      <c r="I393">
        <v>44465.69487</v>
      </c>
      <c r="J393">
        <v>25.31494157116425</v>
      </c>
      <c r="K393">
        <v>0.3668419272320255</v>
      </c>
      <c r="M393">
        <v>194.52</v>
      </c>
      <c r="N393">
        <v>119.18</v>
      </c>
    </row>
    <row r="394" spans="1:14">
      <c r="A394" s="1" t="s">
        <v>406</v>
      </c>
      <c r="B394">
        <f>HYPERLINK("https://www.suredividend.com/sure-analysis-research-database/","Take-Two Interactive Software, Inc.")</f>
        <v>0</v>
      </c>
      <c r="C394" t="s">
        <v>460</v>
      </c>
      <c r="D394">
        <v>118.59</v>
      </c>
      <c r="E394">
        <v>0</v>
      </c>
      <c r="F394" t="s">
        <v>461</v>
      </c>
      <c r="G394" t="s">
        <v>461</v>
      </c>
      <c r="H394">
        <v>0</v>
      </c>
      <c r="I394">
        <v>19684.317534</v>
      </c>
      <c r="J394" t="s">
        <v>461</v>
      </c>
      <c r="K394">
        <v>-0</v>
      </c>
      <c r="M394">
        <v>162.4</v>
      </c>
      <c r="N394">
        <v>90</v>
      </c>
    </row>
    <row r="395" spans="1:14">
      <c r="A395" s="1" t="s">
        <v>407</v>
      </c>
      <c r="B395">
        <f>HYPERLINK("https://www.suredividend.com/sure-analysis-research-database/","Twitter Inc")</f>
        <v>0</v>
      </c>
      <c r="C395" t="s">
        <v>460</v>
      </c>
      <c r="D395">
        <v>53.7</v>
      </c>
      <c r="E395">
        <v>0</v>
      </c>
      <c r="F395" t="s">
        <v>461</v>
      </c>
      <c r="G395" t="s">
        <v>461</v>
      </c>
      <c r="H395">
        <v>0</v>
      </c>
      <c r="I395">
        <v>41093.718362</v>
      </c>
      <c r="J395" t="s">
        <v>461</v>
      </c>
      <c r="K395">
        <v>-0</v>
      </c>
      <c r="L395">
        <v>0.8659565146811</v>
      </c>
      <c r="M395">
        <v>55.33</v>
      </c>
      <c r="N395">
        <v>31.3</v>
      </c>
    </row>
    <row r="396" spans="1:14">
      <c r="A396" s="1" t="s">
        <v>408</v>
      </c>
      <c r="B396">
        <f>HYPERLINK("https://www.suredividend.com/sure-analysis-TXN/","Texas Instruments Inc.")</f>
        <v>0</v>
      </c>
      <c r="C396" t="s">
        <v>452</v>
      </c>
      <c r="D396">
        <v>178.41</v>
      </c>
      <c r="E396">
        <v>0.02780113222353007</v>
      </c>
      <c r="F396">
        <v>0.07826086956521738</v>
      </c>
      <c r="G396">
        <v>0.1486983549970351</v>
      </c>
      <c r="H396">
        <v>4.729473316450475</v>
      </c>
      <c r="I396">
        <v>159202.234066</v>
      </c>
      <c r="J396">
        <v>18.27809805575201</v>
      </c>
      <c r="K396">
        <v>0.5026007775186477</v>
      </c>
      <c r="M396">
        <v>185.99</v>
      </c>
      <c r="N396">
        <v>141.37</v>
      </c>
    </row>
    <row r="397" spans="1:14">
      <c r="A397" s="1" t="s">
        <v>409</v>
      </c>
      <c r="B397">
        <f>HYPERLINK("https://www.suredividend.com/sure-analysis-TXT/","Textron Inc.")</f>
        <v>0</v>
      </c>
      <c r="C397" t="s">
        <v>451</v>
      </c>
      <c r="D397">
        <v>68.7</v>
      </c>
      <c r="E397">
        <v>0.001071917724753</v>
      </c>
      <c r="F397">
        <v>0</v>
      </c>
      <c r="G397">
        <v>0</v>
      </c>
      <c r="H397">
        <v>0.079965062266577</v>
      </c>
      <c r="I397">
        <v>15309.165671</v>
      </c>
      <c r="J397">
        <v>17.78068022160279</v>
      </c>
      <c r="K397">
        <v>0.01994141203655287</v>
      </c>
      <c r="M397">
        <v>76.11</v>
      </c>
      <c r="N397">
        <v>57.08</v>
      </c>
    </row>
    <row r="398" spans="1:14">
      <c r="A398" s="1" t="s">
        <v>410</v>
      </c>
      <c r="B398">
        <f>HYPERLINK("https://www.suredividend.com/sure-analysis-research-database/","Tyler Technologies, Inc.")</f>
        <v>0</v>
      </c>
      <c r="C398" t="s">
        <v>452</v>
      </c>
      <c r="D398">
        <v>329.57</v>
      </c>
      <c r="E398">
        <v>0</v>
      </c>
      <c r="F398" t="s">
        <v>461</v>
      </c>
      <c r="G398" t="s">
        <v>461</v>
      </c>
      <c r="H398">
        <v>0</v>
      </c>
      <c r="I398">
        <v>13809.980834</v>
      </c>
      <c r="J398">
        <v>84.08415023380419</v>
      </c>
      <c r="K398">
        <v>0</v>
      </c>
      <c r="M398">
        <v>453.03</v>
      </c>
      <c r="N398">
        <v>281.11</v>
      </c>
    </row>
    <row r="399" spans="1:14">
      <c r="A399" s="1" t="s">
        <v>411</v>
      </c>
      <c r="B399">
        <f>HYPERLINK("https://www.suredividend.com/sure-analysis-research-database/","United Airlines Holdings Inc")</f>
        <v>0</v>
      </c>
      <c r="C399" t="s">
        <v>451</v>
      </c>
      <c r="D399">
        <v>44.26</v>
      </c>
      <c r="E399">
        <v>0</v>
      </c>
      <c r="F399" t="s">
        <v>461</v>
      </c>
      <c r="G399" t="s">
        <v>461</v>
      </c>
      <c r="H399">
        <v>0</v>
      </c>
      <c r="I399">
        <v>17355.554421</v>
      </c>
      <c r="J399">
        <v>23.54892051671641</v>
      </c>
      <c r="K399">
        <v>0</v>
      </c>
      <c r="M399">
        <v>53.86</v>
      </c>
      <c r="N399">
        <v>30.54</v>
      </c>
    </row>
    <row r="400" spans="1:14">
      <c r="A400" s="1" t="s">
        <v>412</v>
      </c>
      <c r="B400">
        <f>HYPERLINK("https://www.suredividend.com/sure-analysis-UDR/","UDR Inc")</f>
        <v>0</v>
      </c>
      <c r="C400" t="s">
        <v>458</v>
      </c>
      <c r="D400">
        <v>39.23</v>
      </c>
      <c r="E400">
        <v>0.04282436910527657</v>
      </c>
      <c r="F400">
        <v>0.04827586206896539</v>
      </c>
      <c r="G400">
        <v>0.03335792744906896</v>
      </c>
      <c r="H400">
        <v>1.878201633155976</v>
      </c>
      <c r="I400">
        <v>14147.537832</v>
      </c>
      <c r="J400">
        <v>171.4603673628078</v>
      </c>
      <c r="K400">
        <v>7.345332941556417</v>
      </c>
      <c r="M400">
        <v>58.35</v>
      </c>
      <c r="N400">
        <v>36.8</v>
      </c>
    </row>
    <row r="401" spans="1:14">
      <c r="A401" s="1" t="s">
        <v>413</v>
      </c>
      <c r="B401">
        <f>HYPERLINK("https://www.suredividend.com/sure-analysis-research-database/","Ulta Beauty Inc")</f>
        <v>0</v>
      </c>
      <c r="C401" t="s">
        <v>457</v>
      </c>
      <c r="D401">
        <v>515.91</v>
      </c>
      <c r="E401">
        <v>0</v>
      </c>
      <c r="F401" t="s">
        <v>461</v>
      </c>
      <c r="G401" t="s">
        <v>461</v>
      </c>
      <c r="H401">
        <v>0</v>
      </c>
      <c r="I401">
        <v>26562.815308</v>
      </c>
      <c r="J401">
        <v>22.30252086505466</v>
      </c>
      <c r="K401">
        <v>0</v>
      </c>
      <c r="M401">
        <v>537.52</v>
      </c>
      <c r="N401">
        <v>330.8</v>
      </c>
    </row>
    <row r="402" spans="1:14">
      <c r="A402" s="1" t="s">
        <v>414</v>
      </c>
      <c r="B402">
        <f>HYPERLINK("https://www.suredividend.com/sure-analysis-UNH/","Unitedhealth Group Inc")</f>
        <v>0</v>
      </c>
      <c r="C402" t="s">
        <v>450</v>
      </c>
      <c r="D402">
        <v>480.1</v>
      </c>
      <c r="E402">
        <v>0.01374713601333056</v>
      </c>
      <c r="F402">
        <v>0.1379310344827587</v>
      </c>
      <c r="G402">
        <v>0.1288813207301975</v>
      </c>
      <c r="H402">
        <v>6.370615305271219</v>
      </c>
      <c r="I402">
        <v>446423.069853</v>
      </c>
      <c r="J402">
        <v>22.18802534061232</v>
      </c>
      <c r="K402">
        <v>0.3007844808909924</v>
      </c>
      <c r="M402">
        <v>556.38</v>
      </c>
      <c r="N402">
        <v>446.92</v>
      </c>
    </row>
    <row r="403" spans="1:14">
      <c r="A403" s="1" t="s">
        <v>415</v>
      </c>
      <c r="B403">
        <f>HYPERLINK("https://www.suredividend.com/sure-analysis-UNP/","Union Pacific Corp.")</f>
        <v>0</v>
      </c>
      <c r="C403" t="s">
        <v>451</v>
      </c>
      <c r="D403">
        <v>189.54</v>
      </c>
      <c r="E403">
        <v>0.02743484224965707</v>
      </c>
      <c r="F403">
        <v>0.1016949152542375</v>
      </c>
      <c r="G403">
        <v>0.1223391137583876</v>
      </c>
      <c r="H403">
        <v>5.150876025976506</v>
      </c>
      <c r="I403">
        <v>128101.727302</v>
      </c>
      <c r="J403">
        <v>18.30547689370677</v>
      </c>
      <c r="K403">
        <v>0.4594893867954064</v>
      </c>
      <c r="M403">
        <v>272.23</v>
      </c>
      <c r="N403">
        <v>181.35</v>
      </c>
    </row>
    <row r="404" spans="1:14">
      <c r="A404" s="1" t="s">
        <v>416</v>
      </c>
      <c r="B404">
        <f>HYPERLINK("https://www.suredividend.com/sure-analysis-UPS/","United Parcel Service, Inc.")</f>
        <v>0</v>
      </c>
      <c r="C404" t="s">
        <v>451</v>
      </c>
      <c r="D404">
        <v>186.79</v>
      </c>
      <c r="E404">
        <v>0.03469136463408106</v>
      </c>
      <c r="F404">
        <v>0.06578947368421062</v>
      </c>
      <c r="G404">
        <v>0.1222632056643747</v>
      </c>
      <c r="H404">
        <v>6.061632512623183</v>
      </c>
      <c r="I404">
        <v>160598.003577</v>
      </c>
      <c r="J404">
        <v>11.65412671852442</v>
      </c>
      <c r="K404">
        <v>0.4592145842896351</v>
      </c>
      <c r="M404">
        <v>214.55</v>
      </c>
      <c r="N404">
        <v>150.76</v>
      </c>
    </row>
    <row r="405" spans="1:14">
      <c r="A405" s="1" t="s">
        <v>417</v>
      </c>
      <c r="B405">
        <f>HYPERLINK("https://www.suredividend.com/sure-analysis-research-database/","United Rentals, Inc.")</f>
        <v>0</v>
      </c>
      <c r="C405" t="s">
        <v>451</v>
      </c>
      <c r="D405">
        <v>398.29</v>
      </c>
      <c r="E405">
        <v>0</v>
      </c>
      <c r="F405" t="s">
        <v>461</v>
      </c>
      <c r="G405" t="s">
        <v>461</v>
      </c>
      <c r="H405">
        <v>0</v>
      </c>
      <c r="I405">
        <v>33238.268233</v>
      </c>
      <c r="J405">
        <v>15.79015117965321</v>
      </c>
      <c r="K405">
        <v>0</v>
      </c>
      <c r="M405">
        <v>481.59</v>
      </c>
      <c r="N405">
        <v>229.79</v>
      </c>
    </row>
    <row r="406" spans="1:14">
      <c r="A406" s="1" t="s">
        <v>418</v>
      </c>
      <c r="B406">
        <f>HYPERLINK("https://www.suredividend.com/sure-analysis-USB/","U.S. Bancorp.")</f>
        <v>0</v>
      </c>
      <c r="C406" t="s">
        <v>455</v>
      </c>
      <c r="D406">
        <v>37.52</v>
      </c>
      <c r="E406">
        <v>0.05117270788912579</v>
      </c>
      <c r="F406">
        <v>0.04347826086956519</v>
      </c>
      <c r="G406">
        <v>0.09856054330611763</v>
      </c>
      <c r="H406">
        <v>1.849543845671094</v>
      </c>
      <c r="I406">
        <v>72131.056228</v>
      </c>
      <c r="J406">
        <v>13.11235343168878</v>
      </c>
      <c r="K406">
        <v>0.5012313944908114</v>
      </c>
      <c r="M406">
        <v>55.61</v>
      </c>
      <c r="N406">
        <v>37.96</v>
      </c>
    </row>
    <row r="407" spans="1:14">
      <c r="A407" s="1" t="s">
        <v>419</v>
      </c>
      <c r="B407">
        <f>HYPERLINK("https://www.suredividend.com/sure-analysis-V/","Visa Inc")</f>
        <v>0</v>
      </c>
      <c r="C407" t="s">
        <v>455</v>
      </c>
      <c r="D407">
        <v>221.95</v>
      </c>
      <c r="E407">
        <v>0.008109934669970715</v>
      </c>
      <c r="F407">
        <v>0.2</v>
      </c>
      <c r="G407">
        <v>0.1247461131420948</v>
      </c>
      <c r="H407">
        <v>1.64255105849488</v>
      </c>
      <c r="I407">
        <v>423018.069</v>
      </c>
      <c r="J407">
        <v>23.9583561244831</v>
      </c>
      <c r="K407">
        <v>0.2297274207685147</v>
      </c>
      <c r="M407">
        <v>250.09</v>
      </c>
      <c r="N407">
        <v>173.47</v>
      </c>
    </row>
    <row r="408" spans="1:14">
      <c r="A408" s="1" t="s">
        <v>420</v>
      </c>
      <c r="B408">
        <f>HYPERLINK("https://www.suredividend.com/sure-analysis-research-database/","Varian Medical Systems, Inc.")</f>
        <v>0</v>
      </c>
      <c r="C408" t="s">
        <v>450</v>
      </c>
      <c r="D408">
        <v>177.07</v>
      </c>
      <c r="E408">
        <v>0</v>
      </c>
      <c r="F408" t="s">
        <v>461</v>
      </c>
      <c r="G408" t="s">
        <v>461</v>
      </c>
      <c r="H408">
        <v>0</v>
      </c>
      <c r="I408">
        <v>16261.898618</v>
      </c>
      <c r="J408">
        <v>58.60143646093693</v>
      </c>
      <c r="K408">
        <v>0</v>
      </c>
      <c r="L408">
        <v>0.7412058348407721</v>
      </c>
      <c r="M408">
        <v>177.38</v>
      </c>
      <c r="N408">
        <v>103.67</v>
      </c>
    </row>
    <row r="409" spans="1:14">
      <c r="A409" s="1" t="s">
        <v>421</v>
      </c>
      <c r="B409">
        <f>HYPERLINK("https://www.suredividend.com/sure-analysis-VFC/","VF Corp.")</f>
        <v>0</v>
      </c>
      <c r="C409" t="s">
        <v>457</v>
      </c>
      <c r="D409">
        <v>21.6</v>
      </c>
      <c r="E409">
        <v>0.05555555555555555</v>
      </c>
      <c r="F409">
        <v>-0.3999999999999999</v>
      </c>
      <c r="G409">
        <v>-0.08193657741547256</v>
      </c>
      <c r="H409">
        <v>1.966954103923224</v>
      </c>
      <c r="I409">
        <v>10206.128828</v>
      </c>
      <c r="J409">
        <v>24.05681737575162</v>
      </c>
      <c r="K409">
        <v>1.804545049470848</v>
      </c>
      <c r="M409">
        <v>57.75</v>
      </c>
      <c r="N409">
        <v>23.71</v>
      </c>
    </row>
    <row r="410" spans="1:14">
      <c r="A410" s="1" t="s">
        <v>422</v>
      </c>
      <c r="B410">
        <f>HYPERLINK("https://www.suredividend.com/sure-analysis-VLO/","Valero Energy Corp.")</f>
        <v>0</v>
      </c>
      <c r="C410" t="s">
        <v>459</v>
      </c>
      <c r="D410">
        <v>132.19</v>
      </c>
      <c r="E410">
        <v>0.03086466449807096</v>
      </c>
      <c r="F410">
        <v>0.04081632653061229</v>
      </c>
      <c r="G410">
        <v>0.04978904632428516</v>
      </c>
      <c r="H410">
        <v>3.916759695390805</v>
      </c>
      <c r="I410">
        <v>52395.363518</v>
      </c>
      <c r="J410">
        <v>4.562069091695254</v>
      </c>
      <c r="K410">
        <v>0.1350606791514071</v>
      </c>
      <c r="M410">
        <v>159</v>
      </c>
      <c r="N410">
        <v>80.58</v>
      </c>
    </row>
    <row r="411" spans="1:14">
      <c r="A411" s="1" t="s">
        <v>423</v>
      </c>
      <c r="B411">
        <f>HYPERLINK("https://www.suredividend.com/sure-analysis-VMC/","Vulcan Materials Co")</f>
        <v>0</v>
      </c>
      <c r="C411" t="s">
        <v>456</v>
      </c>
      <c r="D411">
        <v>166.14</v>
      </c>
      <c r="E411">
        <v>0.01035271457806669</v>
      </c>
      <c r="F411">
        <v>0.07499999999999996</v>
      </c>
      <c r="G411">
        <v>0.08958743119932766</v>
      </c>
      <c r="H411">
        <v>1.624480228641329</v>
      </c>
      <c r="I411">
        <v>24263.82782</v>
      </c>
      <c r="J411">
        <v>42.1539746695622</v>
      </c>
      <c r="K411">
        <v>0.3769095658100532</v>
      </c>
      <c r="M411">
        <v>197.29</v>
      </c>
      <c r="N411">
        <v>136.6</v>
      </c>
    </row>
    <row r="412" spans="1:14">
      <c r="A412" s="1" t="s">
        <v>424</v>
      </c>
      <c r="B412">
        <f>HYPERLINK("https://www.suredividend.com/sure-analysis-research-database/","Verisk Analytics Inc")</f>
        <v>0</v>
      </c>
      <c r="C412" t="s">
        <v>451</v>
      </c>
      <c r="D412">
        <v>186.1</v>
      </c>
      <c r="E412">
        <v>0.006616823045972</v>
      </c>
      <c r="F412" t="s">
        <v>461</v>
      </c>
      <c r="G412" t="s">
        <v>461</v>
      </c>
      <c r="H412">
        <v>1.236816563753146</v>
      </c>
      <c r="I412">
        <v>28915.746787</v>
      </c>
      <c r="J412">
        <v>30.31318459654052</v>
      </c>
      <c r="K412">
        <v>0.2061360939588577</v>
      </c>
      <c r="M412">
        <v>220.94</v>
      </c>
      <c r="N412">
        <v>155.53</v>
      </c>
    </row>
    <row r="413" spans="1:14">
      <c r="A413" s="1" t="s">
        <v>425</v>
      </c>
      <c r="B413">
        <f>HYPERLINK("https://www.suredividend.com/sure-analysis-research-database/","Verisign Inc.")</f>
        <v>0</v>
      </c>
      <c r="C413" t="s">
        <v>452</v>
      </c>
      <c r="D413">
        <v>200.6</v>
      </c>
      <c r="E413">
        <v>0</v>
      </c>
      <c r="F413" t="s">
        <v>461</v>
      </c>
      <c r="G413" t="s">
        <v>461</v>
      </c>
      <c r="H413">
        <v>0</v>
      </c>
      <c r="I413">
        <v>21045.081743</v>
      </c>
      <c r="J413">
        <v>31.23342496678539</v>
      </c>
      <c r="K413">
        <v>0</v>
      </c>
      <c r="M413">
        <v>228.8</v>
      </c>
      <c r="N413">
        <v>155.25</v>
      </c>
    </row>
    <row r="414" spans="1:14">
      <c r="A414" s="1" t="s">
        <v>426</v>
      </c>
      <c r="B414">
        <f>HYPERLINK("https://www.suredividend.com/sure-analysis-research-database/","Vertex Pharmaceuticals, Inc.")</f>
        <v>0</v>
      </c>
      <c r="C414" t="s">
        <v>450</v>
      </c>
      <c r="D414">
        <v>302.66</v>
      </c>
      <c r="E414">
        <v>0</v>
      </c>
      <c r="F414" t="s">
        <v>461</v>
      </c>
      <c r="G414" t="s">
        <v>461</v>
      </c>
      <c r="H414">
        <v>0</v>
      </c>
      <c r="I414">
        <v>74687.634525</v>
      </c>
      <c r="J414">
        <v>22.48273164506622</v>
      </c>
      <c r="K414">
        <v>0</v>
      </c>
      <c r="M414">
        <v>325.19</v>
      </c>
      <c r="N414">
        <v>232.97</v>
      </c>
    </row>
    <row r="415" spans="1:14">
      <c r="A415" s="1" t="s">
        <v>427</v>
      </c>
      <c r="B415">
        <f>HYPERLINK("https://www.suredividend.com/sure-analysis-VTR/","Ventas Inc")</f>
        <v>0</v>
      </c>
      <c r="C415" t="s">
        <v>458</v>
      </c>
      <c r="D415">
        <v>43.9</v>
      </c>
      <c r="E415">
        <v>0.04100227790432802</v>
      </c>
      <c r="F415">
        <v>0</v>
      </c>
      <c r="G415">
        <v>-0.1064536513059132</v>
      </c>
      <c r="H415">
        <v>1.772707223961196</v>
      </c>
      <c r="I415">
        <v>19403.688614</v>
      </c>
      <c r="J415" t="s">
        <v>461</v>
      </c>
      <c r="K415" t="s">
        <v>461</v>
      </c>
      <c r="M415">
        <v>61.68</v>
      </c>
      <c r="N415">
        <v>34.98</v>
      </c>
    </row>
    <row r="416" spans="1:14">
      <c r="A416" s="1" t="s">
        <v>428</v>
      </c>
      <c r="B416">
        <f>HYPERLINK("https://www.suredividend.com/sure-analysis-VZ/","Verizon Communications Inc")</f>
        <v>0</v>
      </c>
      <c r="C416" t="s">
        <v>460</v>
      </c>
      <c r="D416">
        <v>37.74</v>
      </c>
      <c r="E416">
        <v>0.06915739268680444</v>
      </c>
      <c r="F416">
        <v>0.01953125</v>
      </c>
      <c r="G416">
        <v>0.02034185229948715</v>
      </c>
      <c r="H416">
        <v>2.526542929411256</v>
      </c>
      <c r="I416">
        <v>160687.52117</v>
      </c>
      <c r="J416">
        <v>7.559631217991155</v>
      </c>
      <c r="K416">
        <v>0.4993167844686277</v>
      </c>
      <c r="M416">
        <v>53.08</v>
      </c>
      <c r="N416">
        <v>32.79</v>
      </c>
    </row>
    <row r="417" spans="1:14">
      <c r="A417" s="1" t="s">
        <v>429</v>
      </c>
      <c r="B417">
        <f>HYPERLINK("https://www.suredividend.com/sure-analysis-research-database/","Westinghouse Air Brake Technologies Corp")</f>
        <v>0</v>
      </c>
      <c r="C417" t="s">
        <v>451</v>
      </c>
      <c r="D417">
        <v>97.94</v>
      </c>
      <c r="E417">
        <v>0.005757457675174001</v>
      </c>
      <c r="F417">
        <v>0.1333333333333335</v>
      </c>
      <c r="G417">
        <v>0.07214502590085092</v>
      </c>
      <c r="H417">
        <v>0.6178903576997691</v>
      </c>
      <c r="I417">
        <v>19355.408836</v>
      </c>
      <c r="J417">
        <v>30.57726514375988</v>
      </c>
      <c r="K417">
        <v>0.1785810282369275</v>
      </c>
      <c r="M417">
        <v>107.39</v>
      </c>
      <c r="N417">
        <v>77.77</v>
      </c>
    </row>
    <row r="418" spans="1:14">
      <c r="A418" s="1" t="s">
        <v>430</v>
      </c>
      <c r="B418">
        <f>HYPERLINK("https://www.suredividend.com/sure-analysis-research-database/","Waters Corp.")</f>
        <v>0</v>
      </c>
      <c r="C418" t="s">
        <v>450</v>
      </c>
      <c r="D418">
        <v>308.63</v>
      </c>
      <c r="E418">
        <v>0</v>
      </c>
      <c r="F418" t="s">
        <v>461</v>
      </c>
      <c r="G418" t="s">
        <v>461</v>
      </c>
      <c r="H418">
        <v>0</v>
      </c>
      <c r="I418">
        <v>19268.062617</v>
      </c>
      <c r="J418">
        <v>27.22419851026132</v>
      </c>
      <c r="K418">
        <v>0</v>
      </c>
      <c r="M418">
        <v>369</v>
      </c>
      <c r="N418">
        <v>265.61</v>
      </c>
    </row>
    <row r="419" spans="1:14">
      <c r="A419" s="1" t="s">
        <v>431</v>
      </c>
      <c r="B419">
        <f>HYPERLINK("https://www.suredividend.com/sure-analysis-WBA/","Walgreens Boots Alliance Inc")</f>
        <v>0</v>
      </c>
      <c r="C419" t="s">
        <v>450</v>
      </c>
      <c r="D419">
        <v>33.54</v>
      </c>
      <c r="E419">
        <v>0.05724508050089445</v>
      </c>
      <c r="F419">
        <v>0.005235602094240788</v>
      </c>
      <c r="G419">
        <v>0.03713728933664817</v>
      </c>
      <c r="H419">
        <v>1.882260967344389</v>
      </c>
      <c r="I419">
        <v>31127.753264</v>
      </c>
      <c r="J419" t="s">
        <v>461</v>
      </c>
      <c r="K419" t="s">
        <v>461</v>
      </c>
      <c r="M419">
        <v>46.66</v>
      </c>
      <c r="N419">
        <v>29.64</v>
      </c>
    </row>
    <row r="420" spans="1:14">
      <c r="A420" s="1" t="s">
        <v>432</v>
      </c>
      <c r="B420">
        <f>HYPERLINK("https://www.suredividend.com/sure-analysis-research-database/","Western Digital Corp.")</f>
        <v>0</v>
      </c>
      <c r="C420" t="s">
        <v>452</v>
      </c>
      <c r="D420">
        <v>35.47</v>
      </c>
      <c r="E420">
        <v>0</v>
      </c>
      <c r="F420" t="s">
        <v>461</v>
      </c>
      <c r="G420" t="s">
        <v>461</v>
      </c>
      <c r="H420">
        <v>0</v>
      </c>
      <c r="I420">
        <v>12322.648908</v>
      </c>
      <c r="J420" t="s">
        <v>461</v>
      </c>
      <c r="K420">
        <v>-0</v>
      </c>
      <c r="M420">
        <v>63.26</v>
      </c>
      <c r="N420">
        <v>29.73</v>
      </c>
    </row>
    <row r="421" spans="1:14">
      <c r="A421" s="1" t="s">
        <v>433</v>
      </c>
      <c r="B421">
        <f>HYPERLINK("https://www.suredividend.com/sure-analysis-WEC/","WEC Energy Group Inc")</f>
        <v>0</v>
      </c>
      <c r="C421" t="s">
        <v>454</v>
      </c>
      <c r="D421">
        <v>91.91</v>
      </c>
      <c r="E421">
        <v>0.03394625176803395</v>
      </c>
      <c r="F421">
        <v>0.07216494845360821</v>
      </c>
      <c r="G421">
        <v>0.07140202794100703</v>
      </c>
      <c r="H421">
        <v>2.911084845778485</v>
      </c>
      <c r="I421">
        <v>28259.779632</v>
      </c>
      <c r="J421">
        <v>20.06944082969249</v>
      </c>
      <c r="K421">
        <v>0.6541763698378619</v>
      </c>
      <c r="M421">
        <v>105.61</v>
      </c>
      <c r="N421">
        <v>78.88</v>
      </c>
    </row>
    <row r="422" spans="1:14">
      <c r="A422" s="1" t="s">
        <v>434</v>
      </c>
      <c r="B422">
        <f>HYPERLINK("https://www.suredividend.com/sure-analysis-WELL/","Welltower Inc.")</f>
        <v>0</v>
      </c>
      <c r="C422" t="s">
        <v>458</v>
      </c>
      <c r="D422">
        <v>69.39</v>
      </c>
      <c r="E422">
        <v>0.0351635682374982</v>
      </c>
      <c r="F422">
        <v>0</v>
      </c>
      <c r="G422">
        <v>-0.06854448919933698</v>
      </c>
      <c r="H422">
        <v>2.409670654495467</v>
      </c>
      <c r="I422">
        <v>36950.398887</v>
      </c>
      <c r="J422">
        <v>261.6624335186313</v>
      </c>
      <c r="K422">
        <v>7.936991615597716</v>
      </c>
      <c r="M422">
        <v>96.31999999999999</v>
      </c>
      <c r="N422">
        <v>55.54</v>
      </c>
    </row>
    <row r="423" spans="1:14">
      <c r="A423" s="1" t="s">
        <v>435</v>
      </c>
      <c r="B423">
        <f>HYPERLINK("https://www.suredividend.com/sure-analysis-WFC/","Wells Fargo &amp; Co.")</f>
        <v>0</v>
      </c>
      <c r="C423" t="s">
        <v>455</v>
      </c>
      <c r="D423">
        <v>38.48</v>
      </c>
      <c r="E423">
        <v>0.03118503118503119</v>
      </c>
      <c r="F423">
        <v>0.2000000000000002</v>
      </c>
      <c r="G423">
        <v>-0.05111991994525078</v>
      </c>
      <c r="H423">
        <v>1.139427261662904</v>
      </c>
      <c r="I423">
        <v>177742.694249</v>
      </c>
      <c r="J423">
        <v>14.72965063802105</v>
      </c>
      <c r="K423">
        <v>0.3628749240964662</v>
      </c>
      <c r="M423">
        <v>52.86</v>
      </c>
      <c r="N423">
        <v>35.83</v>
      </c>
    </row>
    <row r="424" spans="1:14">
      <c r="A424" s="1" t="s">
        <v>436</v>
      </c>
      <c r="B424">
        <f>HYPERLINK("https://www.suredividend.com/sure-analysis-WM/","Waste Management, Inc.")</f>
        <v>0</v>
      </c>
      <c r="C424" t="s">
        <v>451</v>
      </c>
      <c r="D424">
        <v>154.51</v>
      </c>
      <c r="E424">
        <v>0.01812180441395379</v>
      </c>
      <c r="F424">
        <v>0.07692307692307709</v>
      </c>
      <c r="G424">
        <v>0.08524805815701431</v>
      </c>
      <c r="H424">
        <v>2.584952906394319</v>
      </c>
      <c r="I424">
        <v>61255.476473</v>
      </c>
      <c r="J424">
        <v>27.37063291910635</v>
      </c>
      <c r="K424">
        <v>0.4795830995165713</v>
      </c>
      <c r="M424">
        <v>174.64</v>
      </c>
      <c r="N424">
        <v>137.83</v>
      </c>
    </row>
    <row r="425" spans="1:14">
      <c r="A425" s="1" t="s">
        <v>437</v>
      </c>
      <c r="B425">
        <f>HYPERLINK("https://www.suredividend.com/sure-analysis-WMB/","Williams Cos Inc")</f>
        <v>0</v>
      </c>
      <c r="C425" t="s">
        <v>459</v>
      </c>
      <c r="D425">
        <v>29.18</v>
      </c>
      <c r="E425">
        <v>0.06134338588074024</v>
      </c>
      <c r="F425">
        <v>0.05294117647058827</v>
      </c>
      <c r="G425">
        <v>0.05648375743782719</v>
      </c>
      <c r="H425">
        <v>1.687602569351976</v>
      </c>
      <c r="I425">
        <v>34485.33174</v>
      </c>
      <c r="J425">
        <v>16.85500085029325</v>
      </c>
      <c r="K425">
        <v>1.010540460689806</v>
      </c>
      <c r="M425">
        <v>36.05</v>
      </c>
      <c r="N425">
        <v>27.52</v>
      </c>
    </row>
    <row r="426" spans="1:14">
      <c r="A426" s="1" t="s">
        <v>438</v>
      </c>
      <c r="B426">
        <f>HYPERLINK("https://www.suredividend.com/sure-analysis-WMT/","Walmart Inc")</f>
        <v>0</v>
      </c>
      <c r="C426" t="s">
        <v>453</v>
      </c>
      <c r="D426">
        <v>140.42</v>
      </c>
      <c r="E426">
        <v>0.01623700327588663</v>
      </c>
      <c r="F426">
        <v>0.01785714285714279</v>
      </c>
      <c r="G426">
        <v>0.01853111887485803</v>
      </c>
      <c r="H426">
        <v>2.226840039871083</v>
      </c>
      <c r="I426">
        <v>372428.087457</v>
      </c>
      <c r="J426">
        <v>41.53318695855916</v>
      </c>
      <c r="K426">
        <v>0.6830797668316206</v>
      </c>
      <c r="M426">
        <v>159.88</v>
      </c>
      <c r="N426">
        <v>116.32</v>
      </c>
    </row>
    <row r="427" spans="1:14">
      <c r="A427" s="1" t="s">
        <v>439</v>
      </c>
      <c r="B427">
        <f>HYPERLINK("https://www.suredividend.com/sure-analysis-WRB/","W.R. Berkley Corp.")</f>
        <v>0</v>
      </c>
      <c r="C427" t="s">
        <v>455</v>
      </c>
      <c r="D427">
        <v>62.5</v>
      </c>
      <c r="E427">
        <v>0.0064</v>
      </c>
      <c r="F427">
        <v>-0.8</v>
      </c>
      <c r="G427">
        <v>-0.01888150427373569</v>
      </c>
      <c r="H427">
        <v>0.397063962522672</v>
      </c>
      <c r="I427">
        <v>16836.854375</v>
      </c>
      <c r="J427">
        <v>12.191237160323</v>
      </c>
      <c r="K427">
        <v>0.08037732034871903</v>
      </c>
      <c r="M427">
        <v>76.23999999999999</v>
      </c>
      <c r="N427">
        <v>60.2</v>
      </c>
    </row>
    <row r="428" spans="1:14">
      <c r="A428" s="1" t="s">
        <v>440</v>
      </c>
      <c r="B428">
        <f>HYPERLINK("https://www.suredividend.com/sure-analysis-WST/","West Pharmaceutical Services, Inc.")</f>
        <v>0</v>
      </c>
      <c r="C428" t="s">
        <v>450</v>
      </c>
      <c r="D428">
        <v>335.03</v>
      </c>
      <c r="E428">
        <v>0.002268453571321971</v>
      </c>
      <c r="F428">
        <v>0.05555555555555558</v>
      </c>
      <c r="G428">
        <v>0.06298004826234438</v>
      </c>
      <c r="H428">
        <v>0.7391910859323381</v>
      </c>
      <c r="I428">
        <v>24409.87251</v>
      </c>
      <c r="J428">
        <v>41.66218213012459</v>
      </c>
      <c r="K428">
        <v>0.09562627243626624</v>
      </c>
      <c r="M428">
        <v>422.87</v>
      </c>
      <c r="N428">
        <v>205.87</v>
      </c>
    </row>
    <row r="429" spans="1:14">
      <c r="A429" s="1" t="s">
        <v>441</v>
      </c>
      <c r="B429">
        <f>HYPERLINK("https://www.suredividend.com/sure-analysis-WY/","Weyerhaeuser Co.")</f>
        <v>0</v>
      </c>
      <c r="C429" t="s">
        <v>458</v>
      </c>
      <c r="D429">
        <v>29.84</v>
      </c>
      <c r="E429">
        <v>0.02546916890080429</v>
      </c>
      <c r="F429">
        <v>0.05555555555555558</v>
      </c>
      <c r="G429">
        <v>-0.109866928674943</v>
      </c>
      <c r="H429">
        <v>0.7098053245230631</v>
      </c>
      <c r="I429">
        <v>23186.10602</v>
      </c>
      <c r="J429">
        <v>12.33303511702128</v>
      </c>
      <c r="K429">
        <v>0.2805554642383649</v>
      </c>
      <c r="M429">
        <v>40.85</v>
      </c>
      <c r="N429">
        <v>26.34</v>
      </c>
    </row>
    <row r="430" spans="1:14">
      <c r="A430" s="1" t="s">
        <v>442</v>
      </c>
      <c r="B430">
        <f>HYPERLINK("https://www.suredividend.com/sure-analysis-research-database/","Wynn Resorts Ltd.")</f>
        <v>0</v>
      </c>
      <c r="C430" t="s">
        <v>457</v>
      </c>
      <c r="D430">
        <v>108.19</v>
      </c>
      <c r="E430">
        <v>0</v>
      </c>
      <c r="F430" t="s">
        <v>461</v>
      </c>
      <c r="G430" t="s">
        <v>461</v>
      </c>
      <c r="H430">
        <v>0</v>
      </c>
      <c r="I430">
        <v>13168.456252</v>
      </c>
      <c r="J430" t="s">
        <v>461</v>
      </c>
      <c r="K430">
        <v>-0</v>
      </c>
      <c r="M430">
        <v>116.51</v>
      </c>
      <c r="N430">
        <v>50.2</v>
      </c>
    </row>
    <row r="431" spans="1:14">
      <c r="A431" s="1" t="s">
        <v>443</v>
      </c>
      <c r="B431">
        <f>HYPERLINK("https://www.suredividend.com/sure-analysis-XEL/","Xcel Energy, Inc.")</f>
        <v>0</v>
      </c>
      <c r="C431" t="s">
        <v>454</v>
      </c>
      <c r="D431">
        <v>65.5</v>
      </c>
      <c r="E431">
        <v>0.0317557251908397</v>
      </c>
      <c r="F431">
        <v>0.06666666666666665</v>
      </c>
      <c r="G431">
        <v>0.06474093044470108</v>
      </c>
      <c r="H431">
        <v>1.930321719255474</v>
      </c>
      <c r="I431">
        <v>35410.14899</v>
      </c>
      <c r="J431">
        <v>20.39755126129032</v>
      </c>
      <c r="K431">
        <v>0.6089342962951022</v>
      </c>
      <c r="M431">
        <v>76.63</v>
      </c>
      <c r="N431">
        <v>56.5</v>
      </c>
    </row>
    <row r="432" spans="1:14">
      <c r="A432" s="1" t="s">
        <v>444</v>
      </c>
      <c r="B432">
        <f>HYPERLINK("https://www.suredividend.com/sure-analysis-XOM/","Exxon Mobil Corp.")</f>
        <v>0</v>
      </c>
      <c r="C432" t="s">
        <v>459</v>
      </c>
      <c r="D432">
        <v>107.04</v>
      </c>
      <c r="E432">
        <v>0.03400597907324365</v>
      </c>
      <c r="F432">
        <v>0.03409090909090917</v>
      </c>
      <c r="G432">
        <v>0.02104646949148581</v>
      </c>
      <c r="H432">
        <v>3.537328257447028</v>
      </c>
      <c r="I432">
        <v>459247.816496</v>
      </c>
      <c r="J432">
        <v>8.239106862150699</v>
      </c>
      <c r="K432">
        <v>0.2667668369115406</v>
      </c>
      <c r="M432">
        <v>118.72</v>
      </c>
      <c r="N432">
        <v>73.59</v>
      </c>
    </row>
    <row r="433" spans="1:14">
      <c r="A433" s="1" t="s">
        <v>445</v>
      </c>
      <c r="B433">
        <f>HYPERLINK("https://www.suredividend.com/sure-analysis-XYL/","Xylem Inc")</f>
        <v>0</v>
      </c>
      <c r="C433" t="s">
        <v>451</v>
      </c>
      <c r="D433">
        <v>98.52</v>
      </c>
      <c r="E433">
        <v>0.01339829476248478</v>
      </c>
      <c r="F433">
        <v>0.09999999999999987</v>
      </c>
      <c r="G433">
        <v>0.09460878422315755</v>
      </c>
      <c r="H433">
        <v>1.227419254775343</v>
      </c>
      <c r="I433">
        <v>18734.528834</v>
      </c>
      <c r="J433">
        <v>52.77332065892958</v>
      </c>
      <c r="K433">
        <v>0.6262343136608893</v>
      </c>
      <c r="M433">
        <v>118.58</v>
      </c>
      <c r="N433">
        <v>71.65000000000001</v>
      </c>
    </row>
    <row r="434" spans="1:14">
      <c r="A434" s="1" t="s">
        <v>446</v>
      </c>
      <c r="B434">
        <f>HYPERLINK("https://www.suredividend.com/sure-analysis-YUM/","Yum Brands Inc.")</f>
        <v>0</v>
      </c>
      <c r="C434" t="s">
        <v>457</v>
      </c>
      <c r="D434">
        <v>128.55</v>
      </c>
      <c r="E434">
        <v>0.01882535978218592</v>
      </c>
      <c r="F434">
        <v>0.06140350877192957</v>
      </c>
      <c r="G434">
        <v>0.1094061645947464</v>
      </c>
      <c r="H434">
        <v>2.30703060533963</v>
      </c>
      <c r="I434">
        <v>36321.586595</v>
      </c>
      <c r="J434">
        <v>27.41251818506415</v>
      </c>
      <c r="K434">
        <v>0.5048207013872276</v>
      </c>
      <c r="M434">
        <v>133.77</v>
      </c>
      <c r="N434">
        <v>103.49</v>
      </c>
    </row>
    <row r="435" spans="1:14">
      <c r="A435" s="1" t="s">
        <v>447</v>
      </c>
      <c r="B435">
        <f>HYPERLINK("https://www.suredividend.com/sure-analysis-research-database/","Zimmer Biomet Holdings Inc")</f>
        <v>0</v>
      </c>
      <c r="C435" t="s">
        <v>450</v>
      </c>
      <c r="D435">
        <v>127.79</v>
      </c>
      <c r="E435">
        <v>0.007582226396896001</v>
      </c>
      <c r="F435">
        <v>0</v>
      </c>
      <c r="G435">
        <v>0</v>
      </c>
      <c r="H435">
        <v>0.957028615816332</v>
      </c>
      <c r="I435">
        <v>26514.307868</v>
      </c>
      <c r="J435">
        <v>114.5821429037165</v>
      </c>
      <c r="K435">
        <v>0.8700260143784836</v>
      </c>
      <c r="M435">
        <v>134.19</v>
      </c>
      <c r="N435">
        <v>99.98</v>
      </c>
    </row>
    <row r="436" spans="1:14">
      <c r="A436" s="1" t="s">
        <v>448</v>
      </c>
      <c r="B436">
        <f>HYPERLINK("https://www.suredividend.com/sure-analysis-research-database/","Zebra Technologies Corp.")</f>
        <v>0</v>
      </c>
      <c r="C436" t="s">
        <v>452</v>
      </c>
      <c r="D436">
        <v>294.43</v>
      </c>
      <c r="E436">
        <v>0</v>
      </c>
      <c r="F436" t="s">
        <v>461</v>
      </c>
      <c r="G436" t="s">
        <v>461</v>
      </c>
      <c r="H436">
        <v>0</v>
      </c>
      <c r="I436">
        <v>15907.197412</v>
      </c>
      <c r="J436">
        <v>34.35679786587473</v>
      </c>
      <c r="K436">
        <v>0</v>
      </c>
      <c r="M436">
        <v>440.64</v>
      </c>
      <c r="N436">
        <v>224.87</v>
      </c>
    </row>
    <row r="437" spans="1:14">
      <c r="A437" s="1" t="s">
        <v>449</v>
      </c>
      <c r="B437">
        <f>HYPERLINK("https://www.suredividend.com/sure-analysis-ZTS/","Zoetis Inc")</f>
        <v>0</v>
      </c>
      <c r="C437" t="s">
        <v>450</v>
      </c>
      <c r="D437">
        <v>166.24</v>
      </c>
      <c r="E437">
        <v>0.009023099133782483</v>
      </c>
      <c r="F437">
        <v>0.1538461538461537</v>
      </c>
      <c r="G437">
        <v>0.2437472815549153</v>
      </c>
      <c r="H437">
        <v>1.345746537739453</v>
      </c>
      <c r="I437">
        <v>79035.238281</v>
      </c>
      <c r="J437">
        <v>37.3865838604352</v>
      </c>
      <c r="K437">
        <v>0.2997208324586755</v>
      </c>
      <c r="M437">
        <v>199.71</v>
      </c>
      <c r="N437">
        <v>123.86</v>
      </c>
    </row>
  </sheetData>
  <autoFilter ref="A1:O437"/>
  <conditionalFormatting sqref="A1:N1">
    <cfRule type="cellIs" dxfId="8" priority="15" operator="notEqual">
      <formula>-13.345</formula>
    </cfRule>
  </conditionalFormatting>
  <conditionalFormatting sqref="A2:A437">
    <cfRule type="cellIs" dxfId="0" priority="1" operator="notEqual">
      <formula>"None"</formula>
    </cfRule>
  </conditionalFormatting>
  <conditionalFormatting sqref="B2:B437">
    <cfRule type="cellIs" dxfId="1" priority="2" operator="notEqual">
      <formula>"None"</formula>
    </cfRule>
  </conditionalFormatting>
  <conditionalFormatting sqref="C2:C437">
    <cfRule type="cellIs" dxfId="0" priority="3" operator="notEqual">
      <formula>"None"</formula>
    </cfRule>
  </conditionalFormatting>
  <conditionalFormatting sqref="D2:D437">
    <cfRule type="cellIs" dxfId="2" priority="4" operator="notEqual">
      <formula>"None"</formula>
    </cfRule>
  </conditionalFormatting>
  <conditionalFormatting sqref="E2:E437">
    <cfRule type="cellIs" dxfId="3" priority="5" operator="notEqual">
      <formula>"None"</formula>
    </cfRule>
  </conditionalFormatting>
  <conditionalFormatting sqref="F2:F437">
    <cfRule type="cellIs" dxfId="4" priority="6" operator="notEqual">
      <formula>"None"</formula>
    </cfRule>
  </conditionalFormatting>
  <conditionalFormatting sqref="G2:G437">
    <cfRule type="cellIs" dxfId="3" priority="7" operator="notEqual">
      <formula>"None"</formula>
    </cfRule>
  </conditionalFormatting>
  <conditionalFormatting sqref="H2:H437">
    <cfRule type="cellIs" dxfId="2" priority="8" operator="notEqual">
      <formula>"None"</formula>
    </cfRule>
  </conditionalFormatting>
  <conditionalFormatting sqref="I2:I437">
    <cfRule type="cellIs" dxfId="5" priority="9" operator="notEqual">
      <formula>"None"</formula>
    </cfRule>
  </conditionalFormatting>
  <conditionalFormatting sqref="J2:J437">
    <cfRule type="cellIs" dxfId="6" priority="10" operator="notEqual">
      <formula>"None"</formula>
    </cfRule>
  </conditionalFormatting>
  <conditionalFormatting sqref="K2:K437">
    <cfRule type="cellIs" dxfId="3" priority="11" operator="notEqual">
      <formula>"None"</formula>
    </cfRule>
  </conditionalFormatting>
  <conditionalFormatting sqref="L2:L437">
    <cfRule type="cellIs" dxfId="7" priority="12" operator="notEqual">
      <formula>"None"</formula>
    </cfRule>
  </conditionalFormatting>
  <conditionalFormatting sqref="M2:M437">
    <cfRule type="cellIs" dxfId="2" priority="13" operator="notEqual">
      <formula>"None"</formula>
    </cfRule>
  </conditionalFormatting>
  <conditionalFormatting sqref="N2:N437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462</v>
      </c>
      <c r="D1" s="1" t="s">
        <v>463</v>
      </c>
      <c r="E1" s="1" t="s">
        <v>464</v>
      </c>
      <c r="F1" s="1" t="s">
        <v>465</v>
      </c>
      <c r="G1" s="1" t="s">
        <v>466</v>
      </c>
      <c r="H1" s="1" t="s">
        <v>467</v>
      </c>
      <c r="I1" s="1" t="s">
        <v>468</v>
      </c>
    </row>
    <row r="2" spans="1:9">
      <c r="A2" s="1" t="s">
        <v>14</v>
      </c>
      <c r="B2">
        <f>HYPERLINK("https://www.suredividend.com/sure-analysis-research-database/","Agilent Technologies Inc.")</f>
        <v>0</v>
      </c>
      <c r="C2">
        <v>-0.06871562601099901</v>
      </c>
      <c r="D2">
        <v>-0.074037141449141</v>
      </c>
      <c r="E2">
        <v>0.127991316512341</v>
      </c>
      <c r="F2">
        <v>-0.038222519211493</v>
      </c>
      <c r="G2">
        <v>0.08206004143899701</v>
      </c>
      <c r="H2">
        <v>0.266724049010858</v>
      </c>
      <c r="I2">
        <v>1.214018166855103</v>
      </c>
    </row>
    <row r="3" spans="1:9">
      <c r="A3" s="1" t="s">
        <v>15</v>
      </c>
      <c r="B3">
        <f>HYPERLINK("https://www.suredividend.com/sure-analysis-research-database/","American Airlines Group Inc")</f>
        <v>0</v>
      </c>
      <c r="C3">
        <v>-0.038777908343125</v>
      </c>
      <c r="D3">
        <v>0.17108088761632</v>
      </c>
      <c r="E3">
        <v>0.259430331023864</v>
      </c>
      <c r="F3">
        <v>0.286163522012578</v>
      </c>
      <c r="G3">
        <v>0.121315969842357</v>
      </c>
      <c r="H3">
        <v>-0.229755178907721</v>
      </c>
      <c r="I3">
        <v>-0.6849750829925051</v>
      </c>
    </row>
    <row r="4" spans="1:9">
      <c r="A4" s="1" t="s">
        <v>469</v>
      </c>
      <c r="B4">
        <f>HYPERLINK("https://www.suredividend.com/sure-analysis-AAP/","Advance Auto Parts Inc")</f>
        <v>0</v>
      </c>
      <c r="C4">
        <v>-0.08996517053295601</v>
      </c>
      <c r="D4">
        <v>-0.085517457252497</v>
      </c>
      <c r="E4">
        <v>-0.177844549212665</v>
      </c>
      <c r="F4">
        <v>-0.05815139767394401</v>
      </c>
      <c r="G4">
        <v>-0.305654095602927</v>
      </c>
      <c r="H4">
        <v>-0.119793398069113</v>
      </c>
      <c r="I4">
        <v>0.271366167778469</v>
      </c>
    </row>
    <row r="5" spans="1:9">
      <c r="A5" s="1" t="s">
        <v>16</v>
      </c>
      <c r="B5">
        <f>HYPERLINK("https://www.suredividend.com/sure-analysis-AAPL/","Apple Inc")</f>
        <v>0</v>
      </c>
      <c r="C5">
        <v>-0.020967234846643</v>
      </c>
      <c r="D5">
        <v>0.024636597633898</v>
      </c>
      <c r="E5">
        <v>-0.026360407171268</v>
      </c>
      <c r="F5">
        <v>0.164170107737572</v>
      </c>
      <c r="G5">
        <v>-0.06761878245323101</v>
      </c>
      <c r="H5">
        <v>0.273961105511106</v>
      </c>
      <c r="I5">
        <v>2.600822064124816</v>
      </c>
    </row>
    <row r="6" spans="1:9">
      <c r="A6" s="1" t="s">
        <v>17</v>
      </c>
      <c r="B6">
        <f>HYPERLINK("https://www.suredividend.com/sure-analysis-ABBV/","Abbvie Inc")</f>
        <v>0</v>
      </c>
      <c r="C6">
        <v>0.074793388429752</v>
      </c>
      <c r="D6">
        <v>-0.037373187210127</v>
      </c>
      <c r="E6">
        <v>0.167791231314105</v>
      </c>
      <c r="F6">
        <v>-0.025162379238444</v>
      </c>
      <c r="G6">
        <v>0.07598645881452501</v>
      </c>
      <c r="H6">
        <v>0.6048224884929101</v>
      </c>
      <c r="I6">
        <v>0.7150694445970801</v>
      </c>
    </row>
    <row r="7" spans="1:9">
      <c r="A7" s="1" t="s">
        <v>18</v>
      </c>
      <c r="B7">
        <f>HYPERLINK("https://www.suredividend.com/sure-analysis-ABC/","Amerisource Bergen Corp.")</f>
        <v>0</v>
      </c>
      <c r="C7">
        <v>-0.000629766448808</v>
      </c>
      <c r="D7">
        <v>-0.09976858604574999</v>
      </c>
      <c r="E7">
        <v>0.06699702689461101</v>
      </c>
      <c r="F7">
        <v>-0.05478665962876601</v>
      </c>
      <c r="G7">
        <v>0.07656393059247901</v>
      </c>
      <c r="H7">
        <v>0.56189203490076</v>
      </c>
      <c r="I7">
        <v>0.80732931936082</v>
      </c>
    </row>
    <row r="8" spans="1:9">
      <c r="A8" s="1" t="s">
        <v>470</v>
      </c>
      <c r="B8">
        <f>HYPERLINK("https://www.suredividend.com/sure-analysis-research-database/","Abiomed Inc.")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 t="s">
        <v>19</v>
      </c>
      <c r="B9">
        <f>HYPERLINK("https://www.suredividend.com/sure-analysis-ABT/","Abbott Laboratories")</f>
        <v>0</v>
      </c>
      <c r="C9">
        <v>-0.06565882458180501</v>
      </c>
      <c r="D9">
        <v>-0.029300352778923</v>
      </c>
      <c r="E9">
        <v>0.028468237119776</v>
      </c>
      <c r="F9">
        <v>-0.04433044116341901</v>
      </c>
      <c r="G9">
        <v>-0.124383631464848</v>
      </c>
      <c r="H9">
        <v>-0.06992606602322801</v>
      </c>
      <c r="I9">
        <v>0.906721260900439</v>
      </c>
    </row>
    <row r="10" spans="1:9">
      <c r="A10" s="1" t="s">
        <v>20</v>
      </c>
      <c r="B10">
        <f>HYPERLINK("https://www.suredividend.com/sure-analysis-ACN/","Accenture plc")</f>
        <v>0</v>
      </c>
      <c r="C10">
        <v>-0.069220662471475</v>
      </c>
      <c r="D10">
        <v>-0.09938633148136501</v>
      </c>
      <c r="E10">
        <v>-0.044238412100822</v>
      </c>
      <c r="F10">
        <v>0.012970690829454</v>
      </c>
      <c r="G10">
        <v>-0.130124012260986</v>
      </c>
      <c r="H10">
        <v>0.119152769757598</v>
      </c>
      <c r="I10">
        <v>0.8446543397343471</v>
      </c>
    </row>
    <row r="11" spans="1:9">
      <c r="A11" s="1" t="s">
        <v>21</v>
      </c>
      <c r="B11">
        <f>HYPERLINK("https://www.suredividend.com/sure-analysis-research-database/","Adobe Inc")</f>
        <v>0</v>
      </c>
      <c r="C11">
        <v>-0.09303245195476201</v>
      </c>
      <c r="D11">
        <v>0.007349281175885</v>
      </c>
      <c r="E11">
        <v>-0.06546422556636</v>
      </c>
      <c r="F11">
        <v>0.022315989659168</v>
      </c>
      <c r="G11">
        <v>-0.239068409528232</v>
      </c>
      <c r="H11">
        <v>-0.216416890629982</v>
      </c>
      <c r="I11">
        <v>0.63992563992564</v>
      </c>
    </row>
    <row r="12" spans="1:9">
      <c r="A12" s="1" t="s">
        <v>22</v>
      </c>
      <c r="B12">
        <f>HYPERLINK("https://www.suredividend.com/sure-analysis-ADI/","Analog Devices Inc.")</f>
        <v>0</v>
      </c>
      <c r="C12">
        <v>0.04639769517213101</v>
      </c>
      <c r="D12">
        <v>0.109629619038086</v>
      </c>
      <c r="E12">
        <v>0.264548245655725</v>
      </c>
      <c r="F12">
        <v>0.140747056106993</v>
      </c>
      <c r="G12">
        <v>0.209650445118889</v>
      </c>
      <c r="H12">
        <v>0.335532330638366</v>
      </c>
      <c r="I12">
        <v>1.300919503026095</v>
      </c>
    </row>
    <row r="13" spans="1:9">
      <c r="A13" s="1" t="s">
        <v>23</v>
      </c>
      <c r="B13">
        <f>HYPERLINK("https://www.suredividend.com/sure-analysis-ADM/","Archer Daniels Midland Co.")</f>
        <v>0</v>
      </c>
      <c r="C13">
        <v>-0.009435172750057001</v>
      </c>
      <c r="D13">
        <v>-0.111288478215823</v>
      </c>
      <c r="E13">
        <v>-0.06573509106374301</v>
      </c>
      <c r="F13">
        <v>-0.122200022740932</v>
      </c>
      <c r="G13">
        <v>-0.002272151010651</v>
      </c>
      <c r="H13">
        <v>0.522259238532351</v>
      </c>
      <c r="I13">
        <v>1.204274759340838</v>
      </c>
    </row>
    <row r="14" spans="1:9">
      <c r="A14" s="1" t="s">
        <v>24</v>
      </c>
      <c r="B14">
        <f>HYPERLINK("https://www.suredividend.com/sure-analysis-ADP/","Automatic Data Processing Inc.")</f>
        <v>0</v>
      </c>
      <c r="C14">
        <v>-0.002485464471173</v>
      </c>
      <c r="D14">
        <v>-0.16324923631368</v>
      </c>
      <c r="E14">
        <v>-0.04891436589988701</v>
      </c>
      <c r="F14">
        <v>-0.05907225990119701</v>
      </c>
      <c r="G14">
        <v>0.09866688566678401</v>
      </c>
      <c r="H14">
        <v>0.36470753968278</v>
      </c>
      <c r="I14">
        <v>1.193089450727452</v>
      </c>
    </row>
    <row r="15" spans="1:9">
      <c r="A15" s="1" t="s">
        <v>25</v>
      </c>
      <c r="B15">
        <f>HYPERLINK("https://www.suredividend.com/sure-analysis-research-database/","Autodesk Inc.")</f>
        <v>0</v>
      </c>
      <c r="C15">
        <v>-0.07243136904229601</v>
      </c>
      <c r="D15">
        <v>0.03157476008154701</v>
      </c>
      <c r="E15">
        <v>0.04413911117821701</v>
      </c>
      <c r="F15">
        <v>0.11018355006154</v>
      </c>
      <c r="G15">
        <v>-0.0009631127805060001</v>
      </c>
      <c r="H15">
        <v>-0.21842977697408</v>
      </c>
      <c r="I15">
        <v>0.7841417268661851</v>
      </c>
    </row>
    <row r="16" spans="1:9">
      <c r="A16" s="1" t="s">
        <v>26</v>
      </c>
      <c r="B16">
        <f>HYPERLINK("https://www.suredividend.com/sure-analysis-AEE/","Ameren Corp.")</f>
        <v>0</v>
      </c>
      <c r="C16">
        <v>-0.018405627198124</v>
      </c>
      <c r="D16">
        <v>-0.042480562000898</v>
      </c>
      <c r="E16">
        <v>-0.09286512909852</v>
      </c>
      <c r="F16">
        <v>-0.05836707152496601</v>
      </c>
      <c r="G16">
        <v>-0.046023960487412</v>
      </c>
      <c r="H16">
        <v>0.224339393372219</v>
      </c>
      <c r="I16">
        <v>0.7391466902623981</v>
      </c>
    </row>
    <row r="17" spans="1:9">
      <c r="A17" s="1" t="s">
        <v>27</v>
      </c>
      <c r="B17">
        <f>HYPERLINK("https://www.suredividend.com/sure-analysis-AEP/","American Electric Power Company Inc.")</f>
        <v>0</v>
      </c>
      <c r="C17">
        <v>-0.023822072424973</v>
      </c>
      <c r="D17">
        <v>-0.05471290711060801</v>
      </c>
      <c r="E17">
        <v>-0.10218864821395</v>
      </c>
      <c r="F17">
        <v>-0.05301983460532701</v>
      </c>
      <c r="G17">
        <v>-0.019000060562348</v>
      </c>
      <c r="H17">
        <v>0.250745828624376</v>
      </c>
      <c r="I17">
        <v>0.6185968769019741</v>
      </c>
    </row>
    <row r="18" spans="1:9">
      <c r="A18" s="1" t="s">
        <v>28</v>
      </c>
      <c r="B18">
        <f>HYPERLINK("https://www.suredividend.com/sure-analysis-AES/","AES Corp.")</f>
        <v>0</v>
      </c>
      <c r="C18">
        <v>-0.043445121951219</v>
      </c>
      <c r="D18">
        <v>-0.118995303648272</v>
      </c>
      <c r="E18">
        <v>-0.028291806680396</v>
      </c>
      <c r="F18">
        <v>-0.121751179162759</v>
      </c>
      <c r="G18">
        <v>0.181699198704368</v>
      </c>
      <c r="H18">
        <v>0.021317458831954</v>
      </c>
      <c r="I18">
        <v>1.694867940734378</v>
      </c>
    </row>
    <row r="19" spans="1:9">
      <c r="A19" s="1" t="s">
        <v>29</v>
      </c>
      <c r="B19">
        <f>HYPERLINK("https://www.suredividend.com/sure-analysis-AFL/","Aflac Inc.")</f>
        <v>0</v>
      </c>
      <c r="C19">
        <v>-0.007822602624544001</v>
      </c>
      <c r="D19">
        <v>-0.048282556064973</v>
      </c>
      <c r="E19">
        <v>0.165831131643184</v>
      </c>
      <c r="F19">
        <v>-0.042991281488369</v>
      </c>
      <c r="G19">
        <v>0.168023729108605</v>
      </c>
      <c r="H19">
        <v>0.485036800444382</v>
      </c>
      <c r="I19">
        <v>0.734550864360859</v>
      </c>
    </row>
    <row r="20" spans="1:9">
      <c r="A20" s="1" t="s">
        <v>30</v>
      </c>
      <c r="B20">
        <f>HYPERLINK("https://www.suredividend.com/sure-analysis-research-database/","American International Group Inc")</f>
        <v>0</v>
      </c>
      <c r="C20">
        <v>0.024680851063829</v>
      </c>
      <c r="D20">
        <v>-0.035783329943091</v>
      </c>
      <c r="E20">
        <v>0.161303514968662</v>
      </c>
      <c r="F20">
        <v>-0.048070841239721</v>
      </c>
      <c r="G20">
        <v>0.07128112409777401</v>
      </c>
      <c r="H20">
        <v>0.3639226596944991</v>
      </c>
      <c r="I20">
        <v>0.226219089909153</v>
      </c>
    </row>
    <row r="21" spans="1:9">
      <c r="A21" s="1" t="s">
        <v>471</v>
      </c>
      <c r="B21">
        <f>HYPERLINK("https://www.suredividend.com/sure-analysis-research-database/","Apartment Investment &amp; Management Co.")</f>
        <v>0</v>
      </c>
      <c r="C21">
        <v>0.010376134889753</v>
      </c>
      <c r="D21">
        <v>-0.05575757575757501</v>
      </c>
      <c r="E21">
        <v>-0.108797620409564</v>
      </c>
      <c r="F21">
        <v>0.094101123595505</v>
      </c>
      <c r="G21">
        <v>0.066524280883339</v>
      </c>
      <c r="H21">
        <v>0.63665777254869</v>
      </c>
      <c r="I21">
        <v>0.755255627408125</v>
      </c>
    </row>
    <row r="22" spans="1:9">
      <c r="A22" s="1" t="s">
        <v>472</v>
      </c>
      <c r="B22">
        <f>HYPERLINK("https://www.suredividend.com/sure-analysis-AIZ/","Assurant Inc")</f>
        <v>0</v>
      </c>
      <c r="C22">
        <v>-0.048610839395517</v>
      </c>
      <c r="D22">
        <v>-0.010475158183888</v>
      </c>
      <c r="E22">
        <v>-0.199910904346197</v>
      </c>
      <c r="F22">
        <v>0.016585033269763</v>
      </c>
      <c r="G22">
        <v>-0.243510699082508</v>
      </c>
      <c r="H22">
        <v>0.01278557685684</v>
      </c>
      <c r="I22">
        <v>0.584141545377436</v>
      </c>
    </row>
    <row r="23" spans="1:9">
      <c r="A23" s="1" t="s">
        <v>31</v>
      </c>
      <c r="B23">
        <f>HYPERLINK("https://www.suredividend.com/sure-analysis-AJG/","Arthur J. Gallagher &amp; Co.")</f>
        <v>0</v>
      </c>
      <c r="C23">
        <v>-0.020180558802384</v>
      </c>
      <c r="D23">
        <v>-0.058008028085842</v>
      </c>
      <c r="E23">
        <v>0.05320633717869001</v>
      </c>
      <c r="F23">
        <v>0.005543976789983001</v>
      </c>
      <c r="G23">
        <v>0.196066136389377</v>
      </c>
      <c r="H23">
        <v>0.606466318002655</v>
      </c>
      <c r="I23">
        <v>1.972267952243706</v>
      </c>
    </row>
    <row r="24" spans="1:9">
      <c r="A24" s="1" t="s">
        <v>32</v>
      </c>
      <c r="B24">
        <f>HYPERLINK("https://www.suredividend.com/sure-analysis-research-database/","Akamai Technologies Inc")</f>
        <v>0</v>
      </c>
      <c r="C24">
        <v>-0.1531400425389</v>
      </c>
      <c r="D24">
        <v>-0.193410811387141</v>
      </c>
      <c r="E24">
        <v>-0.142873328801269</v>
      </c>
      <c r="F24">
        <v>-0.102609727164887</v>
      </c>
      <c r="G24">
        <v>-0.327854286983562</v>
      </c>
      <c r="H24">
        <v>-0.19038955479452</v>
      </c>
      <c r="I24">
        <v>0.089586634019876</v>
      </c>
    </row>
    <row r="25" spans="1:9">
      <c r="A25" s="1" t="s">
        <v>33</v>
      </c>
      <c r="B25">
        <f>HYPERLINK("https://www.suredividend.com/sure-analysis-ALB/","Albemarle Corp.")</f>
        <v>0</v>
      </c>
      <c r="C25">
        <v>-0.09699543919507</v>
      </c>
      <c r="D25">
        <v>-0.08616868726372001</v>
      </c>
      <c r="E25">
        <v>0.000918064570155</v>
      </c>
      <c r="F25">
        <v>0.196025085308493</v>
      </c>
      <c r="G25">
        <v>0.4578858884043071</v>
      </c>
      <c r="H25">
        <v>0.8598444405085691</v>
      </c>
      <c r="I25">
        <v>1.914842806169752</v>
      </c>
    </row>
    <row r="26" spans="1:9">
      <c r="A26" s="1" t="s">
        <v>34</v>
      </c>
      <c r="B26">
        <f>HYPERLINK("https://www.suredividend.com/sure-analysis-research-database/","Align Technology, Inc.")</f>
        <v>0</v>
      </c>
      <c r="C26">
        <v>-0.024890702419119</v>
      </c>
      <c r="D26">
        <v>0.68620533239252</v>
      </c>
      <c r="E26">
        <v>0.368287595599362</v>
      </c>
      <c r="F26">
        <v>0.586344238975818</v>
      </c>
      <c r="G26">
        <v>-0.279710644161212</v>
      </c>
      <c r="H26">
        <v>-0.357171678355269</v>
      </c>
      <c r="I26">
        <v>0.3186709234953291</v>
      </c>
    </row>
    <row r="27" spans="1:9">
      <c r="A27" s="1" t="s">
        <v>473</v>
      </c>
      <c r="B27">
        <f>HYPERLINK("https://www.suredividend.com/sure-analysis-research-database/","Alaska Air Group Inc.")</f>
        <v>0</v>
      </c>
      <c r="C27">
        <v>-0.09407144193005401</v>
      </c>
      <c r="D27">
        <v>0.03725910064239801</v>
      </c>
      <c r="E27">
        <v>0.110499770747363</v>
      </c>
      <c r="F27">
        <v>0.128085700978108</v>
      </c>
      <c r="G27">
        <v>-0.014245014245014</v>
      </c>
      <c r="H27">
        <v>-0.250386877127824</v>
      </c>
      <c r="I27">
        <v>-0.202524789395094</v>
      </c>
    </row>
    <row r="28" spans="1:9">
      <c r="A28" s="1" t="s">
        <v>35</v>
      </c>
      <c r="B28">
        <f>HYPERLINK("https://www.suredividend.com/sure-analysis-ALL/","Allstate Corp (The)")</f>
        <v>0</v>
      </c>
      <c r="C28">
        <v>-0.017722846510857</v>
      </c>
      <c r="D28">
        <v>-0.014119185934674</v>
      </c>
      <c r="E28">
        <v>0.06876889301133701</v>
      </c>
      <c r="F28">
        <v>-0.048654283505923</v>
      </c>
      <c r="G28">
        <v>0.031435726653834</v>
      </c>
      <c r="H28">
        <v>0.234685676952341</v>
      </c>
      <c r="I28">
        <v>0.5620637821376361</v>
      </c>
    </row>
    <row r="29" spans="1:9">
      <c r="A29" s="1" t="s">
        <v>36</v>
      </c>
      <c r="B29">
        <f>HYPERLINK("https://www.suredividend.com/sure-analysis-research-database/","Allegion plc")</f>
        <v>0</v>
      </c>
      <c r="C29">
        <v>-0.06646058732612001</v>
      </c>
      <c r="D29">
        <v>0.005852279251097</v>
      </c>
      <c r="E29">
        <v>0.219188298512029</v>
      </c>
      <c r="F29">
        <v>0.09025270758122701</v>
      </c>
      <c r="G29">
        <v>-0.00600244255238</v>
      </c>
      <c r="H29">
        <v>0.06769180958689701</v>
      </c>
      <c r="I29">
        <v>0.4807283387353161</v>
      </c>
    </row>
    <row r="30" spans="1:9">
      <c r="A30" s="1" t="s">
        <v>474</v>
      </c>
      <c r="B30">
        <f>HYPERLINK("https://www.suredividend.com/sure-analysis-research-database/","Alexion Pharmaceuticals Inc.")</f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1" t="s">
        <v>37</v>
      </c>
      <c r="B31">
        <f>HYPERLINK("https://www.suredividend.com/sure-analysis-AMAT/","Applied Materials Inc.")</f>
        <v>0</v>
      </c>
      <c r="C31">
        <v>-0.006179631193729</v>
      </c>
      <c r="D31">
        <v>0.11740764432321</v>
      </c>
      <c r="E31">
        <v>0.310049919773758</v>
      </c>
      <c r="F31">
        <v>0.224466688968374</v>
      </c>
      <c r="G31">
        <v>-0.044634582364931</v>
      </c>
      <c r="H31">
        <v>0.115598973303836</v>
      </c>
      <c r="I31">
        <v>1.175519191239402</v>
      </c>
    </row>
    <row r="32" spans="1:9">
      <c r="A32" s="1" t="s">
        <v>38</v>
      </c>
      <c r="B32">
        <f>HYPERLINK("https://www.suredividend.com/sure-analysis-AMCR/","Amcor Plc")</f>
        <v>0</v>
      </c>
      <c r="C32">
        <v>-0.05280396583012401</v>
      </c>
      <c r="D32">
        <v>-0.104557551006745</v>
      </c>
      <c r="E32">
        <v>-0.06272720105815401</v>
      </c>
      <c r="F32">
        <v>-0.091773333786032</v>
      </c>
      <c r="G32">
        <v>-0.040238236191091</v>
      </c>
      <c r="H32">
        <v>-0.023392933745881</v>
      </c>
      <c r="I32">
        <v>0.09888981318873101</v>
      </c>
    </row>
    <row r="33" spans="1:9">
      <c r="A33" s="1" t="s">
        <v>39</v>
      </c>
      <c r="B33">
        <f>HYPERLINK("https://www.suredividend.com/sure-analysis-research-database/","Advanced Micro Devices Inc.")</f>
        <v>0</v>
      </c>
      <c r="C33">
        <v>-0.053083981879428</v>
      </c>
      <c r="D33">
        <v>0.08722325953587601</v>
      </c>
      <c r="E33">
        <v>0.015952143569292</v>
      </c>
      <c r="F33">
        <v>0.258607379959858</v>
      </c>
      <c r="G33">
        <v>-0.248039848722442</v>
      </c>
      <c r="H33">
        <v>0.048488745980707</v>
      </c>
      <c r="I33">
        <v>5.902624894157493</v>
      </c>
    </row>
    <row r="34" spans="1:9">
      <c r="A34" s="1" t="s">
        <v>40</v>
      </c>
      <c r="B34">
        <f>HYPERLINK("https://www.suredividend.com/sure-analysis-research-database/","Ametek Inc")</f>
        <v>0</v>
      </c>
      <c r="C34">
        <v>-0.016737259188413</v>
      </c>
      <c r="D34">
        <v>-0.001639771819231</v>
      </c>
      <c r="E34">
        <v>0.225525465436571</v>
      </c>
      <c r="F34">
        <v>0.030131691955339</v>
      </c>
      <c r="G34">
        <v>0.106287537912619</v>
      </c>
      <c r="H34">
        <v>0.211026372827506</v>
      </c>
      <c r="I34">
        <v>0.9949105041539261</v>
      </c>
    </row>
    <row r="35" spans="1:9">
      <c r="A35" s="1" t="s">
        <v>41</v>
      </c>
      <c r="B35">
        <f>HYPERLINK("https://www.suredividend.com/sure-analysis-AMGN/","AMGEN Inc.")</f>
        <v>0</v>
      </c>
      <c r="C35">
        <v>-0.033810262901046</v>
      </c>
      <c r="D35">
        <v>-0.170324315882383</v>
      </c>
      <c r="E35">
        <v>-0.015916495604921</v>
      </c>
      <c r="F35">
        <v>-0.098078274099547</v>
      </c>
      <c r="G35">
        <v>0.04025315883696801</v>
      </c>
      <c r="H35">
        <v>0.126867494568662</v>
      </c>
      <c r="I35">
        <v>0.483646151561774</v>
      </c>
    </row>
    <row r="36" spans="1:9">
      <c r="A36" s="1" t="s">
        <v>42</v>
      </c>
      <c r="B36">
        <f>HYPERLINK("https://www.suredividend.com/sure-analysis-AMP/","Ameriprise Financial Inc")</f>
        <v>0</v>
      </c>
      <c r="C36">
        <v>-0.022431946038628</v>
      </c>
      <c r="D36">
        <v>0.04838822430213301</v>
      </c>
      <c r="E36">
        <v>0.29486539864233</v>
      </c>
      <c r="F36">
        <v>0.11172169731505</v>
      </c>
      <c r="G36">
        <v>0.246230291565066</v>
      </c>
      <c r="H36">
        <v>0.640627712638774</v>
      </c>
      <c r="I36">
        <v>1.555237670513388</v>
      </c>
    </row>
    <row r="37" spans="1:9">
      <c r="A37" s="1" t="s">
        <v>43</v>
      </c>
      <c r="B37">
        <f>HYPERLINK("https://www.suredividend.com/sure-analysis-AMT/","American Tower Corp.")</f>
        <v>0</v>
      </c>
      <c r="C37">
        <v>-0.088084301540124</v>
      </c>
      <c r="D37">
        <v>-0.07690203765327901</v>
      </c>
      <c r="E37">
        <v>-0.186858345905239</v>
      </c>
      <c r="F37">
        <v>-0.044180118946474</v>
      </c>
      <c r="G37">
        <v>-0.134258358682106</v>
      </c>
      <c r="H37">
        <v>0.045592479169474</v>
      </c>
      <c r="I37">
        <v>0.663971443784881</v>
      </c>
    </row>
    <row r="38" spans="1:9">
      <c r="A38" s="1" t="s">
        <v>44</v>
      </c>
      <c r="B38">
        <f>HYPERLINK("https://www.suredividend.com/sure-analysis-research-database/","Amazon.com Inc.")</f>
        <v>0</v>
      </c>
      <c r="C38">
        <v>-0.08211625882580501</v>
      </c>
      <c r="D38">
        <v>0.008180176351853001</v>
      </c>
      <c r="E38">
        <v>-0.255744647478629</v>
      </c>
      <c r="F38">
        <v>0.129761904761904</v>
      </c>
      <c r="G38">
        <v>-0.348397772605241</v>
      </c>
      <c r="H38">
        <v>-0.362567462729675</v>
      </c>
      <c r="I38">
        <v>0.265122479586735</v>
      </c>
    </row>
    <row r="39" spans="1:9">
      <c r="A39" s="1" t="s">
        <v>45</v>
      </c>
      <c r="B39">
        <f>HYPERLINK("https://www.suredividend.com/sure-analysis-research-database/","Arista Networks Inc")</f>
        <v>0</v>
      </c>
      <c r="C39">
        <v>0.06608063049408901</v>
      </c>
      <c r="D39">
        <v>0.041765402843602</v>
      </c>
      <c r="E39">
        <v>0.199317988064791</v>
      </c>
      <c r="F39">
        <v>0.159291306139266</v>
      </c>
      <c r="G39">
        <v>0.186672290172922</v>
      </c>
      <c r="H39">
        <v>1.074467300744673</v>
      </c>
      <c r="I39">
        <v>1.072633517495396</v>
      </c>
    </row>
    <row r="40" spans="1:9">
      <c r="A40" s="1" t="s">
        <v>46</v>
      </c>
      <c r="B40">
        <f>HYPERLINK("https://www.suredividend.com/sure-analysis-research-database/","Ansys Inc.")</f>
        <v>0</v>
      </c>
      <c r="C40">
        <v>0.127675035424917</v>
      </c>
      <c r="D40">
        <v>0.20888836955675</v>
      </c>
      <c r="E40">
        <v>0.268732371336303</v>
      </c>
      <c r="F40">
        <v>0.28469721428867</v>
      </c>
      <c r="G40">
        <v>-0.003211613193306</v>
      </c>
      <c r="H40">
        <v>0.013750979879801</v>
      </c>
      <c r="I40">
        <v>0.9084424767878001</v>
      </c>
    </row>
    <row r="41" spans="1:9">
      <c r="A41" s="1" t="s">
        <v>47</v>
      </c>
      <c r="B41">
        <f>HYPERLINK("https://www.suredividend.com/sure-analysis-ANTM/","Anthem Inc")</f>
        <v>0</v>
      </c>
      <c r="C41">
        <v>-0.07055450096761801</v>
      </c>
      <c r="D41">
        <v>0.006370677989535001</v>
      </c>
      <c r="E41">
        <v>0.055850828743787</v>
      </c>
      <c r="F41">
        <v>0.046693895717118</v>
      </c>
      <c r="G41">
        <v>0.281523573203628</v>
      </c>
      <c r="H41">
        <v>0.933428179140786</v>
      </c>
      <c r="I41">
        <v>1.73652872878833</v>
      </c>
    </row>
    <row r="42" spans="1:9">
      <c r="A42" s="1" t="s">
        <v>48</v>
      </c>
      <c r="B42">
        <f>HYPERLINK("https://www.suredividend.com/sure-analysis-AON/","Aon plc.")</f>
        <v>0</v>
      </c>
      <c r="C42">
        <v>-0.030512689707945</v>
      </c>
      <c r="D42">
        <v>-0.007082703378733001</v>
      </c>
      <c r="E42">
        <v>0.09649415403855001</v>
      </c>
      <c r="F42">
        <v>0.014883647346373</v>
      </c>
      <c r="G42">
        <v>0.04283558543109901</v>
      </c>
      <c r="H42">
        <v>0.365437068291162</v>
      </c>
      <c r="I42">
        <v>0.9811688942084341</v>
      </c>
    </row>
    <row r="43" spans="1:9">
      <c r="A43" s="1" t="s">
        <v>49</v>
      </c>
      <c r="B43">
        <f>HYPERLINK("https://www.suredividend.com/sure-analysis-AOS/","A.O. Smith Corp.")</f>
        <v>0</v>
      </c>
      <c r="C43">
        <v>-0.013323678493845</v>
      </c>
      <c r="D43">
        <v>0.133989903445245</v>
      </c>
      <c r="E43">
        <v>0.22389148269971</v>
      </c>
      <c r="F43">
        <v>0.196197031015441</v>
      </c>
      <c r="G43">
        <v>0.01619831752282</v>
      </c>
      <c r="H43">
        <v>0.156617915439397</v>
      </c>
      <c r="I43">
        <v>0.205514258970579</v>
      </c>
    </row>
    <row r="44" spans="1:9">
      <c r="A44" s="1" t="s">
        <v>50</v>
      </c>
      <c r="B44">
        <f>HYPERLINK("https://www.suredividend.com/sure-analysis-APA/","APA Corporation")</f>
        <v>0</v>
      </c>
      <c r="C44">
        <v>-0.021170313986679</v>
      </c>
      <c r="D44">
        <v>-0.121649889432477</v>
      </c>
      <c r="E44">
        <v>0.072871855038456</v>
      </c>
      <c r="F44">
        <v>-0.11355920519758</v>
      </c>
      <c r="G44">
        <v>0.061163230887457</v>
      </c>
      <c r="H44">
        <v>1.015033175819601</v>
      </c>
      <c r="I44">
        <v>1.167968852899493</v>
      </c>
    </row>
    <row r="45" spans="1:9">
      <c r="A45" s="1" t="s">
        <v>51</v>
      </c>
      <c r="B45">
        <f>HYPERLINK("https://www.suredividend.com/sure-analysis-APD/","Air Products &amp; Chemicals Inc.")</f>
        <v>0</v>
      </c>
      <c r="C45">
        <v>0.034243211002736</v>
      </c>
      <c r="D45">
        <v>-0.06945881633949201</v>
      </c>
      <c r="E45">
        <v>0.210430446444263</v>
      </c>
      <c r="F45">
        <v>-0.043729319405696</v>
      </c>
      <c r="G45">
        <v>0.323573189628193</v>
      </c>
      <c r="H45">
        <v>0.204393966508384</v>
      </c>
      <c r="I45">
        <v>1.074580164598279</v>
      </c>
    </row>
    <row r="46" spans="1:9">
      <c r="A46" s="1" t="s">
        <v>52</v>
      </c>
      <c r="B46">
        <f>HYPERLINK("https://www.suredividend.com/sure-analysis-APH/","Amphenol Corp.")</f>
        <v>0</v>
      </c>
      <c r="C46">
        <v>-0.030139671649105</v>
      </c>
      <c r="D46">
        <v>-0.015447376930922</v>
      </c>
      <c r="E46">
        <v>0.09663128058993001</v>
      </c>
      <c r="F46">
        <v>0.03966377725242901</v>
      </c>
      <c r="G46">
        <v>0.05021140877714501</v>
      </c>
      <c r="H46">
        <v>0.348228108750708</v>
      </c>
      <c r="I46">
        <v>0.8607362554445811</v>
      </c>
    </row>
    <row r="47" spans="1:9">
      <c r="A47" s="1" t="s">
        <v>53</v>
      </c>
      <c r="B47">
        <f>HYPERLINK("https://www.suredividend.com/sure-analysis-research-database/","Aptiv PLC")</f>
        <v>0</v>
      </c>
      <c r="C47">
        <v>0.030847662663095</v>
      </c>
      <c r="D47">
        <v>0.150101224332401</v>
      </c>
      <c r="E47">
        <v>0.306538166684919</v>
      </c>
      <c r="F47">
        <v>0.281005046708901</v>
      </c>
      <c r="G47">
        <v>0.126853688485878</v>
      </c>
      <c r="H47">
        <v>-0.185109289617486</v>
      </c>
      <c r="I47">
        <v>0.374419212836822</v>
      </c>
    </row>
    <row r="48" spans="1:9">
      <c r="A48" s="1" t="s">
        <v>54</v>
      </c>
      <c r="B48">
        <f>HYPERLINK("https://www.suredividend.com/sure-analysis-ARE/","Alexandria Real Estate Equities Inc.")</f>
        <v>0</v>
      </c>
      <c r="C48">
        <v>-0.142797544549734</v>
      </c>
      <c r="D48">
        <v>-0.05391618709082</v>
      </c>
      <c r="E48">
        <v>-0.027356815264743</v>
      </c>
      <c r="F48">
        <v>-0.012631289901832</v>
      </c>
      <c r="G48">
        <v>-0.238046500194951</v>
      </c>
      <c r="H48">
        <v>-0.038796326802565</v>
      </c>
      <c r="I48">
        <v>0.338262222354552</v>
      </c>
    </row>
    <row r="49" spans="1:9">
      <c r="A49" s="1" t="s">
        <v>55</v>
      </c>
      <c r="B49">
        <f>HYPERLINK("https://www.suredividend.com/sure-analysis-ATO/","Atmos Energy Corp.")</f>
        <v>0</v>
      </c>
      <c r="C49">
        <v>-0.031930077064308</v>
      </c>
      <c r="D49">
        <v>-0.026530561137386</v>
      </c>
      <c r="E49">
        <v>-0.009619160658168001</v>
      </c>
      <c r="F49">
        <v>0.012296988342376</v>
      </c>
      <c r="G49">
        <v>-0.011569537788416</v>
      </c>
      <c r="H49">
        <v>0.316394855398585</v>
      </c>
      <c r="I49">
        <v>0.56064618754058</v>
      </c>
    </row>
    <row r="50" spans="1:9">
      <c r="A50" s="1" t="s">
        <v>56</v>
      </c>
      <c r="B50">
        <f>HYPERLINK("https://www.suredividend.com/sure-analysis-research-database/","Activision Blizzard Inc")</f>
        <v>0</v>
      </c>
      <c r="C50">
        <v>0.05515683147262</v>
      </c>
      <c r="D50">
        <v>0.047914466737064</v>
      </c>
      <c r="E50">
        <v>0.023990713272281</v>
      </c>
      <c r="F50">
        <v>0.037099934683213</v>
      </c>
      <c r="G50">
        <v>-0.019256616527978</v>
      </c>
      <c r="H50">
        <v>-0.123349447773093</v>
      </c>
      <c r="I50">
        <v>0.10586432650787</v>
      </c>
    </row>
    <row r="51" spans="1:9">
      <c r="A51" s="1" t="s">
        <v>57</v>
      </c>
      <c r="B51">
        <f>HYPERLINK("https://www.suredividend.com/sure-analysis-AVB/","Avalonbay Communities Inc.")</f>
        <v>0</v>
      </c>
      <c r="C51">
        <v>-0.04350220264317101</v>
      </c>
      <c r="D51">
        <v>0.034384809013975</v>
      </c>
      <c r="E51">
        <v>-0.164703455300093</v>
      </c>
      <c r="F51">
        <v>0.075408618127785</v>
      </c>
      <c r="G51">
        <v>-0.251989204873568</v>
      </c>
      <c r="H51">
        <v>0.005212987097162</v>
      </c>
      <c r="I51">
        <v>0.28801478881229</v>
      </c>
    </row>
    <row r="52" spans="1:9">
      <c r="A52" s="1" t="s">
        <v>58</v>
      </c>
      <c r="B52">
        <f>HYPERLINK("https://www.suredividend.com/sure-analysis-AVGO/","Broadcom Inc")</f>
        <v>0</v>
      </c>
      <c r="C52">
        <v>0.05879990629497001</v>
      </c>
      <c r="D52">
        <v>0.179807019997203</v>
      </c>
      <c r="E52">
        <v>0.286213372464228</v>
      </c>
      <c r="F52">
        <v>0.131686727594656</v>
      </c>
      <c r="G52">
        <v>0.08683106197389701</v>
      </c>
      <c r="H52">
        <v>0.503583950460335</v>
      </c>
      <c r="I52">
        <v>1.980238189211872</v>
      </c>
    </row>
    <row r="53" spans="1:9">
      <c r="A53" s="1" t="s">
        <v>59</v>
      </c>
      <c r="B53">
        <f>HYPERLINK("https://www.suredividend.com/sure-analysis-AVY/","Avery Dennison Corp.")</f>
        <v>0</v>
      </c>
      <c r="C53">
        <v>0.01594433558249</v>
      </c>
      <c r="D53">
        <v>-0.04042836056821601</v>
      </c>
      <c r="E53">
        <v>-0.003593650131093</v>
      </c>
      <c r="F53">
        <v>0.017067065512145</v>
      </c>
      <c r="G53">
        <v>0.102771334802652</v>
      </c>
      <c r="H53">
        <v>0.08413279724948501</v>
      </c>
      <c r="I53">
        <v>0.7070293331942851</v>
      </c>
    </row>
    <row r="54" spans="1:9">
      <c r="A54" s="1" t="s">
        <v>60</v>
      </c>
      <c r="B54">
        <f>HYPERLINK("https://www.suredividend.com/sure-analysis-AWK/","American Water Works Co. Inc.")</f>
        <v>0</v>
      </c>
      <c r="C54">
        <v>-0.104228783944086</v>
      </c>
      <c r="D54">
        <v>-0.08750661345421501</v>
      </c>
      <c r="E54">
        <v>-0.048402071581689</v>
      </c>
      <c r="F54">
        <v>-0.07960403867376001</v>
      </c>
      <c r="G54">
        <v>-0.117167149265106</v>
      </c>
      <c r="H54">
        <v>0.069067745376683</v>
      </c>
      <c r="I54">
        <v>0.92789905923494</v>
      </c>
    </row>
    <row r="55" spans="1:9">
      <c r="A55" s="1" t="s">
        <v>61</v>
      </c>
      <c r="B55">
        <f>HYPERLINK("https://www.suredividend.com/sure-analysis-AXP/","American Express Co.")</f>
        <v>0</v>
      </c>
      <c r="C55">
        <v>-0.023296089385474</v>
      </c>
      <c r="D55">
        <v>0.138308040492852</v>
      </c>
      <c r="E55">
        <v>0.147119014171837</v>
      </c>
      <c r="F55">
        <v>0.187384372139017</v>
      </c>
      <c r="G55">
        <v>0.107569776642523</v>
      </c>
      <c r="H55">
        <v>0.192219985488508</v>
      </c>
      <c r="I55">
        <v>0.936492183363646</v>
      </c>
    </row>
    <row r="56" spans="1:9">
      <c r="A56" s="1" t="s">
        <v>62</v>
      </c>
      <c r="B56">
        <f>HYPERLINK("https://www.suredividend.com/sure-analysis-research-database/","Autozone Inc.")</f>
        <v>0</v>
      </c>
      <c r="C56">
        <v>0.041204747947684</v>
      </c>
      <c r="D56">
        <v>-0.028873187405457</v>
      </c>
      <c r="E56">
        <v>0.177501791709101</v>
      </c>
      <c r="F56">
        <v>0.012634925269039</v>
      </c>
      <c r="G56">
        <v>0.320393790711445</v>
      </c>
      <c r="H56">
        <v>1.137328403683544</v>
      </c>
      <c r="I56">
        <v>2.767522553782096</v>
      </c>
    </row>
    <row r="57" spans="1:9">
      <c r="A57" s="1" t="s">
        <v>63</v>
      </c>
      <c r="B57">
        <f>HYPERLINK("https://www.suredividend.com/sure-analysis-research-database/","Boeing Co.")</f>
        <v>0</v>
      </c>
      <c r="C57">
        <v>0.044172612979952</v>
      </c>
      <c r="D57">
        <v>0.176300103898944</v>
      </c>
      <c r="E57">
        <v>0.41687524700303</v>
      </c>
      <c r="F57">
        <v>0.129245629691847</v>
      </c>
      <c r="G57">
        <v>0.189504534395045</v>
      </c>
      <c r="H57">
        <v>-0.042721730230074</v>
      </c>
      <c r="I57">
        <v>-0.348328256427423</v>
      </c>
    </row>
    <row r="58" spans="1:9">
      <c r="A58" s="1" t="s">
        <v>64</v>
      </c>
      <c r="B58">
        <f>HYPERLINK("https://www.suredividend.com/sure-analysis-BAC/","Bank Of America Corp.")</f>
        <v>0</v>
      </c>
      <c r="C58">
        <v>-0.139471059290275</v>
      </c>
      <c r="D58">
        <v>-0.05070668577272201</v>
      </c>
      <c r="E58">
        <v>-0.115118607137579</v>
      </c>
      <c r="F58">
        <v>-0.071918703238863</v>
      </c>
      <c r="G58">
        <v>-0.237310357744896</v>
      </c>
      <c r="H58">
        <v>-0.121671757174164</v>
      </c>
      <c r="I58">
        <v>0.038171675658035</v>
      </c>
    </row>
    <row r="59" spans="1:9">
      <c r="A59" s="1" t="s">
        <v>65</v>
      </c>
      <c r="B59">
        <f>HYPERLINK("https://www.suredividend.com/sure-analysis-BAX/","Baxter International Inc.")</f>
        <v>0</v>
      </c>
      <c r="C59">
        <v>-0.138293718001549</v>
      </c>
      <c r="D59">
        <v>-0.244186156533323</v>
      </c>
      <c r="E59">
        <v>-0.280699921838699</v>
      </c>
      <c r="F59">
        <v>-0.210821662293319</v>
      </c>
      <c r="G59">
        <v>-0.525740510951072</v>
      </c>
      <c r="H59">
        <v>-0.4586043813192751</v>
      </c>
      <c r="I59">
        <v>-0.354806401535283</v>
      </c>
    </row>
    <row r="60" spans="1:9">
      <c r="A60" s="1" t="s">
        <v>66</v>
      </c>
      <c r="B60">
        <f>HYPERLINK("https://www.suredividend.com/sure-analysis-BBY/","Best Buy Co. Inc.")</f>
        <v>0</v>
      </c>
      <c r="C60">
        <v>-0.07816651904340101</v>
      </c>
      <c r="D60">
        <v>-0.028114184326794</v>
      </c>
      <c r="E60">
        <v>0.197604790419161</v>
      </c>
      <c r="F60">
        <v>0.038025183892282</v>
      </c>
      <c r="G60">
        <v>-0.179886232116033</v>
      </c>
      <c r="H60">
        <v>-0.09142991210026301</v>
      </c>
      <c r="I60">
        <v>0.324298961365335</v>
      </c>
    </row>
    <row r="61" spans="1:9">
      <c r="A61" s="1" t="s">
        <v>67</v>
      </c>
      <c r="B61">
        <f>HYPERLINK("https://www.suredividend.com/sure-analysis-BDX/","Becton, Dickinson And Co.")</f>
        <v>0</v>
      </c>
      <c r="C61">
        <v>-0.03506345590628</v>
      </c>
      <c r="D61">
        <v>-0.05658501432899501</v>
      </c>
      <c r="E61">
        <v>-0.055127017344844</v>
      </c>
      <c r="F61">
        <v>-0.06716476602438</v>
      </c>
      <c r="G61">
        <v>-0.105263038786519</v>
      </c>
      <c r="H61">
        <v>0.037052710361433</v>
      </c>
      <c r="I61">
        <v>0.188820615979669</v>
      </c>
    </row>
    <row r="62" spans="1:9">
      <c r="A62" s="1" t="s">
        <v>68</v>
      </c>
      <c r="B62">
        <f>HYPERLINK("https://www.suredividend.com/sure-analysis-BEN/","Franklin Resources, Inc.")</f>
        <v>0</v>
      </c>
      <c r="C62">
        <v>-0.110610159302675</v>
      </c>
      <c r="D62">
        <v>0.09846867749419901</v>
      </c>
      <c r="E62">
        <v>0.170907364172371</v>
      </c>
      <c r="F62">
        <v>0.121683093252463</v>
      </c>
      <c r="G62">
        <v>0.09877052071845201</v>
      </c>
      <c r="H62">
        <v>0.253346209887838</v>
      </c>
      <c r="I62">
        <v>-0.06853316796308101</v>
      </c>
    </row>
    <row r="63" spans="1:9">
      <c r="A63" s="1" t="s">
        <v>69</v>
      </c>
      <c r="B63">
        <f>HYPERLINK("https://www.suredividend.com/sure-analysis-BF.B/","Brown-Forman Corp.")</f>
        <v>0</v>
      </c>
      <c r="C63">
        <v>0.002842609216038</v>
      </c>
      <c r="D63">
        <v>-0.10038920950208</v>
      </c>
      <c r="E63">
        <v>-0.061709108826625</v>
      </c>
      <c r="F63">
        <v>0.020554202192448</v>
      </c>
      <c r="G63">
        <v>-0.031736172302714</v>
      </c>
      <c r="H63">
        <v>0.014393399405861</v>
      </c>
      <c r="I63">
        <v>0.294630268428636</v>
      </c>
    </row>
    <row r="64" spans="1:9">
      <c r="A64" s="1" t="s">
        <v>70</v>
      </c>
      <c r="B64">
        <f>HYPERLINK("https://www.suredividend.com/sure-analysis-research-database/","Biogen Inc")</f>
        <v>0</v>
      </c>
      <c r="C64">
        <v>-0.062543360621617</v>
      </c>
      <c r="D64">
        <v>-0.07280337599066801</v>
      </c>
      <c r="E64">
        <v>0.3881041655965891</v>
      </c>
      <c r="F64">
        <v>-0.024086378737541</v>
      </c>
      <c r="G64">
        <v>0.290284077345428</v>
      </c>
      <c r="H64">
        <v>-0.001699235344095</v>
      </c>
      <c r="I64">
        <v>-0.05500384642282601</v>
      </c>
    </row>
    <row r="65" spans="1:9">
      <c r="A65" s="1" t="s">
        <v>71</v>
      </c>
      <c r="B65">
        <f>HYPERLINK("https://www.suredividend.com/sure-analysis-research-database/","Bio-Rad Laboratories Inc.")</f>
        <v>0</v>
      </c>
      <c r="C65">
        <v>0.068212708120964</v>
      </c>
      <c r="D65">
        <v>0.200305445520927</v>
      </c>
      <c r="E65">
        <v>0.051597257066399</v>
      </c>
      <c r="F65">
        <v>0.196223453589859</v>
      </c>
      <c r="G65">
        <v>-0.136539980087204</v>
      </c>
      <c r="H65">
        <v>-0.104982206405694</v>
      </c>
      <c r="I65">
        <v>0.9122566909975661</v>
      </c>
    </row>
    <row r="66" spans="1:9">
      <c r="A66" s="1" t="s">
        <v>72</v>
      </c>
      <c r="B66">
        <f>HYPERLINK("https://www.suredividend.com/sure-analysis-BK/","Bank Of New York Mellon Corp")</f>
        <v>0</v>
      </c>
      <c r="C66">
        <v>0.021899263388413</v>
      </c>
      <c r="D66">
        <v>0.143767547573421</v>
      </c>
      <c r="E66">
        <v>0.269099540127577</v>
      </c>
      <c r="F66">
        <v>0.136230318511943</v>
      </c>
      <c r="G66">
        <v>0.04183369224805</v>
      </c>
      <c r="H66">
        <v>0.215060788546756</v>
      </c>
      <c r="I66">
        <v>0.06409443138425501</v>
      </c>
    </row>
    <row r="67" spans="1:9">
      <c r="A67" s="1" t="s">
        <v>73</v>
      </c>
      <c r="B67">
        <f>HYPERLINK("https://www.suredividend.com/sure-analysis-research-database/","Booking Holdings Inc")</f>
        <v>0</v>
      </c>
      <c r="C67">
        <v>0.06734227537300301</v>
      </c>
      <c r="D67">
        <v>0.256521405554703</v>
      </c>
      <c r="E67">
        <v>0.425749900702428</v>
      </c>
      <c r="F67">
        <v>0.300265968004446</v>
      </c>
      <c r="G67">
        <v>0.320074154676983</v>
      </c>
      <c r="H67">
        <v>0.180706062585892</v>
      </c>
      <c r="I67">
        <v>0.288431942334262</v>
      </c>
    </row>
    <row r="68" spans="1:9">
      <c r="A68" s="1" t="s">
        <v>74</v>
      </c>
      <c r="B68">
        <f>HYPERLINK("https://www.suredividend.com/sure-analysis-BKR/","Baker Hughes Co")</f>
        <v>0</v>
      </c>
      <c r="C68">
        <v>0.029008606949314</v>
      </c>
      <c r="D68">
        <v>0.100527080193921</v>
      </c>
      <c r="E68">
        <v>0.293362502103517</v>
      </c>
      <c r="F68">
        <v>0.09978092963514301</v>
      </c>
      <c r="G68">
        <v>-0.00351609407944</v>
      </c>
      <c r="H68">
        <v>0.419050800963618</v>
      </c>
      <c r="I68">
        <v>0.225433438236712</v>
      </c>
    </row>
    <row r="69" spans="1:9">
      <c r="A69" s="1" t="s">
        <v>75</v>
      </c>
      <c r="B69">
        <f>HYPERLINK("https://www.suredividend.com/sure-analysis-BLK/","Blackrock Inc.")</f>
        <v>0</v>
      </c>
      <c r="C69">
        <v>-0.081779280469121</v>
      </c>
      <c r="D69">
        <v>-0.018159196778414</v>
      </c>
      <c r="E69">
        <v>0.063782744973831</v>
      </c>
      <c r="F69">
        <v>-0.018895615483397</v>
      </c>
      <c r="G69">
        <v>0.012137379553555</v>
      </c>
      <c r="H69">
        <v>0.05307689942437</v>
      </c>
      <c r="I69">
        <v>0.447787482356625</v>
      </c>
    </row>
    <row r="70" spans="1:9">
      <c r="A70" s="1" t="s">
        <v>76</v>
      </c>
      <c r="B70">
        <f>HYPERLINK("https://www.suredividend.com/sure-analysis-research-database/","Ball Corp.")</f>
        <v>0</v>
      </c>
      <c r="C70">
        <v>-0.205101807366735</v>
      </c>
      <c r="D70">
        <v>-0.25950790149505</v>
      </c>
      <c r="E70">
        <v>-0.235424208082564</v>
      </c>
      <c r="F70">
        <v>-0.276583650936256</v>
      </c>
      <c r="G70">
        <v>-0.227521532462104</v>
      </c>
      <c r="H70">
        <v>0.09319963439402</v>
      </c>
      <c r="I70">
        <v>0.8134275581489411</v>
      </c>
    </row>
    <row r="71" spans="1:9">
      <c r="A71" s="1" t="s">
        <v>77</v>
      </c>
      <c r="B71">
        <f>HYPERLINK("https://www.suredividend.com/sure-analysis-BMY/","Bristol-Myers Squibb Co.")</f>
        <v>0</v>
      </c>
      <c r="C71">
        <v>-0.069173942243116</v>
      </c>
      <c r="D71">
        <v>-0.139057709222642</v>
      </c>
      <c r="E71">
        <v>0.025800435188063</v>
      </c>
      <c r="F71">
        <v>-0.02921189656694</v>
      </c>
      <c r="G71">
        <v>0.029295563780678</v>
      </c>
      <c r="H71">
        <v>0.242187037876846</v>
      </c>
      <c r="I71">
        <v>0.212693912906527</v>
      </c>
    </row>
    <row r="72" spans="1:9">
      <c r="A72" s="1" t="s">
        <v>78</v>
      </c>
      <c r="B72">
        <f>HYPERLINK("https://www.suredividend.com/sure-analysis-BR/","Broadridge Financial Solutions, Inc.")</f>
        <v>0</v>
      </c>
      <c r="C72">
        <v>-0.06166167469722601</v>
      </c>
      <c r="D72">
        <v>-0.027900228066708</v>
      </c>
      <c r="E72">
        <v>-0.126267158170441</v>
      </c>
      <c r="F72">
        <v>0.07440542757026701</v>
      </c>
      <c r="G72">
        <v>-0.004334746927884</v>
      </c>
      <c r="H72">
        <v>0.07062913112699401</v>
      </c>
      <c r="I72">
        <v>0.5311353521101321</v>
      </c>
    </row>
    <row r="73" spans="1:9">
      <c r="A73" s="1" t="s">
        <v>79</v>
      </c>
      <c r="B73">
        <f>HYPERLINK("https://www.suredividend.com/sure-analysis-research-database/","Berkshire Hathaway Inc.")</f>
        <v>0</v>
      </c>
      <c r="C73">
        <v>0.012771060905643</v>
      </c>
      <c r="D73">
        <v>-0.011703305393009</v>
      </c>
      <c r="E73">
        <v>0.125256599560629</v>
      </c>
      <c r="F73">
        <v>0.011492392359987</v>
      </c>
      <c r="G73">
        <v>-0.039620089752259</v>
      </c>
      <c r="H73">
        <v>0.272812449079354</v>
      </c>
      <c r="I73">
        <v>0.55185258766266</v>
      </c>
    </row>
    <row r="74" spans="1:9">
      <c r="A74" s="1" t="s">
        <v>80</v>
      </c>
      <c r="B74">
        <f>HYPERLINK("https://www.suredividend.com/sure-analysis-research-database/","Boston Scientific Corp.")</f>
        <v>0</v>
      </c>
      <c r="C74">
        <v>-0.014020618556701</v>
      </c>
      <c r="D74">
        <v>0.026180257510729</v>
      </c>
      <c r="E74">
        <v>0.181032353667572</v>
      </c>
      <c r="F74">
        <v>0.03349902744759</v>
      </c>
      <c r="G74">
        <v>0.08780709736123701</v>
      </c>
      <c r="H74">
        <v>0.26074347482204</v>
      </c>
      <c r="I74">
        <v>0.7863279790810601</v>
      </c>
    </row>
    <row r="75" spans="1:9">
      <c r="A75" s="1" t="s">
        <v>81</v>
      </c>
      <c r="B75">
        <f>HYPERLINK("https://www.suredividend.com/sure-analysis-BWA/","BorgWarner Inc")</f>
        <v>0</v>
      </c>
      <c r="C75">
        <v>0.070842975345953</v>
      </c>
      <c r="D75">
        <v>0.194534434847209</v>
      </c>
      <c r="E75">
        <v>0.382776929587507</v>
      </c>
      <c r="F75">
        <v>0.266652706314068</v>
      </c>
      <c r="G75">
        <v>0.3923332611727821</v>
      </c>
      <c r="H75">
        <v>0.122384287945358</v>
      </c>
      <c r="I75">
        <v>0.141505322232057</v>
      </c>
    </row>
    <row r="76" spans="1:9">
      <c r="A76" s="1" t="s">
        <v>82</v>
      </c>
      <c r="B76">
        <f>HYPERLINK("https://www.suredividend.com/sure-analysis-BXP/","Boston Properties, Inc.")</f>
        <v>0</v>
      </c>
      <c r="C76">
        <v>-0.130100688924218</v>
      </c>
      <c r="D76">
        <v>-0.05749482526476501</v>
      </c>
      <c r="E76">
        <v>-0.161791157573304</v>
      </c>
      <c r="F76">
        <v>-0.028410772417875</v>
      </c>
      <c r="G76">
        <v>-0.4417872330296</v>
      </c>
      <c r="H76">
        <v>-0.29435711376369</v>
      </c>
      <c r="I76">
        <v>-0.336477469438653</v>
      </c>
    </row>
    <row r="77" spans="1:9">
      <c r="A77" s="1" t="s">
        <v>83</v>
      </c>
      <c r="B77">
        <f>HYPERLINK("https://www.suredividend.com/sure-analysis-C/","Citigroup Inc")</f>
        <v>0</v>
      </c>
      <c r="C77">
        <v>0.027477919528949</v>
      </c>
      <c r="D77">
        <v>0.119101469475358</v>
      </c>
      <c r="E77">
        <v>0.094966084288334</v>
      </c>
      <c r="F77">
        <v>0.168832038724399</v>
      </c>
      <c r="G77">
        <v>-0.035840577574775</v>
      </c>
      <c r="H77">
        <v>-0.195076048784388</v>
      </c>
      <c r="I77">
        <v>-0.162233787183377</v>
      </c>
    </row>
    <row r="78" spans="1:9">
      <c r="A78" s="1" t="s">
        <v>84</v>
      </c>
      <c r="B78">
        <f>HYPERLINK("https://www.suredividend.com/sure-analysis-CAG/","Conagra Brands Inc")</f>
        <v>0</v>
      </c>
      <c r="C78">
        <v>-0.01673525377229</v>
      </c>
      <c r="D78">
        <v>-0.05131225432454901</v>
      </c>
      <c r="E78">
        <v>0.06649209206826201</v>
      </c>
      <c r="F78">
        <v>-0.065530215131422</v>
      </c>
      <c r="G78">
        <v>0.08053677111252401</v>
      </c>
      <c r="H78">
        <v>0.110632508932472</v>
      </c>
      <c r="I78">
        <v>0.134733809305197</v>
      </c>
    </row>
    <row r="79" spans="1:9">
      <c r="A79" s="1" t="s">
        <v>85</v>
      </c>
      <c r="B79">
        <f>HYPERLINK("https://www.suredividend.com/sure-analysis-CAH/","Cardinal Health, Inc.")</f>
        <v>0</v>
      </c>
      <c r="C79">
        <v>-0.04410830049574101</v>
      </c>
      <c r="D79">
        <v>-0.064258792172126</v>
      </c>
      <c r="E79">
        <v>0.07395739016929101</v>
      </c>
      <c r="F79">
        <v>-0.021724990243267</v>
      </c>
      <c r="G79">
        <v>0.437251180667442</v>
      </c>
      <c r="H79">
        <v>0.540437508833958</v>
      </c>
      <c r="I79">
        <v>0.309167129459568</v>
      </c>
    </row>
    <row r="80" spans="1:9">
      <c r="A80" s="1" t="s">
        <v>86</v>
      </c>
      <c r="B80">
        <f>HYPERLINK("https://www.suredividend.com/sure-analysis-CARR/","Carrier Global Corp")</f>
        <v>0</v>
      </c>
      <c r="C80">
        <v>0.01919385796545</v>
      </c>
      <c r="D80">
        <v>0.07441063664282001</v>
      </c>
      <c r="E80">
        <v>0.21776887618203</v>
      </c>
      <c r="F80">
        <v>0.158545454545454</v>
      </c>
      <c r="G80">
        <v>0.07972915268712201</v>
      </c>
      <c r="H80">
        <v>0.382292540421716</v>
      </c>
      <c r="I80">
        <v>2.9825</v>
      </c>
    </row>
    <row r="81" spans="1:9">
      <c r="A81" s="1" t="s">
        <v>87</v>
      </c>
      <c r="B81">
        <f>HYPERLINK("https://www.suredividend.com/sure-analysis-CAT/","Caterpillar Inc.")</f>
        <v>0</v>
      </c>
      <c r="C81">
        <v>0.030473038424281</v>
      </c>
      <c r="D81">
        <v>0.08638300117612401</v>
      </c>
      <c r="E81">
        <v>0.428103962791322</v>
      </c>
      <c r="F81">
        <v>0.07082834744481301</v>
      </c>
      <c r="G81">
        <v>0.335427670567657</v>
      </c>
      <c r="H81">
        <v>0.253108721697564</v>
      </c>
      <c r="I81">
        <v>0.9635454720246101</v>
      </c>
    </row>
    <row r="82" spans="1:9">
      <c r="A82" s="1" t="s">
        <v>88</v>
      </c>
      <c r="B82">
        <f>HYPERLINK("https://www.suredividend.com/sure-analysis-CB/","Chubb Limited")</f>
        <v>0</v>
      </c>
      <c r="C82">
        <v>-0.013057567670606</v>
      </c>
      <c r="D82">
        <v>-0.05139679646025801</v>
      </c>
      <c r="E82">
        <v>0.09384168714648801</v>
      </c>
      <c r="F82">
        <v>-0.06119673617407</v>
      </c>
      <c r="G82">
        <v>0.024055665905671</v>
      </c>
      <c r="H82">
        <v>0.290643427191133</v>
      </c>
      <c r="I82">
        <v>0.6384701072165471</v>
      </c>
    </row>
    <row r="83" spans="1:9">
      <c r="A83" s="1" t="s">
        <v>89</v>
      </c>
      <c r="B83">
        <f>HYPERLINK("https://www.suredividend.com/sure-analysis-CBOE/","Cboe Global Markets Inc.")</f>
        <v>0</v>
      </c>
      <c r="C83">
        <v>0.021239948974357</v>
      </c>
      <c r="D83">
        <v>-0.011148728988572</v>
      </c>
      <c r="E83">
        <v>0.063436006238779</v>
      </c>
      <c r="F83">
        <v>0.011390848436988</v>
      </c>
      <c r="G83">
        <v>0.066260664926257</v>
      </c>
      <c r="H83">
        <v>0.328751744899846</v>
      </c>
      <c r="I83">
        <v>0.194721337225951</v>
      </c>
    </row>
    <row r="84" spans="1:9">
      <c r="A84" s="1" t="s">
        <v>90</v>
      </c>
      <c r="B84">
        <f>HYPERLINK("https://www.suredividend.com/sure-analysis-research-database/","CBRE Group Inc")</f>
        <v>0</v>
      </c>
      <c r="C84">
        <v>-0.014000459031443</v>
      </c>
      <c r="D84">
        <v>0.084164037854889</v>
      </c>
      <c r="E84">
        <v>0.113819030334456</v>
      </c>
      <c r="F84">
        <v>0.116424116424116</v>
      </c>
      <c r="G84">
        <v>-0.04224724111024401</v>
      </c>
      <c r="H84">
        <v>0.121231893514289</v>
      </c>
      <c r="I84">
        <v>0.8637744034707151</v>
      </c>
    </row>
    <row r="85" spans="1:9">
      <c r="A85" s="1" t="s">
        <v>91</v>
      </c>
      <c r="B85">
        <f>HYPERLINK("https://www.suredividend.com/sure-analysis-CCI/","Crown Castle Inc")</f>
        <v>0</v>
      </c>
      <c r="C85">
        <v>-0.099061450983078</v>
      </c>
      <c r="D85">
        <v>-0.051543090566059</v>
      </c>
      <c r="E85">
        <v>-0.200579186488566</v>
      </c>
      <c r="F85">
        <v>-0.030448245355352</v>
      </c>
      <c r="G85">
        <v>-0.238056502360107</v>
      </c>
      <c r="H85">
        <v>-0.057346938044089</v>
      </c>
      <c r="I85">
        <v>0.4923662476254451</v>
      </c>
    </row>
    <row r="86" spans="1:9">
      <c r="A86" s="1" t="s">
        <v>92</v>
      </c>
      <c r="B86">
        <f>HYPERLINK("https://www.suredividend.com/sure-analysis-research-database/","Carnival Corp.")</f>
        <v>0</v>
      </c>
      <c r="C86">
        <v>-0.058474576271186</v>
      </c>
      <c r="D86">
        <v>0.111</v>
      </c>
      <c r="E86">
        <v>0.185699039487726</v>
      </c>
      <c r="F86">
        <v>0.378411910669975</v>
      </c>
      <c r="G86">
        <v>-0.391899288451012</v>
      </c>
      <c r="H86">
        <v>-0.612486920125566</v>
      </c>
      <c r="I86">
        <v>-0.815421830065142</v>
      </c>
    </row>
    <row r="87" spans="1:9">
      <c r="A87" s="1" t="s">
        <v>93</v>
      </c>
      <c r="B87">
        <f>HYPERLINK("https://www.suredividend.com/sure-analysis-research-database/","Cadence Design Systems, Inc.")</f>
        <v>0</v>
      </c>
      <c r="C87">
        <v>0.05730427764326</v>
      </c>
      <c r="D87">
        <v>0.139592878269442</v>
      </c>
      <c r="E87">
        <v>0.168460486412558</v>
      </c>
      <c r="F87">
        <v>0.223232071713147</v>
      </c>
      <c r="G87">
        <v>0.27028250048484</v>
      </c>
      <c r="H87">
        <v>0.5255026783634811</v>
      </c>
      <c r="I87">
        <v>4.001272588444897</v>
      </c>
    </row>
    <row r="88" spans="1:9">
      <c r="A88" s="1" t="s">
        <v>94</v>
      </c>
      <c r="B88">
        <f>HYPERLINK("https://www.suredividend.com/sure-analysis-research-database/","CDW Corp")</f>
        <v>0</v>
      </c>
      <c r="C88">
        <v>0.005643935313199001</v>
      </c>
      <c r="D88">
        <v>0.06417677906417001</v>
      </c>
      <c r="E88">
        <v>0.203856065074979</v>
      </c>
      <c r="F88">
        <v>0.132348853077694</v>
      </c>
      <c r="G88">
        <v>0.189208827854015</v>
      </c>
      <c r="H88">
        <v>0.360727394938928</v>
      </c>
      <c r="I88">
        <v>1.907954437287812</v>
      </c>
    </row>
    <row r="89" spans="1:9">
      <c r="A89" s="1" t="s">
        <v>95</v>
      </c>
      <c r="B89">
        <f>HYPERLINK("https://www.suredividend.com/sure-analysis-CE/","Celanese Corp")</f>
        <v>0</v>
      </c>
      <c r="C89">
        <v>-0.001488066603808</v>
      </c>
      <c r="D89">
        <v>0.148045722713864</v>
      </c>
      <c r="E89">
        <v>0.180622770453526</v>
      </c>
      <c r="F89">
        <v>0.22518807237011</v>
      </c>
      <c r="G89">
        <v>-0.118654047298569</v>
      </c>
      <c r="H89">
        <v>-0.095842574677929</v>
      </c>
      <c r="I89">
        <v>0.327664764114034</v>
      </c>
    </row>
    <row r="90" spans="1:9">
      <c r="A90" s="1" t="s">
        <v>475</v>
      </c>
      <c r="B90">
        <f>HYPERLINK("https://www.suredividend.com/sure-analysis-research-database/","Cerner Corp.")</f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1" t="s">
        <v>96</v>
      </c>
      <c r="B91">
        <f>HYPERLINK("https://www.suredividend.com/sure-analysis-CF/","CF Industries Holdings Inc")</f>
        <v>0</v>
      </c>
      <c r="C91">
        <v>0.007316371696935</v>
      </c>
      <c r="D91">
        <v>-0.170814518829901</v>
      </c>
      <c r="E91">
        <v>-0.186816920550427</v>
      </c>
      <c r="F91">
        <v>0.015946684023601</v>
      </c>
      <c r="G91">
        <v>-0.040079146677599</v>
      </c>
      <c r="H91">
        <v>0.9634653248742061</v>
      </c>
      <c r="I91">
        <v>1.340929035833928</v>
      </c>
    </row>
    <row r="92" spans="1:9">
      <c r="A92" s="1" t="s">
        <v>97</v>
      </c>
      <c r="B92">
        <f>HYPERLINK("https://www.suredividend.com/sure-analysis-CFG/","Citizens Financial Group Inc")</f>
        <v>0</v>
      </c>
      <c r="C92">
        <v>-0.07785778577857701</v>
      </c>
      <c r="D92">
        <v>-0.007637654557166001</v>
      </c>
      <c r="E92">
        <v>0.155632509989819</v>
      </c>
      <c r="F92">
        <v>0.051092643890427</v>
      </c>
      <c r="G92">
        <v>-0.113531941403985</v>
      </c>
      <c r="H92">
        <v>0.010718848500693</v>
      </c>
      <c r="I92">
        <v>0.132610504147101</v>
      </c>
    </row>
    <row r="93" spans="1:9">
      <c r="A93" s="1" t="s">
        <v>98</v>
      </c>
      <c r="B93">
        <f>HYPERLINK("https://www.suredividend.com/sure-analysis-CHD/","Church &amp; Dwight Co., Inc.")</f>
        <v>0</v>
      </c>
      <c r="C93">
        <v>0.019253507541532</v>
      </c>
      <c r="D93">
        <v>0.017168185413986</v>
      </c>
      <c r="E93">
        <v>0.007305416150375001</v>
      </c>
      <c r="F93">
        <v>0.048208636084165</v>
      </c>
      <c r="G93">
        <v>-0.153053713007695</v>
      </c>
      <c r="H93">
        <v>0.106966449269076</v>
      </c>
      <c r="I93">
        <v>0.793418312372499</v>
      </c>
    </row>
    <row r="94" spans="1:9">
      <c r="A94" s="1" t="s">
        <v>99</v>
      </c>
      <c r="B94">
        <f>HYPERLINK("https://www.suredividend.com/sure-analysis-CHRW/","C.H. Robinson Worldwide, Inc.")</f>
        <v>0</v>
      </c>
      <c r="C94">
        <v>0.036142090045435</v>
      </c>
      <c r="D94">
        <v>0.022220094153459</v>
      </c>
      <c r="E94">
        <v>-0.151457338617063</v>
      </c>
      <c r="F94">
        <v>0.095893403232852</v>
      </c>
      <c r="G94">
        <v>0.059052130400411</v>
      </c>
      <c r="H94">
        <v>0.170497945737609</v>
      </c>
      <c r="I94">
        <v>0.218679783810044</v>
      </c>
    </row>
    <row r="95" spans="1:9">
      <c r="A95" s="1" t="s">
        <v>100</v>
      </c>
      <c r="B95">
        <f>HYPERLINK("https://www.suredividend.com/sure-analysis-research-database/","Charter Communications Inc.")</f>
        <v>0</v>
      </c>
      <c r="C95">
        <v>-0.08939207482156</v>
      </c>
      <c r="D95">
        <v>-0.057831877562453</v>
      </c>
      <c r="E95">
        <v>-0.09127081593555</v>
      </c>
      <c r="F95">
        <v>0.09106458271896201</v>
      </c>
      <c r="G95">
        <v>-0.327223464804611</v>
      </c>
      <c r="H95">
        <v>-0.391119741952471</v>
      </c>
      <c r="I95">
        <v>0.111885800150262</v>
      </c>
    </row>
    <row r="96" spans="1:9">
      <c r="A96" s="1" t="s">
        <v>101</v>
      </c>
      <c r="B96">
        <f>HYPERLINK("https://www.suredividend.com/sure-analysis-CI/","Cigna Group (The)")</f>
        <v>0</v>
      </c>
      <c r="C96">
        <v>-0.019207765132095</v>
      </c>
      <c r="D96">
        <v>-0.11993989205103</v>
      </c>
      <c r="E96">
        <v>0.0008886867525680001</v>
      </c>
      <c r="F96">
        <v>-0.133910786503289</v>
      </c>
      <c r="G96">
        <v>0.202573524943856</v>
      </c>
      <c r="H96">
        <v>0.311099272926305</v>
      </c>
      <c r="I96">
        <v>0.5261958755429991</v>
      </c>
    </row>
    <row r="97" spans="1:9">
      <c r="A97" s="1" t="s">
        <v>102</v>
      </c>
      <c r="B97">
        <f>HYPERLINK("https://www.suredividend.com/sure-analysis-CINF/","Cincinnati Financial Corp.")</f>
        <v>0</v>
      </c>
      <c r="C97">
        <v>0.05168968812440201</v>
      </c>
      <c r="D97">
        <v>0.103614506158489</v>
      </c>
      <c r="E97">
        <v>0.267248544433255</v>
      </c>
      <c r="F97">
        <v>0.182342025588436</v>
      </c>
      <c r="G97">
        <v>0.007107821931756001</v>
      </c>
      <c r="H97">
        <v>0.269779335720594</v>
      </c>
      <c r="I97">
        <v>0.8476462580050421</v>
      </c>
    </row>
    <row r="98" spans="1:9">
      <c r="A98" s="1" t="s">
        <v>103</v>
      </c>
      <c r="B98">
        <f>HYPERLINK("https://www.suredividend.com/sure-analysis-CL/","Colgate-Palmolive Co.")</f>
        <v>0</v>
      </c>
      <c r="C98">
        <v>-0.004576659038901001</v>
      </c>
      <c r="D98">
        <v>-0.048034664668762</v>
      </c>
      <c r="E98">
        <v>-0.041758344282815</v>
      </c>
      <c r="F98">
        <v>-0.05552660617949901</v>
      </c>
      <c r="G98">
        <v>-0.020105396641989</v>
      </c>
      <c r="H98">
        <v>0.041443684584098</v>
      </c>
      <c r="I98">
        <v>0.195899495927149</v>
      </c>
    </row>
    <row r="99" spans="1:9">
      <c r="A99" s="1" t="s">
        <v>104</v>
      </c>
      <c r="B99">
        <f>HYPERLINK("https://www.suredividend.com/sure-analysis-CLX/","Clorox Co.")</f>
        <v>0</v>
      </c>
      <c r="C99">
        <v>0.006848872520514001</v>
      </c>
      <c r="D99">
        <v>0.042791734756289</v>
      </c>
      <c r="E99">
        <v>0.109398527019474</v>
      </c>
      <c r="F99">
        <v>0.119702466535748</v>
      </c>
      <c r="G99">
        <v>0.112197559060738</v>
      </c>
      <c r="H99">
        <v>-0.072768870548823</v>
      </c>
      <c r="I99">
        <v>0.351991504395295</v>
      </c>
    </row>
    <row r="100" spans="1:9">
      <c r="A100" s="1" t="s">
        <v>476</v>
      </c>
      <c r="B100">
        <f>HYPERLINK("https://www.suredividend.com/sure-analysis-CMA/","Comerica, Inc.")</f>
        <v>0</v>
      </c>
      <c r="C100">
        <v>-0.07945350842286701</v>
      </c>
      <c r="D100">
        <v>-1.0086353595E-05</v>
      </c>
      <c r="E100">
        <v>-0.127526903349089</v>
      </c>
      <c r="F100">
        <v>0.03814510097232601</v>
      </c>
      <c r="G100">
        <v>-0.202958471150312</v>
      </c>
      <c r="H100">
        <v>0.09085193335429101</v>
      </c>
      <c r="I100">
        <v>-0.139805204302461</v>
      </c>
    </row>
    <row r="101" spans="1:9">
      <c r="A101" s="1" t="s">
        <v>105</v>
      </c>
      <c r="B101">
        <f>HYPERLINK("https://www.suredividend.com/sure-analysis-CMCSA/","Comcast Corp")</f>
        <v>0</v>
      </c>
      <c r="C101">
        <v>-0.06855141356017</v>
      </c>
      <c r="D101">
        <v>0.038204127161182</v>
      </c>
      <c r="E101">
        <v>0.050365638965377</v>
      </c>
      <c r="F101">
        <v>0.06462682299113501</v>
      </c>
      <c r="G101">
        <v>-0.198363567852721</v>
      </c>
      <c r="H101">
        <v>-0.287125755382459</v>
      </c>
      <c r="I101">
        <v>0.119005969234098</v>
      </c>
    </row>
    <row r="102" spans="1:9">
      <c r="A102" s="1" t="s">
        <v>106</v>
      </c>
      <c r="B102">
        <f>HYPERLINK("https://www.suredividend.com/sure-analysis-CME/","CME Group Inc")</f>
        <v>0</v>
      </c>
      <c r="C102">
        <v>0.049504389691305</v>
      </c>
      <c r="D102">
        <v>0.083144128492495</v>
      </c>
      <c r="E102">
        <v>-0.012401874459003</v>
      </c>
      <c r="F102">
        <v>0.101867269267364</v>
      </c>
      <c r="G102">
        <v>-0.203694917468601</v>
      </c>
      <c r="H102">
        <v>-0.046353430302069</v>
      </c>
      <c r="I102">
        <v>0.292954864856943</v>
      </c>
    </row>
    <row r="103" spans="1:9">
      <c r="A103" s="1" t="s">
        <v>107</v>
      </c>
      <c r="B103">
        <f>HYPERLINK("https://www.suredividend.com/sure-analysis-research-database/","Chipotle Mexican Grill")</f>
        <v>0</v>
      </c>
      <c r="C103">
        <v>-0.108076339214516</v>
      </c>
      <c r="D103">
        <v>-0.059119684960869</v>
      </c>
      <c r="E103">
        <v>-0.065894637864053</v>
      </c>
      <c r="F103">
        <v>0.088296131864013</v>
      </c>
      <c r="G103">
        <v>0.046953434839282</v>
      </c>
      <c r="H103">
        <v>0.117591331635976</v>
      </c>
      <c r="I103">
        <v>3.718897465545799</v>
      </c>
    </row>
    <row r="104" spans="1:9">
      <c r="A104" s="1" t="s">
        <v>108</v>
      </c>
      <c r="B104">
        <f>HYPERLINK("https://www.suredividend.com/sure-analysis-CMI/","Cummins Inc.")</f>
        <v>0</v>
      </c>
      <c r="C104">
        <v>0.013980642187739</v>
      </c>
      <c r="D104">
        <v>0.039802273978188</v>
      </c>
      <c r="E104">
        <v>0.227659882172053</v>
      </c>
      <c r="F104">
        <v>0.07181705927722301</v>
      </c>
      <c r="G104">
        <v>0.31166172281781</v>
      </c>
      <c r="H104">
        <v>0.049878803807</v>
      </c>
      <c r="I104">
        <v>0.8637106518076311</v>
      </c>
    </row>
    <row r="105" spans="1:9">
      <c r="A105" s="1" t="s">
        <v>109</v>
      </c>
      <c r="B105">
        <f>HYPERLINK("https://www.suredividend.com/sure-analysis-CMS/","CMS Energy Corporation")</f>
        <v>0</v>
      </c>
      <c r="C105">
        <v>-0.03862837460076701</v>
      </c>
      <c r="D105">
        <v>-0.003203275569984</v>
      </c>
      <c r="E105">
        <v>-0.09418287999588201</v>
      </c>
      <c r="F105">
        <v>-0.047432572903086</v>
      </c>
      <c r="G105">
        <v>-0.080080923362623</v>
      </c>
      <c r="H105">
        <v>0.175844106336864</v>
      </c>
      <c r="I105">
        <v>0.617940100526425</v>
      </c>
    </row>
    <row r="106" spans="1:9">
      <c r="A106" s="1" t="s">
        <v>110</v>
      </c>
      <c r="B106">
        <f>HYPERLINK("https://www.suredividend.com/sure-analysis-research-database/","Centene Corp.")</f>
        <v>0</v>
      </c>
      <c r="C106">
        <v>-0.02732009576116</v>
      </c>
      <c r="D106">
        <v>-0.194894509849632</v>
      </c>
      <c r="E106">
        <v>-0.232981676846196</v>
      </c>
      <c r="F106">
        <v>-0.157785635898061</v>
      </c>
      <c r="G106">
        <v>-0.197327135386403</v>
      </c>
      <c r="H106">
        <v>0.164951931185697</v>
      </c>
      <c r="I106">
        <v>0.370708473903552</v>
      </c>
    </row>
    <row r="107" spans="1:9">
      <c r="A107" s="1" t="s">
        <v>111</v>
      </c>
      <c r="B107">
        <f>HYPERLINK("https://www.suredividend.com/sure-analysis-CNP/","Centerpoint Energy Inc.")</f>
        <v>0</v>
      </c>
      <c r="C107">
        <v>-0.020699401940676</v>
      </c>
      <c r="D107">
        <v>-0.067638082110859</v>
      </c>
      <c r="E107">
        <v>-0.09460876326935101</v>
      </c>
      <c r="F107">
        <v>-0.046497110292192</v>
      </c>
      <c r="G107">
        <v>0.003436620315264</v>
      </c>
      <c r="H107">
        <v>0.501339632512643</v>
      </c>
      <c r="I107">
        <v>0.24975255691191</v>
      </c>
    </row>
    <row r="108" spans="1:9">
      <c r="A108" s="1" t="s">
        <v>112</v>
      </c>
      <c r="B108">
        <f>HYPERLINK("https://www.suredividend.com/sure-analysis-COF/","Capital One Financial Corp.")</f>
        <v>0</v>
      </c>
      <c r="C108">
        <v>-0.126816608996539</v>
      </c>
      <c r="D108">
        <v>0.07445845973708</v>
      </c>
      <c r="E108">
        <v>-0.05293843349224001</v>
      </c>
      <c r="F108">
        <v>0.091218469634743</v>
      </c>
      <c r="G108">
        <v>-0.213782714591597</v>
      </c>
      <c r="H108">
        <v>-0.167376741815026</v>
      </c>
      <c r="I108">
        <v>0.09058417669754101</v>
      </c>
    </row>
    <row r="109" spans="1:9">
      <c r="A109" s="1" t="s">
        <v>477</v>
      </c>
      <c r="B109">
        <f>HYPERLINK("https://www.suredividend.com/sure-analysis-research-database/","Cabot Oil &amp; Gas Corp.")</f>
        <v>0</v>
      </c>
      <c r="C109">
        <v>0.249298147108366</v>
      </c>
      <c r="D109">
        <v>0.255629168971004</v>
      </c>
      <c r="E109">
        <v>0.180872518840887</v>
      </c>
      <c r="F109">
        <v>0.3921737933450961</v>
      </c>
      <c r="G109">
        <v>0.340482573726541</v>
      </c>
      <c r="H109">
        <v>0.319394205339247</v>
      </c>
      <c r="I109">
        <v>-0.06634999496458401</v>
      </c>
    </row>
    <row r="110" spans="1:9">
      <c r="A110" s="1" t="s">
        <v>113</v>
      </c>
      <c r="B110">
        <f>HYPERLINK("https://www.suredividend.com/sure-analysis-research-database/","Cooper Companies, Inc.")</f>
        <v>0</v>
      </c>
      <c r="C110">
        <v>-0.007560156845044</v>
      </c>
      <c r="D110">
        <v>0.09158843011209</v>
      </c>
      <c r="E110">
        <v>0.190541857118057</v>
      </c>
      <c r="F110">
        <v>0.06402412284018001</v>
      </c>
      <c r="G110">
        <v>-0.171162944544885</v>
      </c>
      <c r="H110">
        <v>-0.052839959002435</v>
      </c>
      <c r="I110">
        <v>0.5024053603342941</v>
      </c>
    </row>
    <row r="111" spans="1:9">
      <c r="A111" s="1" t="s">
        <v>114</v>
      </c>
      <c r="B111">
        <f>HYPERLINK("https://www.suredividend.com/sure-analysis-COP/","Conoco Phillips")</f>
        <v>0</v>
      </c>
      <c r="C111">
        <v>0.009376498177101001</v>
      </c>
      <c r="D111">
        <v>-0.101289414754438</v>
      </c>
      <c r="E111">
        <v>0.01344985270275</v>
      </c>
      <c r="F111">
        <v>-0.07522323518646201</v>
      </c>
      <c r="G111">
        <v>0.136570494780605</v>
      </c>
      <c r="H111">
        <v>1.109571910692717</v>
      </c>
      <c r="I111">
        <v>1.358365642190084</v>
      </c>
    </row>
    <row r="112" spans="1:9">
      <c r="A112" s="1" t="s">
        <v>115</v>
      </c>
      <c r="B112">
        <f>HYPERLINK("https://www.suredividend.com/sure-analysis-COST/","Costco Wholesale Corp")</f>
        <v>0</v>
      </c>
      <c r="C112">
        <v>-0.07680652680652601</v>
      </c>
      <c r="D112">
        <v>-0.037293288277649</v>
      </c>
      <c r="E112">
        <v>-0.081222121888569</v>
      </c>
      <c r="F112">
        <v>0.042907642130343</v>
      </c>
      <c r="G112">
        <v>-0.08934850459895601</v>
      </c>
      <c r="H112">
        <v>0.510713842965355</v>
      </c>
      <c r="I112">
        <v>1.686481108824926</v>
      </c>
    </row>
    <row r="113" spans="1:9">
      <c r="A113" s="1" t="s">
        <v>478</v>
      </c>
      <c r="B113">
        <f>HYPERLINK("https://www.suredividend.com/sure-analysis-research-database/","Coty Inc")</f>
        <v>0</v>
      </c>
      <c r="C113">
        <v>0.133072407045009</v>
      </c>
      <c r="D113">
        <v>0.434944237918215</v>
      </c>
      <c r="E113">
        <v>0.537848605577689</v>
      </c>
      <c r="F113">
        <v>0.352803738317756</v>
      </c>
      <c r="G113">
        <v>0.426108374384236</v>
      </c>
      <c r="H113">
        <v>0.48081841432225</v>
      </c>
      <c r="I113">
        <v>-0.359052416007084</v>
      </c>
    </row>
    <row r="114" spans="1:9">
      <c r="A114" s="1" t="s">
        <v>116</v>
      </c>
      <c r="B114">
        <f>HYPERLINK("https://www.suredividend.com/sure-analysis-CPB/","Campbell Soup Co.")</f>
        <v>0</v>
      </c>
      <c r="C114">
        <v>0.03007075471698</v>
      </c>
      <c r="D114">
        <v>-0.024817746419121</v>
      </c>
      <c r="E114">
        <v>0.082162590748036</v>
      </c>
      <c r="F114">
        <v>-0.070355680745843</v>
      </c>
      <c r="G114">
        <v>0.186012251612917</v>
      </c>
      <c r="H114">
        <v>0.218774853379594</v>
      </c>
      <c r="I114">
        <v>0.4650018029501291</v>
      </c>
    </row>
    <row r="115" spans="1:9">
      <c r="A115" s="1" t="s">
        <v>117</v>
      </c>
      <c r="B115">
        <f>HYPERLINK("https://www.suredividend.com/sure-analysis-research-database/","Copart, Inc.")</f>
        <v>0</v>
      </c>
      <c r="C115">
        <v>0.040501165501165</v>
      </c>
      <c r="D115">
        <v>0.063588979895755</v>
      </c>
      <c r="E115">
        <v>0.227147766323023</v>
      </c>
      <c r="F115">
        <v>0.172934800459845</v>
      </c>
      <c r="G115">
        <v>0.206317034034287</v>
      </c>
      <c r="H115">
        <v>0.372010373643262</v>
      </c>
      <c r="I115">
        <v>2.094454072790295</v>
      </c>
    </row>
    <row r="116" spans="1:9">
      <c r="A116" s="1" t="s">
        <v>118</v>
      </c>
      <c r="B116">
        <f>HYPERLINK("https://www.suredividend.com/sure-analysis-research-database/","Salesforce Inc")</f>
        <v>0</v>
      </c>
      <c r="C116">
        <v>0.08997895229186101</v>
      </c>
      <c r="D116">
        <v>0.289637520752628</v>
      </c>
      <c r="E116">
        <v>0.213026221614939</v>
      </c>
      <c r="F116">
        <v>0.406063805716871</v>
      </c>
      <c r="G116">
        <v>-0.081670853652529</v>
      </c>
      <c r="H116">
        <v>-0.09204694881410401</v>
      </c>
      <c r="I116">
        <v>0.5291174540682411</v>
      </c>
    </row>
    <row r="117" spans="1:9">
      <c r="A117" s="1" t="s">
        <v>119</v>
      </c>
      <c r="B117">
        <f>HYPERLINK("https://www.suredividend.com/sure-analysis-CSCO/","Cisco Systems, Inc.")</f>
        <v>0</v>
      </c>
      <c r="C117">
        <v>0.013366234834464</v>
      </c>
      <c r="D117">
        <v>-0.0005273191903620001</v>
      </c>
      <c r="E117">
        <v>0.124359448224251</v>
      </c>
      <c r="F117">
        <v>0.042689325975828</v>
      </c>
      <c r="G117">
        <v>-0.106733395808825</v>
      </c>
      <c r="H117">
        <v>0.163474273950028</v>
      </c>
      <c r="I117">
        <v>0.280392431966161</v>
      </c>
    </row>
    <row r="118" spans="1:9">
      <c r="A118" s="1" t="s">
        <v>120</v>
      </c>
      <c r="B118">
        <f>HYPERLINK("https://www.suredividend.com/sure-analysis-CSX/","CSX Corp.")</f>
        <v>0</v>
      </c>
      <c r="C118">
        <v>-0.031242808182966</v>
      </c>
      <c r="D118">
        <v>-0.024590343600968</v>
      </c>
      <c r="E118">
        <v>0.003863990125716</v>
      </c>
      <c r="F118">
        <v>0.009096445648089001</v>
      </c>
      <c r="G118">
        <v>-0.156911834359564</v>
      </c>
      <c r="H118">
        <v>0.08469689424988701</v>
      </c>
      <c r="I118">
        <v>0.8038520783387181</v>
      </c>
    </row>
    <row r="119" spans="1:9">
      <c r="A119" s="1" t="s">
        <v>121</v>
      </c>
      <c r="B119">
        <f>HYPERLINK("https://www.suredividend.com/sure-analysis-CTAS/","Cintas Corporation")</f>
        <v>0</v>
      </c>
      <c r="C119">
        <v>0.001281940010102</v>
      </c>
      <c r="D119">
        <v>-0.042252104563483</v>
      </c>
      <c r="E119">
        <v>0.094501680333178</v>
      </c>
      <c r="F119">
        <v>-0.01911531905003</v>
      </c>
      <c r="G119">
        <v>0.178216396100433</v>
      </c>
      <c r="H119">
        <v>0.379358355646253</v>
      </c>
      <c r="I119">
        <v>1.719836803636216</v>
      </c>
    </row>
    <row r="120" spans="1:9">
      <c r="A120" s="1" t="s">
        <v>122</v>
      </c>
      <c r="B120">
        <f>HYPERLINK("https://www.suredividend.com/sure-analysis-CTSH/","Cognizant Technology Solutions Corp.")</f>
        <v>0</v>
      </c>
      <c r="C120">
        <v>-0.07928268259396701</v>
      </c>
      <c r="D120">
        <v>0.006753004241755001</v>
      </c>
      <c r="E120">
        <v>0.012323017480134</v>
      </c>
      <c r="F120">
        <v>0.098293202488809</v>
      </c>
      <c r="G120">
        <v>-0.284531862585272</v>
      </c>
      <c r="H120">
        <v>-0.110613056951197</v>
      </c>
      <c r="I120">
        <v>-0.17769494244259</v>
      </c>
    </row>
    <row r="121" spans="1:9">
      <c r="A121" s="1" t="s">
        <v>123</v>
      </c>
      <c r="B121">
        <f>HYPERLINK("https://www.suredividend.com/sure-analysis-research-database/","Corteva Inc")</f>
        <v>0</v>
      </c>
      <c r="C121">
        <v>0.038279422671002</v>
      </c>
      <c r="D121">
        <v>-0.051340781623711</v>
      </c>
      <c r="E121">
        <v>0.04736317688106</v>
      </c>
      <c r="F121">
        <v>0.08632627306524701</v>
      </c>
      <c r="G121">
        <v>0.25231983894813</v>
      </c>
      <c r="H121">
        <v>0.487351673445752</v>
      </c>
      <c r="I121">
        <v>1.196551724137931</v>
      </c>
    </row>
    <row r="122" spans="1:9">
      <c r="A122" s="1" t="s">
        <v>479</v>
      </c>
      <c r="B122">
        <f>HYPERLINK("https://www.suredividend.com/sure-analysis-research-database/","Citrix Systems, Inc.")</f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1" t="s">
        <v>124</v>
      </c>
      <c r="B123">
        <f>HYPERLINK("https://www.suredividend.com/sure-analysis-CVS/","CVS Health Corp")</f>
        <v>0</v>
      </c>
      <c r="C123">
        <v>-0.04616998950682</v>
      </c>
      <c r="D123">
        <v>-0.196968090745256</v>
      </c>
      <c r="E123">
        <v>-0.166609789813712</v>
      </c>
      <c r="F123">
        <v>-0.11605302169187</v>
      </c>
      <c r="G123">
        <v>-0.203477011242453</v>
      </c>
      <c r="H123">
        <v>0.240362966500648</v>
      </c>
      <c r="I123">
        <v>0.3966399379954</v>
      </c>
    </row>
    <row r="124" spans="1:9">
      <c r="A124" s="1" t="s">
        <v>125</v>
      </c>
      <c r="B124">
        <f>HYPERLINK("https://www.suredividend.com/sure-analysis-CVX/","Chevron Corp.")</f>
        <v>0</v>
      </c>
      <c r="C124">
        <v>-0.017891216687276</v>
      </c>
      <c r="D124">
        <v>-0.080714452499586</v>
      </c>
      <c r="E124">
        <v>0.062436842135771</v>
      </c>
      <c r="F124">
        <v>-0.07282713531912501</v>
      </c>
      <c r="G124">
        <v>0.07545949554586601</v>
      </c>
      <c r="H124">
        <v>0.712160637534887</v>
      </c>
      <c r="I124">
        <v>0.812221509364316</v>
      </c>
    </row>
    <row r="125" spans="1:9">
      <c r="A125" s="1" t="s">
        <v>126</v>
      </c>
      <c r="B125">
        <f>HYPERLINK("https://www.suredividend.com/sure-analysis-research-database/","Concho Resources Inc")</f>
        <v>0</v>
      </c>
      <c r="C125">
        <v>0.101410342511752</v>
      </c>
      <c r="D125">
        <v>0.35593220338983</v>
      </c>
      <c r="E125">
        <v>0.311457056778493</v>
      </c>
      <c r="F125">
        <v>0.124250214224507</v>
      </c>
      <c r="G125">
        <v>-0.261109822058124</v>
      </c>
      <c r="H125">
        <v>-0.463728509287878</v>
      </c>
      <c r="I125">
        <v>-0.131124676986327</v>
      </c>
    </row>
    <row r="126" spans="1:9">
      <c r="A126" s="1" t="s">
        <v>127</v>
      </c>
      <c r="B126">
        <f>HYPERLINK("https://www.suredividend.com/sure-analysis-D/","Dominion Energy Inc")</f>
        <v>0</v>
      </c>
      <c r="C126">
        <v>-0.06007362812587701</v>
      </c>
      <c r="D126">
        <v>-0.06349296698955001</v>
      </c>
      <c r="E126">
        <v>-0.300305694115763</v>
      </c>
      <c r="F126">
        <v>-0.07647555070552001</v>
      </c>
      <c r="G126">
        <v>-0.29636016699182</v>
      </c>
      <c r="H126">
        <v>-0.115021847601509</v>
      </c>
      <c r="I126">
        <v>-0.06179664098375501</v>
      </c>
    </row>
    <row r="127" spans="1:9">
      <c r="A127" s="1" t="s">
        <v>128</v>
      </c>
      <c r="B127">
        <f>HYPERLINK("https://www.suredividend.com/sure-analysis-research-database/","Delta Air Lines, Inc.")</f>
        <v>0</v>
      </c>
      <c r="C127">
        <v>-0.018443658413339</v>
      </c>
      <c r="D127">
        <v>0.08793055166619901</v>
      </c>
      <c r="E127">
        <v>0.255656108597285</v>
      </c>
      <c r="F127">
        <v>0.182288496652465</v>
      </c>
      <c r="G127">
        <v>0.125434530706836</v>
      </c>
      <c r="H127">
        <v>-0.172700170357751</v>
      </c>
      <c r="I127">
        <v>-0.231130031051659</v>
      </c>
    </row>
    <row r="128" spans="1:9">
      <c r="A128" s="1" t="s">
        <v>129</v>
      </c>
      <c r="B128">
        <f>HYPERLINK("https://www.suredividend.com/sure-analysis-DD/","DuPont de Nemours Inc")</f>
        <v>0</v>
      </c>
      <c r="C128">
        <v>0.027957978344719</v>
      </c>
      <c r="D128">
        <v>0.048356404664168</v>
      </c>
      <c r="E128">
        <v>0.376534194842745</v>
      </c>
      <c r="F128">
        <v>0.09311302188276001</v>
      </c>
      <c r="G128">
        <v>0.023968966813255</v>
      </c>
      <c r="H128">
        <v>0.06518078821951401</v>
      </c>
      <c r="I128">
        <v>-0.434518962363127</v>
      </c>
    </row>
    <row r="129" spans="1:9">
      <c r="A129" s="1" t="s">
        <v>130</v>
      </c>
      <c r="B129">
        <f>HYPERLINK("https://www.suredividend.com/sure-analysis-DE/","Deere &amp; Co.")</f>
        <v>0</v>
      </c>
      <c r="C129">
        <v>0.05964635768113</v>
      </c>
      <c r="D129">
        <v>-0.031701273946985</v>
      </c>
      <c r="E129">
        <v>0.195123956474689</v>
      </c>
      <c r="F129">
        <v>0.003545106819665</v>
      </c>
      <c r="G129">
        <v>0.116706292593762</v>
      </c>
      <c r="H129">
        <v>0.303234279289757</v>
      </c>
      <c r="I129">
        <v>2.032216418562565</v>
      </c>
    </row>
    <row r="130" spans="1:9">
      <c r="A130" s="1" t="s">
        <v>131</v>
      </c>
      <c r="B130">
        <f>HYPERLINK("https://www.suredividend.com/sure-analysis-DFS/","Discover Financial Services")</f>
        <v>0</v>
      </c>
      <c r="C130">
        <v>-0.030214025520149</v>
      </c>
      <c r="D130">
        <v>0.09491940984826401</v>
      </c>
      <c r="E130">
        <v>0.165963654687017</v>
      </c>
      <c r="F130">
        <v>0.179643568182822</v>
      </c>
      <c r="G130">
        <v>0.065070746421846</v>
      </c>
      <c r="H130">
        <v>0.250224674426331</v>
      </c>
      <c r="I130">
        <v>0.6913758547512381</v>
      </c>
    </row>
    <row r="131" spans="1:9">
      <c r="A131" s="1" t="s">
        <v>132</v>
      </c>
      <c r="B131">
        <f>HYPERLINK("https://www.suredividend.com/sure-analysis-DG/","Dollar General Corp.")</f>
        <v>0</v>
      </c>
      <c r="C131">
        <v>-0.045596036652198</v>
      </c>
      <c r="D131">
        <v>-0.10569840480817</v>
      </c>
      <c r="E131">
        <v>-0.098617886279853</v>
      </c>
      <c r="F131">
        <v>-0.115979695431472</v>
      </c>
      <c r="G131">
        <v>0.04133231603041301</v>
      </c>
      <c r="H131">
        <v>0.242958434063079</v>
      </c>
      <c r="I131">
        <v>1.41051506779539</v>
      </c>
    </row>
    <row r="132" spans="1:9">
      <c r="A132" s="1" t="s">
        <v>133</v>
      </c>
      <c r="B132">
        <f>HYPERLINK("https://www.suredividend.com/sure-analysis-DGX/","Quest Diagnostics, Inc.")</f>
        <v>0</v>
      </c>
      <c r="C132">
        <v>-0.014074644632728</v>
      </c>
      <c r="D132">
        <v>-0.064203110461252</v>
      </c>
      <c r="E132">
        <v>0.131315338884384</v>
      </c>
      <c r="F132">
        <v>-0.09997443109179201</v>
      </c>
      <c r="G132">
        <v>0.033486276579424</v>
      </c>
      <c r="H132">
        <v>0.224092363332869</v>
      </c>
      <c r="I132">
        <v>0.493477702844608</v>
      </c>
    </row>
    <row r="133" spans="1:9">
      <c r="A133" s="1" t="s">
        <v>134</v>
      </c>
      <c r="B133">
        <f>HYPERLINK("https://www.suredividend.com/sure-analysis-DHI/","D.R. Horton Inc.")</f>
        <v>0</v>
      </c>
      <c r="C133">
        <v>-0.06490626889739901</v>
      </c>
      <c r="D133">
        <v>0.077421527527783</v>
      </c>
      <c r="E133">
        <v>0.306878366500642</v>
      </c>
      <c r="F133">
        <v>0.043456745692563</v>
      </c>
      <c r="G133">
        <v>0.099130220513148</v>
      </c>
      <c r="H133">
        <v>0.265981688430417</v>
      </c>
      <c r="I133">
        <v>1.324183229206851</v>
      </c>
    </row>
    <row r="134" spans="1:9">
      <c r="A134" s="1" t="s">
        <v>135</v>
      </c>
      <c r="B134">
        <f>HYPERLINK("https://www.suredividend.com/sure-analysis-DHR/","Danaher Corp.")</f>
        <v>0</v>
      </c>
      <c r="C134">
        <v>-0.061923290717065</v>
      </c>
      <c r="D134">
        <v>-0.07601538295318801</v>
      </c>
      <c r="E134">
        <v>-0.05863540436767301</v>
      </c>
      <c r="F134">
        <v>-0.046266294928792</v>
      </c>
      <c r="G134">
        <v>-0.067650408312695</v>
      </c>
      <c r="H134">
        <v>0.18878054896922</v>
      </c>
      <c r="I134">
        <v>1.689845339737221</v>
      </c>
    </row>
    <row r="135" spans="1:9">
      <c r="A135" s="1" t="s">
        <v>136</v>
      </c>
      <c r="B135">
        <f>HYPERLINK("https://www.suredividend.com/sure-analysis-research-database/","Walt Disney Co (The)")</f>
        <v>0</v>
      </c>
      <c r="C135">
        <v>-0.08644205582151501</v>
      </c>
      <c r="D135">
        <v>0.017198028763954</v>
      </c>
      <c r="E135">
        <v>-0.09046762589928001</v>
      </c>
      <c r="F135">
        <v>0.164134438305709</v>
      </c>
      <c r="G135">
        <v>-0.281267765776009</v>
      </c>
      <c r="H135">
        <v>-0.462107110567462</v>
      </c>
      <c r="I135">
        <v>0.009801484250431002</v>
      </c>
    </row>
    <row r="136" spans="1:9">
      <c r="A136" s="1" t="s">
        <v>137</v>
      </c>
      <c r="B136">
        <f>HYPERLINK("https://www.suredividend.com/sure-analysis-research-database/","Warner Bros.Discovery Inc")</f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s="1" t="s">
        <v>480</v>
      </c>
      <c r="B137">
        <f>HYPERLINK("https://www.suredividend.com/sure-analysis-research-database/","Dish Network Corp")</f>
        <v>0</v>
      </c>
      <c r="C137">
        <v>-0.255305039787798</v>
      </c>
      <c r="D137">
        <v>-0.278277634961439</v>
      </c>
      <c r="E137">
        <v>-0.339800117577895</v>
      </c>
      <c r="F137">
        <v>-0.20014245014245</v>
      </c>
      <c r="G137">
        <v>-0.627652519893899</v>
      </c>
      <c r="H137">
        <v>-0.6574130567419151</v>
      </c>
      <c r="I137">
        <v>-0.724881672170666</v>
      </c>
    </row>
    <row r="138" spans="1:9">
      <c r="A138" s="1" t="s">
        <v>138</v>
      </c>
      <c r="B138">
        <f>HYPERLINK("https://www.suredividend.com/sure-analysis-DLR/","Digital Realty Trust Inc")</f>
        <v>0</v>
      </c>
      <c r="C138">
        <v>-0.07994097734571601</v>
      </c>
      <c r="D138">
        <v>-0.03313430494214301</v>
      </c>
      <c r="E138">
        <v>-0.08457649572428101</v>
      </c>
      <c r="F138">
        <v>0.057145706592201</v>
      </c>
      <c r="G138">
        <v>-0.207720687160291</v>
      </c>
      <c r="H138">
        <v>-0.118668757472608</v>
      </c>
      <c r="I138">
        <v>0.285641686810407</v>
      </c>
    </row>
    <row r="139" spans="1:9">
      <c r="A139" s="1" t="s">
        <v>139</v>
      </c>
      <c r="B139">
        <f>HYPERLINK("https://www.suredividend.com/sure-analysis-research-database/","Dollar Tree Inc")</f>
        <v>0</v>
      </c>
      <c r="C139">
        <v>-0.005069708491761</v>
      </c>
      <c r="D139">
        <v>-0.0135582010582</v>
      </c>
      <c r="E139">
        <v>0.09203397276321501</v>
      </c>
      <c r="F139">
        <v>0.054510746606334</v>
      </c>
      <c r="G139">
        <v>0.03959015822123101</v>
      </c>
      <c r="H139">
        <v>0.464983793340536</v>
      </c>
      <c r="I139">
        <v>0.428503016952399</v>
      </c>
    </row>
    <row r="140" spans="1:9">
      <c r="A140" s="1" t="s">
        <v>140</v>
      </c>
      <c r="B140">
        <f>HYPERLINK("https://www.suredividend.com/sure-analysis-DOV/","Dover Corp.")</f>
        <v>0</v>
      </c>
      <c r="C140">
        <v>-0.027767561950349</v>
      </c>
      <c r="D140">
        <v>0.08145567500246501</v>
      </c>
      <c r="E140">
        <v>0.217023694385007</v>
      </c>
      <c r="F140">
        <v>0.145986786138784</v>
      </c>
      <c r="G140">
        <v>0.03983023838436001</v>
      </c>
      <c r="H140">
        <v>0.267562689642623</v>
      </c>
      <c r="I140">
        <v>1.136430386077077</v>
      </c>
    </row>
    <row r="141" spans="1:9">
      <c r="A141" s="1" t="s">
        <v>141</v>
      </c>
      <c r="B141">
        <f>HYPERLINK("https://www.suredividend.com/sure-analysis-DOW/","Dow Inc")</f>
        <v>0</v>
      </c>
      <c r="C141">
        <v>-0.016081466834927</v>
      </c>
      <c r="D141">
        <v>0.145200056553089</v>
      </c>
      <c r="E141">
        <v>0.214152622648776</v>
      </c>
      <c r="F141">
        <v>0.171564255237085</v>
      </c>
      <c r="G141">
        <v>0.041901148020709</v>
      </c>
      <c r="H141">
        <v>0.047754388549438</v>
      </c>
      <c r="I141">
        <v>0.171084337349397</v>
      </c>
    </row>
    <row r="142" spans="1:9">
      <c r="A142" s="1" t="s">
        <v>142</v>
      </c>
      <c r="B142">
        <f>HYPERLINK("https://www.suredividend.com/sure-analysis-DPZ/","Dominos Pizza Inc")</f>
        <v>0</v>
      </c>
      <c r="C142">
        <v>-0.152549913797897</v>
      </c>
      <c r="D142">
        <v>-0.201355358343171</v>
      </c>
      <c r="E142">
        <v>-0.161694995724028</v>
      </c>
      <c r="F142">
        <v>-0.120207852193995</v>
      </c>
      <c r="G142">
        <v>-0.254504808072169</v>
      </c>
      <c r="H142">
        <v>-0.059123394194758</v>
      </c>
      <c r="I142">
        <v>0.431761368094121</v>
      </c>
    </row>
    <row r="143" spans="1:9">
      <c r="A143" s="1" t="s">
        <v>143</v>
      </c>
      <c r="B143">
        <f>HYPERLINK("https://www.suredividend.com/sure-analysis-DRE/","Duke Realty Corp")</f>
        <v>0</v>
      </c>
      <c r="C143">
        <v>-0.160818219646255</v>
      </c>
      <c r="D143">
        <v>-0.138271644667564</v>
      </c>
      <c r="E143">
        <v>-0.177948555270168</v>
      </c>
      <c r="F143">
        <v>-0.254398584285444</v>
      </c>
      <c r="G143">
        <v>0.007788406251633</v>
      </c>
      <c r="H143">
        <v>0.309430343467382</v>
      </c>
      <c r="I143">
        <v>0.9473567258549981</v>
      </c>
    </row>
    <row r="144" spans="1:9">
      <c r="A144" s="1" t="s">
        <v>144</v>
      </c>
      <c r="B144">
        <f>HYPERLINK("https://www.suredividend.com/sure-analysis-DRI/","Darden Restaurants, Inc.")</f>
        <v>0</v>
      </c>
      <c r="C144">
        <v>-0.0005426672093330001</v>
      </c>
      <c r="D144">
        <v>0.021192481683477</v>
      </c>
      <c r="E144">
        <v>0.197779060409231</v>
      </c>
      <c r="F144">
        <v>0.073975590271096</v>
      </c>
      <c r="G144">
        <v>0.157261592644547</v>
      </c>
      <c r="H144">
        <v>0.141534292127101</v>
      </c>
      <c r="I144">
        <v>0.7401101652478711</v>
      </c>
    </row>
    <row r="145" spans="1:9">
      <c r="A145" s="1" t="s">
        <v>145</v>
      </c>
      <c r="B145">
        <f>HYPERLINK("https://www.suredividend.com/sure-analysis-DTE/","DTE Energy Co.")</f>
        <v>0</v>
      </c>
      <c r="C145">
        <v>-0.030241220290883</v>
      </c>
      <c r="D145">
        <v>-0.041965167307838</v>
      </c>
      <c r="E145">
        <v>-0.153701308802667</v>
      </c>
      <c r="F145">
        <v>-0.06959925125499801</v>
      </c>
      <c r="G145">
        <v>-0.119538278948953</v>
      </c>
      <c r="H145">
        <v>0.137997997706312</v>
      </c>
      <c r="I145">
        <v>0.501858266332279</v>
      </c>
    </row>
    <row r="146" spans="1:9">
      <c r="A146" s="1" t="s">
        <v>146</v>
      </c>
      <c r="B146">
        <f>HYPERLINK("https://www.suredividend.com/sure-analysis-DUK/","Duke Energy Corp.")</f>
        <v>0</v>
      </c>
      <c r="C146">
        <v>-0.041899688233214</v>
      </c>
      <c r="D146">
        <v>-0.031695502292097</v>
      </c>
      <c r="E146">
        <v>-0.090048821995272</v>
      </c>
      <c r="F146">
        <v>-0.0643195693457</v>
      </c>
      <c r="G146">
        <v>-0.05804028139306101</v>
      </c>
      <c r="H146">
        <v>0.191758265097812</v>
      </c>
      <c r="I146">
        <v>0.5568133227576431</v>
      </c>
    </row>
    <row r="147" spans="1:9">
      <c r="A147" s="1" t="s">
        <v>481</v>
      </c>
      <c r="B147">
        <f>HYPERLINK("https://www.suredividend.com/sure-analysis-research-database/","DaVita Inc")</f>
        <v>0</v>
      </c>
      <c r="C147">
        <v>-0.04059429106223601</v>
      </c>
      <c r="D147">
        <v>0.103174603174603</v>
      </c>
      <c r="E147">
        <v>-0.06594533029612701</v>
      </c>
      <c r="F147">
        <v>0.09829918307218401</v>
      </c>
      <c r="G147">
        <v>-0.254860984917317</v>
      </c>
      <c r="H147">
        <v>-0.210075130032748</v>
      </c>
      <c r="I147">
        <v>0.14045334445835</v>
      </c>
    </row>
    <row r="148" spans="1:9">
      <c r="A148" s="1" t="s">
        <v>147</v>
      </c>
      <c r="B148">
        <f>HYPERLINK("https://www.suredividend.com/sure-analysis-DVN/","Devon Energy Corp.")</f>
        <v>0</v>
      </c>
      <c r="C148">
        <v>-0.068693508627773</v>
      </c>
      <c r="D148">
        <v>-0.154237171776266</v>
      </c>
      <c r="E148">
        <v>-0.174686302151903</v>
      </c>
      <c r="F148">
        <v>-0.078686392456511</v>
      </c>
      <c r="G148">
        <v>0.007319821821530001</v>
      </c>
      <c r="H148">
        <v>1.665193058364294</v>
      </c>
      <c r="I148">
        <v>1.180269465455021</v>
      </c>
    </row>
    <row r="149" spans="1:9">
      <c r="A149" s="1" t="s">
        <v>482</v>
      </c>
      <c r="B149">
        <f>HYPERLINK("https://www.suredividend.com/sure-analysis-research-database/","DXC Technology Co")</f>
        <v>0</v>
      </c>
      <c r="C149">
        <v>0</v>
      </c>
      <c r="D149">
        <v>0.001039501039501</v>
      </c>
      <c r="E149">
        <v>0.051310043668122</v>
      </c>
      <c r="F149">
        <v>0.09018867924528301</v>
      </c>
      <c r="G149">
        <v>-0.03700000000000001</v>
      </c>
      <c r="H149">
        <v>0.117169373549884</v>
      </c>
      <c r="I149">
        <v>-0.652834523798079</v>
      </c>
    </row>
    <row r="150" spans="1:9">
      <c r="A150" s="1" t="s">
        <v>148</v>
      </c>
      <c r="B150">
        <f>HYPERLINK("https://www.suredividend.com/sure-analysis-research-database/","Dexcom Inc")</f>
        <v>0</v>
      </c>
      <c r="C150">
        <v>0.133634602969657</v>
      </c>
      <c r="D150">
        <v>0.040724748116163</v>
      </c>
      <c r="E150">
        <v>0.499024390243902</v>
      </c>
      <c r="F150">
        <v>0.085482161780289</v>
      </c>
      <c r="G150">
        <v>0.13799009396843</v>
      </c>
      <c r="H150">
        <v>0.380076907963061</v>
      </c>
      <c r="I150">
        <v>7.957551466569504</v>
      </c>
    </row>
    <row r="151" spans="1:9">
      <c r="A151" s="1" t="s">
        <v>149</v>
      </c>
      <c r="B151">
        <f>HYPERLINK("https://www.suredividend.com/sure-analysis-research-database/","Electronic Arts, Inc.")</f>
        <v>0</v>
      </c>
      <c r="C151">
        <v>-0.005057806009573</v>
      </c>
      <c r="D151">
        <v>-0.143152260669514</v>
      </c>
      <c r="E151">
        <v>-0.09429570384790201</v>
      </c>
      <c r="F151">
        <v>-0.07232046961982701</v>
      </c>
      <c r="G151">
        <v>-0.09885299875280901</v>
      </c>
      <c r="H151">
        <v>-0.129595967910053</v>
      </c>
      <c r="I151">
        <v>-0.084103797792135</v>
      </c>
    </row>
    <row r="152" spans="1:9">
      <c r="A152" s="1" t="s">
        <v>150</v>
      </c>
      <c r="B152">
        <f>HYPERLINK("https://www.suredividend.com/sure-analysis-EBAY/","EBay Inc.")</f>
        <v>0</v>
      </c>
      <c r="C152">
        <v>-0.09119621002763501</v>
      </c>
      <c r="D152">
        <v>0.01858407079646</v>
      </c>
      <c r="E152">
        <v>0.049026733776427</v>
      </c>
      <c r="F152">
        <v>0.110200144682903</v>
      </c>
      <c r="G152">
        <v>-0.161058844323936</v>
      </c>
      <c r="H152">
        <v>-0.1176205653438</v>
      </c>
      <c r="I152">
        <v>0.12753597633252</v>
      </c>
    </row>
    <row r="153" spans="1:9">
      <c r="A153" s="1" t="s">
        <v>151</v>
      </c>
      <c r="B153">
        <f>HYPERLINK("https://www.suredividend.com/sure-analysis-ECL/","Ecolab, Inc.")</f>
        <v>0</v>
      </c>
      <c r="C153">
        <v>0.065953421619153</v>
      </c>
      <c r="D153">
        <v>0.083532102456779</v>
      </c>
      <c r="E153">
        <v>0.017914421679459</v>
      </c>
      <c r="F153">
        <v>0.1225611431712</v>
      </c>
      <c r="G153">
        <v>-0.014658314378269</v>
      </c>
      <c r="H153">
        <v>-0.183111096890822</v>
      </c>
      <c r="I153">
        <v>0.347569961890325</v>
      </c>
    </row>
    <row r="154" spans="1:9">
      <c r="A154" s="1" t="s">
        <v>152</v>
      </c>
      <c r="B154">
        <f>HYPERLINK("https://www.suredividend.com/sure-analysis-ED/","Consolidated Edison, Inc.")</f>
        <v>0</v>
      </c>
      <c r="C154">
        <v>-0.015511474843924</v>
      </c>
      <c r="D154">
        <v>-0.060210175512407</v>
      </c>
      <c r="E154">
        <v>-0.062704442361335</v>
      </c>
      <c r="F154">
        <v>-0.04009500614428101</v>
      </c>
      <c r="G154">
        <v>0.043809137962586</v>
      </c>
      <c r="H154">
        <v>0.457251388317564</v>
      </c>
      <c r="I154">
        <v>0.4399809463321681</v>
      </c>
    </row>
    <row r="155" spans="1:9">
      <c r="A155" s="1" t="s">
        <v>153</v>
      </c>
      <c r="B155">
        <f>HYPERLINK("https://www.suredividend.com/sure-analysis-research-database/","Equifax, Inc.")</f>
        <v>0</v>
      </c>
      <c r="C155">
        <v>-0.081729280056639</v>
      </c>
      <c r="D155">
        <v>0.030489621610884</v>
      </c>
      <c r="E155">
        <v>0.108973536830405</v>
      </c>
      <c r="F155">
        <v>0.06770940522741201</v>
      </c>
      <c r="G155">
        <v>-0.08299974679975601</v>
      </c>
      <c r="H155">
        <v>0.282357085035253</v>
      </c>
      <c r="I155">
        <v>0.8610774555110831</v>
      </c>
    </row>
    <row r="156" spans="1:9">
      <c r="A156" s="1" t="s">
        <v>154</v>
      </c>
      <c r="B156">
        <f>HYPERLINK("https://www.suredividend.com/sure-analysis-EIX/","Edison International")</f>
        <v>0</v>
      </c>
      <c r="C156">
        <v>0.006430387318677001</v>
      </c>
      <c r="D156">
        <v>0.041336252582065</v>
      </c>
      <c r="E156">
        <v>0.013218511938815</v>
      </c>
      <c r="F156">
        <v>0.057843445457403</v>
      </c>
      <c r="G156">
        <v>0.072344195399276</v>
      </c>
      <c r="H156">
        <v>0.289620376385192</v>
      </c>
      <c r="I156">
        <v>0.379635513827104</v>
      </c>
    </row>
    <row r="157" spans="1:9">
      <c r="A157" s="1" t="s">
        <v>155</v>
      </c>
      <c r="B157">
        <f>HYPERLINK("https://www.suredividend.com/sure-analysis-research-database/","Estee Lauder Cos., Inc.")</f>
        <v>0</v>
      </c>
      <c r="C157">
        <v>-0.05794899018664301</v>
      </c>
      <c r="D157">
        <v>0.062384182587605</v>
      </c>
      <c r="E157">
        <v>0.025668651065281</v>
      </c>
      <c r="F157">
        <v>0.023419051364134</v>
      </c>
      <c r="G157">
        <v>-0.104195983792537</v>
      </c>
      <c r="H157">
        <v>-0.09619913242540401</v>
      </c>
      <c r="I157">
        <v>0.8786904437769071</v>
      </c>
    </row>
    <row r="158" spans="1:9">
      <c r="A158" s="1" t="s">
        <v>156</v>
      </c>
      <c r="B158">
        <f>HYPERLINK("https://www.suredividend.com/sure-analysis-EMN/","Eastman Chemical Co")</f>
        <v>0</v>
      </c>
      <c r="C158">
        <v>-0.03259423503325901</v>
      </c>
      <c r="D158">
        <v>0.006050599987087</v>
      </c>
      <c r="E158">
        <v>-0.007457152086773001</v>
      </c>
      <c r="F158">
        <v>0.07146365422396801</v>
      </c>
      <c r="G158">
        <v>-0.21470868806134</v>
      </c>
      <c r="H158">
        <v>-0.168828892673578</v>
      </c>
      <c r="I158">
        <v>0.011879084739945</v>
      </c>
    </row>
    <row r="159" spans="1:9">
      <c r="A159" s="1" t="s">
        <v>157</v>
      </c>
      <c r="B159">
        <f>HYPERLINK("https://www.suredividend.com/sure-analysis-EMR/","Emerson Electric Co.")</f>
        <v>0</v>
      </c>
      <c r="C159">
        <v>-0.05837854855558901</v>
      </c>
      <c r="D159">
        <v>-0.11164652795447</v>
      </c>
      <c r="E159">
        <v>0.06483492817903701</v>
      </c>
      <c r="F159">
        <v>-0.104155299297378</v>
      </c>
      <c r="G159">
        <v>-0.037876444619407</v>
      </c>
      <c r="H159">
        <v>0.016669142772247</v>
      </c>
      <c r="I159">
        <v>0.414751856096879</v>
      </c>
    </row>
    <row r="160" spans="1:9">
      <c r="A160" s="1" t="s">
        <v>158</v>
      </c>
      <c r="B160">
        <f>HYPERLINK("https://www.suredividend.com/sure-analysis-EOG/","EOG Resources, Inc.")</f>
        <v>0</v>
      </c>
      <c r="C160">
        <v>-0.022869523350987</v>
      </c>
      <c r="D160">
        <v>-0.107689827502821</v>
      </c>
      <c r="E160">
        <v>0.039171393728787</v>
      </c>
      <c r="F160">
        <v>-0.053852770260347</v>
      </c>
      <c r="G160">
        <v>0.102254294238623</v>
      </c>
      <c r="H160">
        <v>0.9180546323452971</v>
      </c>
      <c r="I160">
        <v>0.424120581857988</v>
      </c>
    </row>
    <row r="161" spans="1:9">
      <c r="A161" s="1" t="s">
        <v>159</v>
      </c>
      <c r="B161">
        <f>HYPERLINK("https://www.suredividend.com/sure-analysis-EQIX/","Equinix Inc")</f>
        <v>0</v>
      </c>
      <c r="C161">
        <v>-0.037639836289222</v>
      </c>
      <c r="D161">
        <v>0.020159949093959</v>
      </c>
      <c r="E161">
        <v>0.123089608511542</v>
      </c>
      <c r="F161">
        <v>0.07691250782406901</v>
      </c>
      <c r="G161">
        <v>-0.007702086398466001</v>
      </c>
      <c r="H161">
        <v>0.203655895117225</v>
      </c>
      <c r="I161">
        <v>1.012613033125189</v>
      </c>
    </row>
    <row r="162" spans="1:9">
      <c r="A162" s="1" t="s">
        <v>160</v>
      </c>
      <c r="B162">
        <f>HYPERLINK("https://www.suredividend.com/sure-analysis-EQR/","Equity Residential Properties Trust")</f>
        <v>0</v>
      </c>
      <c r="C162">
        <v>-0.03336938050363</v>
      </c>
      <c r="D162">
        <v>-0.013719963934653</v>
      </c>
      <c r="E162">
        <v>-0.135369827350337</v>
      </c>
      <c r="F162">
        <v>0.060508474576271</v>
      </c>
      <c r="G162">
        <v>-0.268442965559412</v>
      </c>
      <c r="H162">
        <v>-0.013517817220948</v>
      </c>
      <c r="I162">
        <v>0.325295845768351</v>
      </c>
    </row>
    <row r="163" spans="1:9">
      <c r="A163" s="1" t="s">
        <v>161</v>
      </c>
      <c r="B163">
        <f>HYPERLINK("https://www.suredividend.com/sure-analysis-ES/","Eversource Energy")</f>
        <v>0</v>
      </c>
      <c r="C163">
        <v>-0.052621929089806</v>
      </c>
      <c r="D163">
        <v>-0.083845613898732</v>
      </c>
      <c r="E163">
        <v>-0.137342525560115</v>
      </c>
      <c r="F163">
        <v>-0.09205791380327101</v>
      </c>
      <c r="G163">
        <v>-0.0946968242387</v>
      </c>
      <c r="H163">
        <v>0.03623526826186</v>
      </c>
      <c r="I163">
        <v>0.542260892319769</v>
      </c>
    </row>
    <row r="164" spans="1:9">
      <c r="A164" s="1" t="s">
        <v>162</v>
      </c>
      <c r="B164">
        <f>HYPERLINK("https://www.suredividend.com/sure-analysis-ESS/","Essex Property Trust, Inc.")</f>
        <v>0</v>
      </c>
      <c r="C164">
        <v>0.007988191369280001</v>
      </c>
      <c r="D164">
        <v>0.07747839056712101</v>
      </c>
      <c r="E164">
        <v>-0.110020112518173</v>
      </c>
      <c r="F164">
        <v>0.09560211400528501</v>
      </c>
      <c r="G164">
        <v>-0.272578939189629</v>
      </c>
      <c r="H164">
        <v>-0.07680550369925901</v>
      </c>
      <c r="I164">
        <v>0.220399991379722</v>
      </c>
    </row>
    <row r="165" spans="1:9">
      <c r="A165" s="1" t="s">
        <v>163</v>
      </c>
      <c r="B165">
        <f>HYPERLINK("https://www.suredividend.com/sure-analysis-ETN/","Eaton Corporation plc")</f>
        <v>0</v>
      </c>
      <c r="C165">
        <v>0.09302905407277201</v>
      </c>
      <c r="D165">
        <v>0.092560924655447</v>
      </c>
      <c r="E165">
        <v>0.306222563256706</v>
      </c>
      <c r="F165">
        <v>0.136833666924063</v>
      </c>
      <c r="G165">
        <v>0.217494341102759</v>
      </c>
      <c r="H165">
        <v>0.383215838541979</v>
      </c>
      <c r="I165">
        <v>1.604904056490693</v>
      </c>
    </row>
    <row r="166" spans="1:9">
      <c r="A166" s="1" t="s">
        <v>164</v>
      </c>
      <c r="B166">
        <f>HYPERLINK("https://www.suredividend.com/sure-analysis-ETR/","Entergy Corp.")</f>
        <v>0</v>
      </c>
      <c r="C166">
        <v>-0.017898787585911</v>
      </c>
      <c r="D166">
        <v>-0.08424158172492301</v>
      </c>
      <c r="E166">
        <v>-0.06849368504855601</v>
      </c>
      <c r="F166">
        <v>-0.056484324277726</v>
      </c>
      <c r="G166">
        <v>-0.018824157824847</v>
      </c>
      <c r="H166">
        <v>0.304002482159478</v>
      </c>
      <c r="I166">
        <v>0.671404460154016</v>
      </c>
    </row>
    <row r="167" spans="1:9">
      <c r="A167" s="1" t="s">
        <v>165</v>
      </c>
      <c r="B167">
        <f>HYPERLINK("https://www.suredividend.com/sure-analysis-EVRG/","Evergy Inc")</f>
        <v>0</v>
      </c>
      <c r="C167">
        <v>-0.034231018818948</v>
      </c>
      <c r="D167">
        <v>0.017606837606837</v>
      </c>
      <c r="E167">
        <v>-0.12023243716157</v>
      </c>
      <c r="F167">
        <v>-0.054028285396472</v>
      </c>
      <c r="G167">
        <v>-0.03987587577255</v>
      </c>
      <c r="H167">
        <v>0.165990602346866</v>
      </c>
      <c r="I167">
        <v>0.280391279659996</v>
      </c>
    </row>
    <row r="168" spans="1:9">
      <c r="A168" s="1" t="s">
        <v>166</v>
      </c>
      <c r="B168">
        <f>HYPERLINK("https://www.suredividend.com/sure-analysis-research-database/","Edwards Lifesciences Corp")</f>
        <v>0</v>
      </c>
      <c r="C168">
        <v>-0.010373975409836</v>
      </c>
      <c r="D168">
        <v>0.06608719646799101</v>
      </c>
      <c r="E168">
        <v>-0.191059463986599</v>
      </c>
      <c r="F168">
        <v>0.035652057364964</v>
      </c>
      <c r="G168">
        <v>-0.242450980392156</v>
      </c>
      <c r="H168">
        <v>-0.03797310756972101</v>
      </c>
      <c r="I168">
        <v>0.676746239961113</v>
      </c>
    </row>
    <row r="169" spans="1:9">
      <c r="A169" s="1" t="s">
        <v>167</v>
      </c>
      <c r="B169">
        <f>HYPERLINK("https://www.suredividend.com/sure-analysis-EXC/","Exelon Corp.")</f>
        <v>0</v>
      </c>
      <c r="C169">
        <v>0.020516374380057</v>
      </c>
      <c r="D169">
        <v>0.006974355979305001</v>
      </c>
      <c r="E169">
        <v>-0.044862384474051</v>
      </c>
      <c r="F169">
        <v>-0.034485976947127</v>
      </c>
      <c r="G169">
        <v>-0.035264824235415</v>
      </c>
      <c r="H169">
        <v>0.5709708280815781</v>
      </c>
      <c r="I169">
        <v>0.8421322079321191</v>
      </c>
    </row>
    <row r="170" spans="1:9">
      <c r="A170" s="1" t="s">
        <v>168</v>
      </c>
      <c r="B170">
        <f>HYPERLINK("https://www.suredividend.com/sure-analysis-EXPD/","Expeditors International Of Washington, Inc.")</f>
        <v>0</v>
      </c>
      <c r="C170">
        <v>-0.06519695804494501</v>
      </c>
      <c r="D170">
        <v>-0.052977839335179</v>
      </c>
      <c r="E170">
        <v>0.08230997001388</v>
      </c>
      <c r="F170">
        <v>0.052732871439568</v>
      </c>
      <c r="G170">
        <v>0.105801109439943</v>
      </c>
      <c r="H170">
        <v>0.190463236014233</v>
      </c>
      <c r="I170">
        <v>0.811993275418009</v>
      </c>
    </row>
    <row r="171" spans="1:9">
      <c r="A171" s="1" t="s">
        <v>169</v>
      </c>
      <c r="B171">
        <f>HYPERLINK("https://www.suredividend.com/sure-analysis-research-database/","Expedia Group Inc")</f>
        <v>0</v>
      </c>
      <c r="C171">
        <v>-0.09342881213142301</v>
      </c>
      <c r="D171">
        <v>0.03780499566014001</v>
      </c>
      <c r="E171">
        <v>0.053966699314397</v>
      </c>
      <c r="F171">
        <v>0.228424657534246</v>
      </c>
      <c r="G171">
        <v>-0.3893775180162281</v>
      </c>
      <c r="H171">
        <v>-0.320686825326683</v>
      </c>
      <c r="I171">
        <v>0.056409581804741</v>
      </c>
    </row>
    <row r="172" spans="1:9">
      <c r="A172" s="1" t="s">
        <v>170</v>
      </c>
      <c r="B172">
        <f>HYPERLINK("https://www.suredividend.com/sure-analysis-EXR/","Extra Space Storage Inc.")</f>
        <v>0</v>
      </c>
      <c r="C172">
        <v>0.03665788021823</v>
      </c>
      <c r="D172">
        <v>0.073738828316076</v>
      </c>
      <c r="E172">
        <v>-0.138019355953507</v>
      </c>
      <c r="F172">
        <v>0.149001222992254</v>
      </c>
      <c r="G172">
        <v>-0.128771857337228</v>
      </c>
      <c r="H172">
        <v>0.47313110265749</v>
      </c>
      <c r="I172">
        <v>1.347589247538717</v>
      </c>
    </row>
    <row r="173" spans="1:9">
      <c r="A173" s="1" t="s">
        <v>171</v>
      </c>
      <c r="B173">
        <f>HYPERLINK("https://www.suredividend.com/sure-analysis-F/","Ford Motor Co.")</f>
        <v>0</v>
      </c>
      <c r="C173">
        <v>0.038713519952352</v>
      </c>
      <c r="D173">
        <v>-0.008505025697002001</v>
      </c>
      <c r="E173">
        <v>-0.08405285603243601</v>
      </c>
      <c r="F173">
        <v>0.181614511816145</v>
      </c>
      <c r="G173">
        <v>-0.162161469676394</v>
      </c>
      <c r="H173">
        <v>0.195437595964027</v>
      </c>
      <c r="I173">
        <v>0.555827812206349</v>
      </c>
    </row>
    <row r="174" spans="1:9">
      <c r="A174" s="1" t="s">
        <v>172</v>
      </c>
      <c r="B174">
        <f>HYPERLINK("https://www.suredividend.com/sure-analysis-FANG/","Diamondback Energy Inc")</f>
        <v>0</v>
      </c>
      <c r="C174">
        <v>0.066303191643949</v>
      </c>
      <c r="D174">
        <v>0.014549059350705</v>
      </c>
      <c r="E174">
        <v>0.112442666678794</v>
      </c>
      <c r="F174">
        <v>0.07893200728698101</v>
      </c>
      <c r="G174">
        <v>0.105675817598145</v>
      </c>
      <c r="H174">
        <v>0.9119781339322701</v>
      </c>
      <c r="I174">
        <v>0.267265586952241</v>
      </c>
    </row>
    <row r="175" spans="1:9">
      <c r="A175" s="1" t="s">
        <v>173</v>
      </c>
      <c r="B175">
        <f>HYPERLINK("https://www.suredividend.com/sure-analysis-FAST/","Fastenal Co.")</f>
        <v>0</v>
      </c>
      <c r="C175">
        <v>-0.009594095940959</v>
      </c>
      <c r="D175">
        <v>0.05102606223531</v>
      </c>
      <c r="E175">
        <v>0.07809782412223701</v>
      </c>
      <c r="F175">
        <v>0.142312373915782</v>
      </c>
      <c r="G175">
        <v>0.020249132370102</v>
      </c>
      <c r="H175">
        <v>0.273139089496839</v>
      </c>
      <c r="I175">
        <v>1.255955082623094</v>
      </c>
    </row>
    <row r="176" spans="1:9">
      <c r="A176" s="1" t="s">
        <v>174</v>
      </c>
      <c r="B176">
        <f>HYPERLINK("https://www.suredividend.com/sure-analysis-research-database/","Meta Platforms Inc")</f>
        <v>0</v>
      </c>
      <c r="C176">
        <v>-0.034990430387201</v>
      </c>
      <c r="D176">
        <v>0.033370119291607</v>
      </c>
      <c r="E176">
        <v>-0.4051306873184891</v>
      </c>
      <c r="F176">
        <v>-0.415370893414598</v>
      </c>
      <c r="G176">
        <v>-0.410692879405418</v>
      </c>
      <c r="H176">
        <v>-0.150216076058772</v>
      </c>
      <c r="I176">
        <v>0.271023204705578</v>
      </c>
    </row>
    <row r="177" spans="1:9">
      <c r="A177" s="1" t="s">
        <v>483</v>
      </c>
      <c r="B177">
        <f>HYPERLINK("https://www.suredividend.com/sure-analysis-research-database/","Fortune Brands Home &amp; Security Inc")</f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 s="1" t="s">
        <v>175</v>
      </c>
      <c r="B178">
        <f>HYPERLINK("https://www.suredividend.com/sure-analysis-FCX/","Freeport-McMoRan Inc")</f>
        <v>0</v>
      </c>
      <c r="C178">
        <v>0.013206672845227</v>
      </c>
      <c r="D178">
        <v>0.08907340349758601</v>
      </c>
      <c r="E178">
        <v>0.5518263146875231</v>
      </c>
      <c r="F178">
        <v>0.152697491373879</v>
      </c>
      <c r="G178">
        <v>-0.119725752198672</v>
      </c>
      <c r="H178">
        <v>0.359898994924868</v>
      </c>
      <c r="I178">
        <v>1.504538868175231</v>
      </c>
    </row>
    <row r="179" spans="1:9">
      <c r="A179" s="1" t="s">
        <v>176</v>
      </c>
      <c r="B179">
        <f>HYPERLINK("https://www.suredividend.com/sure-analysis-FDX/","Fedex Corp")</f>
        <v>0</v>
      </c>
      <c r="C179">
        <v>-0.026039968323473</v>
      </c>
      <c r="D179">
        <v>0.160289550734642</v>
      </c>
      <c r="E179">
        <v>0.008470807500152</v>
      </c>
      <c r="F179">
        <v>0.207159353348729</v>
      </c>
      <c r="G179">
        <v>-0.008506979763735</v>
      </c>
      <c r="H179">
        <v>-0.13787309317098</v>
      </c>
      <c r="I179">
        <v>-0.06822485425972401</v>
      </c>
    </row>
    <row r="180" spans="1:9">
      <c r="A180" s="1" t="s">
        <v>177</v>
      </c>
      <c r="B180">
        <f>HYPERLINK("https://www.suredividend.com/sure-analysis-FE/","Firstenergy Corp.")</f>
        <v>0</v>
      </c>
      <c r="C180">
        <v>-0.030465513039239</v>
      </c>
      <c r="D180">
        <v>-0.020324932952102</v>
      </c>
      <c r="E180">
        <v>-0.030321349262259</v>
      </c>
      <c r="F180">
        <v>-0.042048253989659</v>
      </c>
      <c r="G180">
        <v>-0.041117683641149</v>
      </c>
      <c r="H180">
        <v>0.234862994775579</v>
      </c>
      <c r="I180">
        <v>0.439364335026703</v>
      </c>
    </row>
    <row r="181" spans="1:9">
      <c r="A181" s="1" t="s">
        <v>484</v>
      </c>
      <c r="B181">
        <f>HYPERLINK("https://www.suredividend.com/sure-analysis-research-database/","F5 Inc")</f>
        <v>0</v>
      </c>
      <c r="C181">
        <v>-0.04461942257217801</v>
      </c>
      <c r="D181">
        <v>-0.05417695205924301</v>
      </c>
      <c r="E181">
        <v>-0.06732432259304301</v>
      </c>
      <c r="F181">
        <v>0.014563445056093</v>
      </c>
      <c r="G181">
        <v>-0.27842204381009</v>
      </c>
      <c r="H181">
        <v>-0.217330538085255</v>
      </c>
      <c r="I181">
        <v>-0.018471079951462</v>
      </c>
    </row>
    <row r="182" spans="1:9">
      <c r="A182" s="1" t="s">
        <v>178</v>
      </c>
      <c r="B182">
        <f>HYPERLINK("https://www.suredividend.com/sure-analysis-FIS/","Fidelity National Information Services, Inc.")</f>
        <v>0</v>
      </c>
      <c r="C182">
        <v>-0.152009550338241</v>
      </c>
      <c r="D182">
        <v>-0.130880457657442</v>
      </c>
      <c r="E182">
        <v>-0.280689673795636</v>
      </c>
      <c r="F182">
        <v>-0.05777450257921801</v>
      </c>
      <c r="G182">
        <v>-0.277719342050111</v>
      </c>
      <c r="H182">
        <v>-0.516977562463119</v>
      </c>
      <c r="I182">
        <v>-0.294268818118293</v>
      </c>
    </row>
    <row r="183" spans="1:9">
      <c r="A183" s="1" t="s">
        <v>179</v>
      </c>
      <c r="B183">
        <f>HYPERLINK("https://www.suredividend.com/sure-analysis-research-database/","Fiserv, Inc.")</f>
        <v>0</v>
      </c>
      <c r="C183">
        <v>0.109380863039399</v>
      </c>
      <c r="D183">
        <v>0.121373032429357</v>
      </c>
      <c r="E183">
        <v>0.165812302839116</v>
      </c>
      <c r="F183">
        <v>0.170080142475512</v>
      </c>
      <c r="G183">
        <v>0.215166461159063</v>
      </c>
      <c r="H183">
        <v>0.023453050627434</v>
      </c>
      <c r="I183">
        <v>0.6427281566884291</v>
      </c>
    </row>
    <row r="184" spans="1:9">
      <c r="A184" s="1" t="s">
        <v>180</v>
      </c>
      <c r="B184">
        <f>HYPERLINK("https://www.suredividend.com/sure-analysis-FITB/","Fifth Third Bancorp")</f>
        <v>0</v>
      </c>
      <c r="C184">
        <v>-0.037460148777895</v>
      </c>
      <c r="D184">
        <v>0.03827250712863</v>
      </c>
      <c r="E184">
        <v>0.09813169093488101</v>
      </c>
      <c r="F184">
        <v>0.104236513258152</v>
      </c>
      <c r="G184">
        <v>-0.157367395258185</v>
      </c>
      <c r="H184">
        <v>0.08570247017539601</v>
      </c>
      <c r="I184">
        <v>0.315378638802762</v>
      </c>
    </row>
    <row r="185" spans="1:9">
      <c r="A185" s="1" t="s">
        <v>485</v>
      </c>
      <c r="B185">
        <f>HYPERLINK("https://www.suredividend.com/sure-analysis-research-database/","Flir Systems, Inc.")</f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s="1" t="s">
        <v>486</v>
      </c>
      <c r="B186">
        <f>HYPERLINK("https://www.suredividend.com/sure-analysis-research-database/","Flowserve Corp.")</f>
        <v>0</v>
      </c>
      <c r="C186">
        <v>0.005150214592274</v>
      </c>
      <c r="D186">
        <v>0.104869856206519</v>
      </c>
      <c r="E186">
        <v>0.183756954108779</v>
      </c>
      <c r="F186">
        <v>0.145045632333768</v>
      </c>
      <c r="G186">
        <v>0.189633628060859</v>
      </c>
      <c r="H186">
        <v>-0.038350989570501</v>
      </c>
      <c r="I186">
        <v>-0.07110919556945701</v>
      </c>
    </row>
    <row r="187" spans="1:9">
      <c r="A187" s="1" t="s">
        <v>181</v>
      </c>
      <c r="B187">
        <f>HYPERLINK("https://www.suredividend.com/sure-analysis-research-database/","Fleetcor Technologies Inc")</f>
        <v>0</v>
      </c>
      <c r="C187">
        <v>-0.015948670944087</v>
      </c>
      <c r="D187">
        <v>0.109090909090909</v>
      </c>
      <c r="E187">
        <v>0.026778882938025</v>
      </c>
      <c r="F187">
        <v>0.168989547038327</v>
      </c>
      <c r="G187">
        <v>-0.051296779039455</v>
      </c>
      <c r="H187">
        <v>-0.2282089069408</v>
      </c>
      <c r="I187">
        <v>0.06587242491933401</v>
      </c>
    </row>
    <row r="188" spans="1:9">
      <c r="A188" s="1" t="s">
        <v>182</v>
      </c>
      <c r="B188">
        <f>HYPERLINK("https://www.suredividend.com/sure-analysis-FMC/","FMC Corp.")</f>
        <v>0</v>
      </c>
      <c r="C188">
        <v>0.007928408823298001</v>
      </c>
      <c r="D188">
        <v>-0.039891606454261</v>
      </c>
      <c r="E188">
        <v>0.217907797550336</v>
      </c>
      <c r="F188">
        <v>0.028846153846153</v>
      </c>
      <c r="G188">
        <v>0.07853661732613601</v>
      </c>
      <c r="H188">
        <v>0.322448878699303</v>
      </c>
      <c r="I188">
        <v>1.03046006366536</v>
      </c>
    </row>
    <row r="189" spans="1:9">
      <c r="A189" s="1" t="s">
        <v>183</v>
      </c>
      <c r="B189">
        <f>HYPERLINK("https://www.suredividend.com/sure-analysis-research-database/","Fox Corporation")</f>
        <v>0</v>
      </c>
      <c r="C189">
        <v>0.004548545900381</v>
      </c>
      <c r="D189">
        <v>0.06001250946439701</v>
      </c>
      <c r="E189">
        <v>0.038632617579986</v>
      </c>
      <c r="F189">
        <v>0.140489135247135</v>
      </c>
      <c r="G189">
        <v>-0.162923217702354</v>
      </c>
      <c r="H189">
        <v>-0.091952499527646</v>
      </c>
      <c r="I189">
        <v>-0.138477673996741</v>
      </c>
    </row>
    <row r="190" spans="1:9">
      <c r="A190" s="1" t="s">
        <v>184</v>
      </c>
      <c r="B190">
        <f>HYPERLINK("https://www.suredividend.com/sure-analysis-FOXA/","Fox Corporation")</f>
        <v>0</v>
      </c>
      <c r="C190">
        <v>0.016369012969474</v>
      </c>
      <c r="D190">
        <v>0.080382031996881</v>
      </c>
      <c r="E190">
        <v>0.042276053916594</v>
      </c>
      <c r="F190">
        <v>0.157932434045601</v>
      </c>
      <c r="G190">
        <v>-0.170193502700673</v>
      </c>
      <c r="H190">
        <v>-0.07759117107883701</v>
      </c>
      <c r="I190">
        <v>-0.08651192478634201</v>
      </c>
    </row>
    <row r="191" spans="1:9">
      <c r="A191" s="1" t="s">
        <v>185</v>
      </c>
      <c r="B191">
        <f>HYPERLINK("https://www.suredividend.com/sure-analysis-research-database/","First Republic Bank")</f>
        <v>0</v>
      </c>
      <c r="C191">
        <v>-0.147266435986159</v>
      </c>
      <c r="D191">
        <v>-0.021441408387395</v>
      </c>
      <c r="E191">
        <v>-0.170803006158749</v>
      </c>
      <c r="F191">
        <v>0.012919199923714</v>
      </c>
      <c r="G191">
        <v>-0.246857423668064</v>
      </c>
      <c r="H191">
        <v>-0.250073337252768</v>
      </c>
      <c r="I191">
        <v>0.354307030482349</v>
      </c>
    </row>
    <row r="192" spans="1:9">
      <c r="A192" s="1" t="s">
        <v>487</v>
      </c>
      <c r="B192">
        <f>HYPERLINK("https://www.suredividend.com/sure-analysis-FRT/","Federal Realty Investment Trust.")</f>
        <v>0</v>
      </c>
      <c r="C192">
        <v>-0.051220806794055</v>
      </c>
      <c r="D192">
        <v>-0.009547134474408001</v>
      </c>
      <c r="E192">
        <v>0.08787162607646001</v>
      </c>
      <c r="F192">
        <v>0.06146080760094901</v>
      </c>
      <c r="G192">
        <v>-0.07851720745606301</v>
      </c>
      <c r="H192">
        <v>-0.186393001386735</v>
      </c>
      <c r="I192">
        <v>-0.186393001386735</v>
      </c>
    </row>
    <row r="193" spans="1:9">
      <c r="A193" s="1" t="s">
        <v>488</v>
      </c>
      <c r="B193">
        <f>HYPERLINK("https://www.suredividend.com/sure-analysis-research-database/","TechnipFMC plc")</f>
        <v>0</v>
      </c>
      <c r="C193">
        <v>0.167427701674276</v>
      </c>
      <c r="D193">
        <v>0.190069821567106</v>
      </c>
      <c r="E193">
        <v>0.841536614645858</v>
      </c>
      <c r="F193">
        <v>0.258408531583264</v>
      </c>
      <c r="G193">
        <v>1.059060402684563</v>
      </c>
      <c r="H193">
        <v>0.7652474108170311</v>
      </c>
      <c r="I193">
        <v>-0.433228895720028</v>
      </c>
    </row>
    <row r="194" spans="1:9">
      <c r="A194" s="1" t="s">
        <v>186</v>
      </c>
      <c r="B194">
        <f>HYPERLINK("https://www.suredividend.com/sure-analysis-research-database/","Fortinet Inc")</f>
        <v>0</v>
      </c>
      <c r="C194">
        <v>0.147924528301886</v>
      </c>
      <c r="D194">
        <v>0.134862898712926</v>
      </c>
      <c r="E194">
        <v>0.251851851851852</v>
      </c>
      <c r="F194">
        <v>0.244426263039476</v>
      </c>
      <c r="G194">
        <v>-0.09318547665891601</v>
      </c>
      <c r="H194">
        <v>0.855670103092783</v>
      </c>
      <c r="I194">
        <v>5.028537455410226</v>
      </c>
    </row>
    <row r="195" spans="1:9">
      <c r="A195" s="1" t="s">
        <v>187</v>
      </c>
      <c r="B195">
        <f>HYPERLINK("https://www.suredividend.com/sure-analysis-research-database/","Fortive Corp")</f>
        <v>0</v>
      </c>
      <c r="C195">
        <v>-0.012417598819828</v>
      </c>
      <c r="D195">
        <v>-0.000261120353011</v>
      </c>
      <c r="E195">
        <v>0.09149848407437201</v>
      </c>
      <c r="F195">
        <v>0.06182418746689101</v>
      </c>
      <c r="G195">
        <v>0.129547402040975</v>
      </c>
      <c r="H195">
        <v>0.034164610477309</v>
      </c>
      <c r="I195">
        <v>0.117086755760414</v>
      </c>
    </row>
    <row r="196" spans="1:9">
      <c r="A196" s="1" t="s">
        <v>188</v>
      </c>
      <c r="B196">
        <f>HYPERLINK("https://www.suredividend.com/sure-analysis-GD/","General Dynamics Corp.")</f>
        <v>0</v>
      </c>
      <c r="C196">
        <v>-0.002159454090006</v>
      </c>
      <c r="D196">
        <v>-0.09175392443757401</v>
      </c>
      <c r="E196">
        <v>0.038656974812658</v>
      </c>
      <c r="F196">
        <v>-0.06382285570497101</v>
      </c>
      <c r="G196">
        <v>-0.037225422349421</v>
      </c>
      <c r="H196">
        <v>0.459835566305498</v>
      </c>
      <c r="I196">
        <v>0.159805587989907</v>
      </c>
    </row>
    <row r="197" spans="1:9">
      <c r="A197" s="1" t="s">
        <v>189</v>
      </c>
      <c r="B197">
        <f>HYPERLINK("https://www.suredividend.com/sure-analysis-GE/","General Electric Co.")</f>
        <v>0</v>
      </c>
      <c r="C197">
        <v>0.05392874572962401</v>
      </c>
      <c r="D197">
        <v>0.2645423097587</v>
      </c>
      <c r="E197">
        <v>0.5187024746165</v>
      </c>
      <c r="F197">
        <v>0.309909240486173</v>
      </c>
      <c r="G197">
        <v>0.236593312833198</v>
      </c>
      <c r="H197">
        <v>0.01858643126841</v>
      </c>
      <c r="I197">
        <v>0.047345141327332</v>
      </c>
    </row>
    <row r="198" spans="1:9">
      <c r="A198" s="1" t="s">
        <v>190</v>
      </c>
      <c r="B198">
        <f>HYPERLINK("https://www.suredividend.com/sure-analysis-GILD/","Gilead Sciences, Inc.")</f>
        <v>0</v>
      </c>
      <c r="C198">
        <v>-0.06079203334877201</v>
      </c>
      <c r="D198">
        <v>-0.070228631364165</v>
      </c>
      <c r="E198">
        <v>0.304782863283336</v>
      </c>
      <c r="F198">
        <v>-0.055212580081537</v>
      </c>
      <c r="G198">
        <v>0.371018451531767</v>
      </c>
      <c r="H198">
        <v>0.368524773824749</v>
      </c>
      <c r="I198">
        <v>0.243009889215651</v>
      </c>
    </row>
    <row r="199" spans="1:9">
      <c r="A199" s="1" t="s">
        <v>191</v>
      </c>
      <c r="B199">
        <f>HYPERLINK("https://www.suredividend.com/sure-analysis-GIS/","General Mills, Inc.")</f>
        <v>0</v>
      </c>
      <c r="C199">
        <v>0.05458399576046601</v>
      </c>
      <c r="D199">
        <v>-0.07416561502270901</v>
      </c>
      <c r="E199">
        <v>0.05140665265671601</v>
      </c>
      <c r="F199">
        <v>-0.0446849800716</v>
      </c>
      <c r="G199">
        <v>0.201380682221226</v>
      </c>
      <c r="H199">
        <v>0.5162020282059291</v>
      </c>
      <c r="I199">
        <v>0.8471591805667711</v>
      </c>
    </row>
    <row r="200" spans="1:9">
      <c r="A200" s="1" t="s">
        <v>192</v>
      </c>
      <c r="B200">
        <f>HYPERLINK("https://www.suredividend.com/sure-analysis-GL/","Globe Life Inc")</f>
        <v>0</v>
      </c>
      <c r="C200">
        <v>0.00349533954727</v>
      </c>
      <c r="D200">
        <v>-0.002898358974782</v>
      </c>
      <c r="E200">
        <v>0.250383680512348</v>
      </c>
      <c r="F200">
        <v>0.001981027342165</v>
      </c>
      <c r="G200">
        <v>0.250473153405408</v>
      </c>
      <c r="H200">
        <v>0.296743193657594</v>
      </c>
      <c r="I200">
        <v>0.470633074730552</v>
      </c>
    </row>
    <row r="201" spans="1:9">
      <c r="A201" s="1" t="s">
        <v>193</v>
      </c>
      <c r="B201">
        <f>HYPERLINK("https://www.suredividend.com/sure-analysis-GLW/","Corning, Inc.")</f>
        <v>0</v>
      </c>
      <c r="C201">
        <v>-0.005029860388227001</v>
      </c>
      <c r="D201">
        <v>0.04588924308695901</v>
      </c>
      <c r="E201">
        <v>0.08142747199847901</v>
      </c>
      <c r="F201">
        <v>0.113345307503638</v>
      </c>
      <c r="G201">
        <v>-0.062743316033812</v>
      </c>
      <c r="H201">
        <v>0.009508326225463</v>
      </c>
      <c r="I201">
        <v>0.406148460891371</v>
      </c>
    </row>
    <row r="202" spans="1:9">
      <c r="A202" s="1" t="s">
        <v>194</v>
      </c>
      <c r="B202">
        <f>HYPERLINK("https://www.suredividend.com/sure-analysis-research-database/","General Motors Company")</f>
        <v>0</v>
      </c>
      <c r="C202">
        <v>-0.0005946230479790001</v>
      </c>
      <c r="D202">
        <v>0.030213051374998</v>
      </c>
      <c r="E202">
        <v>0.07088579829431201</v>
      </c>
      <c r="F202">
        <v>0.221924926553402</v>
      </c>
      <c r="G202">
        <v>-0.026154437990662</v>
      </c>
      <c r="H202">
        <v>-0.203338170416863</v>
      </c>
      <c r="I202">
        <v>0.198565579160565</v>
      </c>
    </row>
    <row r="203" spans="1:9">
      <c r="A203" s="1" t="s">
        <v>195</v>
      </c>
      <c r="B203">
        <f>HYPERLINK("https://www.suredividend.com/sure-analysis-research-database/","Alphabet Inc")</f>
        <v>0</v>
      </c>
      <c r="C203">
        <v>-0.106443641893176</v>
      </c>
      <c r="D203">
        <v>-0.06753942279083601</v>
      </c>
      <c r="E203">
        <v>-0.134891424365108</v>
      </c>
      <c r="F203">
        <v>0.059619069085991</v>
      </c>
      <c r="G203">
        <v>-0.299967239479405</v>
      </c>
      <c r="H203">
        <v>-0.072190890655298</v>
      </c>
      <c r="I203">
        <v>0.7428539650761871</v>
      </c>
    </row>
    <row r="204" spans="1:9">
      <c r="A204" s="1" t="s">
        <v>196</v>
      </c>
      <c r="B204">
        <f>HYPERLINK("https://www.suredividend.com/sure-analysis-research-database/","Alphabet Inc")</f>
        <v>0</v>
      </c>
      <c r="C204">
        <v>-0.106222561557549</v>
      </c>
      <c r="D204">
        <v>-0.06760254878534401</v>
      </c>
      <c r="E204">
        <v>-0.131664348632359</v>
      </c>
      <c r="F204">
        <v>0.061430352487815</v>
      </c>
      <c r="G204">
        <v>-0.290027405776061</v>
      </c>
      <c r="H204">
        <v>-0.07912268367151201</v>
      </c>
      <c r="I204">
        <v>0.7276366520929031</v>
      </c>
    </row>
    <row r="205" spans="1:9">
      <c r="A205" s="1" t="s">
        <v>197</v>
      </c>
      <c r="B205">
        <f>HYPERLINK("https://www.suredividend.com/sure-analysis-GPC/","Genuine Parts Co.")</f>
        <v>0</v>
      </c>
      <c r="C205">
        <v>-0.018453898526433</v>
      </c>
      <c r="D205">
        <v>-0.08851803073548101</v>
      </c>
      <c r="E205">
        <v>0.025439846655775</v>
      </c>
      <c r="F205">
        <v>-0.042553068176944</v>
      </c>
      <c r="G205">
        <v>0.390985705348474</v>
      </c>
      <c r="H205">
        <v>0.529367654614718</v>
      </c>
      <c r="I205">
        <v>1.043494771894277</v>
      </c>
    </row>
    <row r="206" spans="1:9">
      <c r="A206" s="1" t="s">
        <v>198</v>
      </c>
      <c r="B206">
        <f>HYPERLINK("https://www.suredividend.com/sure-analysis-research-database/","Global Payments, Inc.")</f>
        <v>0</v>
      </c>
      <c r="C206">
        <v>-0.002299663895276</v>
      </c>
      <c r="D206">
        <v>0.097102307708019</v>
      </c>
      <c r="E206">
        <v>-0.08663301999771601</v>
      </c>
      <c r="F206">
        <v>0.135722915827627</v>
      </c>
      <c r="G206">
        <v>-0.11155708285124</v>
      </c>
      <c r="H206">
        <v>-0.41215249639761</v>
      </c>
      <c r="I206">
        <v>0.014083899260473</v>
      </c>
    </row>
    <row r="207" spans="1:9">
      <c r="A207" s="1" t="s">
        <v>489</v>
      </c>
      <c r="B207">
        <f>HYPERLINK("https://www.suredividend.com/sure-analysis-GPS/","Gap, Inc.")</f>
        <v>0</v>
      </c>
      <c r="C207">
        <v>-0.163171690694626</v>
      </c>
      <c r="D207">
        <v>-0.14006734006734</v>
      </c>
      <c r="E207">
        <v>0.401987154855354</v>
      </c>
      <c r="F207">
        <v>0.13209219858156</v>
      </c>
      <c r="G207">
        <v>-0.07823789690989501</v>
      </c>
      <c r="H207">
        <v>-0.472207182446032</v>
      </c>
      <c r="I207">
        <v>-0.5735757195283621</v>
      </c>
    </row>
    <row r="208" spans="1:9">
      <c r="A208" s="1" t="s">
        <v>199</v>
      </c>
      <c r="B208">
        <f>HYPERLINK("https://www.suredividend.com/sure-analysis-GRMN/","Garmin Ltd")</f>
        <v>0</v>
      </c>
      <c r="C208">
        <v>-0.022454205239314</v>
      </c>
      <c r="D208">
        <v>0.060366994234535</v>
      </c>
      <c r="E208">
        <v>0.139337563475082</v>
      </c>
      <c r="F208">
        <v>0.07552280853830301</v>
      </c>
      <c r="G208">
        <v>-0.07541436824328701</v>
      </c>
      <c r="H208">
        <v>-0.13561658508464</v>
      </c>
      <c r="I208">
        <v>0.897439622576587</v>
      </c>
    </row>
    <row r="209" spans="1:9">
      <c r="A209" s="1" t="s">
        <v>200</v>
      </c>
      <c r="B209">
        <f>HYPERLINK("https://www.suredividend.com/sure-analysis-GS/","Goldman Sachs Group, Inc.")</f>
        <v>0</v>
      </c>
      <c r="C209">
        <v>-0.027850111034006</v>
      </c>
      <c r="D209">
        <v>-0.05500321138537301</v>
      </c>
      <c r="E209">
        <v>0.092088482746598</v>
      </c>
      <c r="F209">
        <v>0.047372724958262</v>
      </c>
      <c r="G209">
        <v>0.106374830832379</v>
      </c>
      <c r="H209">
        <v>0.129304030694147</v>
      </c>
      <c r="I209">
        <v>0.5196748289945561</v>
      </c>
    </row>
    <row r="210" spans="1:9">
      <c r="A210" s="1" t="s">
        <v>201</v>
      </c>
      <c r="B210">
        <f>HYPERLINK("https://www.suredividend.com/sure-analysis-GWW/","W.W. Grainger Inc.")</f>
        <v>0</v>
      </c>
      <c r="C210">
        <v>0.04033199028676501</v>
      </c>
      <c r="D210">
        <v>0.208731197634677</v>
      </c>
      <c r="E210">
        <v>0.256710147837898</v>
      </c>
      <c r="F210">
        <v>0.261078711210541</v>
      </c>
      <c r="G210">
        <v>0.455474625355443</v>
      </c>
      <c r="H210">
        <v>0.80483716481273</v>
      </c>
      <c r="I210">
        <v>1.84200537976406</v>
      </c>
    </row>
    <row r="211" spans="1:9">
      <c r="A211" s="1" t="s">
        <v>202</v>
      </c>
      <c r="B211">
        <f>HYPERLINK("https://www.suredividend.com/sure-analysis-HAL/","Halliburton Co.")</f>
        <v>0</v>
      </c>
      <c r="C211">
        <v>0.012654931777939</v>
      </c>
      <c r="D211">
        <v>0.008181591936621001</v>
      </c>
      <c r="E211">
        <v>0.305831078040951</v>
      </c>
      <c r="F211">
        <v>-0.007419469279517</v>
      </c>
      <c r="G211">
        <v>0.148196808432116</v>
      </c>
      <c r="H211">
        <v>0.7886133991933071</v>
      </c>
      <c r="I211">
        <v>-0.096060693399778</v>
      </c>
    </row>
    <row r="212" spans="1:9">
      <c r="A212" s="1" t="s">
        <v>490</v>
      </c>
      <c r="B212">
        <f>HYPERLINK("https://www.suredividend.com/sure-analysis-HAS/","Hasbro, Inc.")</f>
        <v>0</v>
      </c>
      <c r="C212">
        <v>-0.09897942653491001</v>
      </c>
      <c r="D212">
        <v>-0.110906501316376</v>
      </c>
      <c r="E212">
        <v>-0.277163862351829</v>
      </c>
      <c r="F212">
        <v>-0.07738855510621101</v>
      </c>
      <c r="G212">
        <v>-0.374294084030437</v>
      </c>
      <c r="H212">
        <v>-0.354850683078807</v>
      </c>
      <c r="I212">
        <v>-0.321201529432296</v>
      </c>
    </row>
    <row r="213" spans="1:9">
      <c r="A213" s="1" t="s">
        <v>203</v>
      </c>
      <c r="B213">
        <f>HYPERLINK("https://www.suredividend.com/sure-analysis-HBAN/","Huntington Bancshares, Inc.")</f>
        <v>0</v>
      </c>
      <c r="C213">
        <v>-0.014886731391585</v>
      </c>
      <c r="D213">
        <v>-0.004291620871931</v>
      </c>
      <c r="E213">
        <v>0.168378548508436</v>
      </c>
      <c r="F213">
        <v>0.079432624113475</v>
      </c>
      <c r="G213">
        <v>0.07842303658985901</v>
      </c>
      <c r="H213">
        <v>0.04972032746860101</v>
      </c>
      <c r="I213">
        <v>0.200059924148643</v>
      </c>
    </row>
    <row r="214" spans="1:9">
      <c r="A214" s="1" t="s">
        <v>491</v>
      </c>
      <c r="B214">
        <f>HYPERLINK("https://www.suredividend.com/sure-analysis-HBI/","Hanesbrands Inc")</f>
        <v>0</v>
      </c>
      <c r="C214">
        <v>-0.111450381679389</v>
      </c>
      <c r="D214">
        <v>-0.133928571428571</v>
      </c>
      <c r="E214">
        <v>-0.308821433661108</v>
      </c>
      <c r="F214">
        <v>-0.084905660377358</v>
      </c>
      <c r="G214">
        <v>-0.6045335942596211</v>
      </c>
      <c r="H214">
        <v>-0.657114577932789</v>
      </c>
      <c r="I214">
        <v>-0.642863717530973</v>
      </c>
    </row>
    <row r="215" spans="1:9">
      <c r="A215" s="1" t="s">
        <v>204</v>
      </c>
      <c r="B215">
        <f>HYPERLINK("https://www.suredividend.com/sure-analysis-research-database/","HCA Healthcare Inc")</f>
        <v>0</v>
      </c>
      <c r="C215">
        <v>-0.031346869187848</v>
      </c>
      <c r="D215">
        <v>0.048270598817084</v>
      </c>
      <c r="E215">
        <v>0.256021608455272</v>
      </c>
      <c r="F215">
        <v>0.04179863310551701</v>
      </c>
      <c r="G215">
        <v>-0.048420581430669</v>
      </c>
      <c r="H215">
        <v>0.444706556802932</v>
      </c>
      <c r="I215">
        <v>1.571170268677471</v>
      </c>
    </row>
    <row r="216" spans="1:9">
      <c r="A216" s="1" t="s">
        <v>205</v>
      </c>
      <c r="B216">
        <f>HYPERLINK("https://www.suredividend.com/sure-analysis-HD/","Home Depot, Inc.")</f>
        <v>0</v>
      </c>
      <c r="C216">
        <v>-0.09969834087481101</v>
      </c>
      <c r="D216">
        <v>-0.090063721454922</v>
      </c>
      <c r="E216">
        <v>0.028624682787588</v>
      </c>
      <c r="F216">
        <v>-0.05511935667700801</v>
      </c>
      <c r="G216">
        <v>-0.056440626577802</v>
      </c>
      <c r="H216">
        <v>0.244770358741607</v>
      </c>
      <c r="I216">
        <v>0.8819311280677931</v>
      </c>
    </row>
    <row r="217" spans="1:9">
      <c r="A217" s="1" t="s">
        <v>206</v>
      </c>
      <c r="B217">
        <f>HYPERLINK("https://www.suredividend.com/sure-analysis-research-database/","Hess Corporation")</f>
        <v>0</v>
      </c>
      <c r="C217">
        <v>0.026095805771607</v>
      </c>
      <c r="D217">
        <v>-0.017121690027085</v>
      </c>
      <c r="E217">
        <v>0.17426369357341</v>
      </c>
      <c r="F217">
        <v>-0.004653786489916</v>
      </c>
      <c r="G217">
        <v>0.41312759092579</v>
      </c>
      <c r="H217">
        <v>1.046114397450039</v>
      </c>
      <c r="I217">
        <v>2.286306281137961</v>
      </c>
    </row>
    <row r="218" spans="1:9">
      <c r="A218" s="1" t="s">
        <v>207</v>
      </c>
      <c r="B218">
        <f>HYPERLINK("https://www.suredividend.com/sure-analysis-HIG/","Hartford Financial Services Group Inc.")</f>
        <v>0</v>
      </c>
      <c r="C218">
        <v>0.04237269900698201</v>
      </c>
      <c r="D218">
        <v>0.02766651684559</v>
      </c>
      <c r="E218">
        <v>0.205992777424238</v>
      </c>
      <c r="F218">
        <v>0.027801425210904</v>
      </c>
      <c r="G218">
        <v>0.168581133543299</v>
      </c>
      <c r="H218">
        <v>0.547943098961714</v>
      </c>
      <c r="I218">
        <v>0.6703229449058491</v>
      </c>
    </row>
    <row r="219" spans="1:9">
      <c r="A219" s="1" t="s">
        <v>492</v>
      </c>
      <c r="B219">
        <f>HYPERLINK("https://www.suredividend.com/sure-analysis-HII/","Huntington Ingalls Industries Inc")</f>
        <v>0</v>
      </c>
      <c r="C219">
        <v>0.012740601211024</v>
      </c>
      <c r="D219">
        <v>-0.087027008958416</v>
      </c>
      <c r="E219">
        <v>-0.025911641938493</v>
      </c>
      <c r="F219">
        <v>-0.047449649975891</v>
      </c>
      <c r="G219">
        <v>0.05827588695385501</v>
      </c>
      <c r="H219">
        <v>0.254475347980553</v>
      </c>
      <c r="I219">
        <v>-0.07336411658733301</v>
      </c>
    </row>
    <row r="220" spans="1:9">
      <c r="A220" s="1" t="s">
        <v>208</v>
      </c>
      <c r="B220">
        <f>HYPERLINK("https://www.suredividend.com/sure-analysis-research-database/","Hilton Worldwide Holdings Inc")</f>
        <v>0</v>
      </c>
      <c r="C220">
        <v>0.006218811341813</v>
      </c>
      <c r="D220">
        <v>0.044640360718747</v>
      </c>
      <c r="E220">
        <v>0.160111593333642</v>
      </c>
      <c r="F220">
        <v>0.16914404047878</v>
      </c>
      <c r="G220">
        <v>0.07676334772860401</v>
      </c>
      <c r="H220">
        <v>0.227949454212329</v>
      </c>
      <c r="I220">
        <v>0.9050545002039561</v>
      </c>
    </row>
    <row r="221" spans="1:9">
      <c r="A221" s="1" t="s">
        <v>209</v>
      </c>
      <c r="B221">
        <f>HYPERLINK("https://www.suredividend.com/sure-analysis-research-database/","Hologic, Inc.")</f>
        <v>0</v>
      </c>
      <c r="C221">
        <v>-0.05007085498346701</v>
      </c>
      <c r="D221">
        <v>0.051503267973856</v>
      </c>
      <c r="E221">
        <v>0.191350710900473</v>
      </c>
      <c r="F221">
        <v>0.075257318540302</v>
      </c>
      <c r="G221">
        <v>0.113818886734976</v>
      </c>
      <c r="H221">
        <v>0.142451356341428</v>
      </c>
      <c r="I221">
        <v>1.105208060717089</v>
      </c>
    </row>
    <row r="222" spans="1:9">
      <c r="A222" s="1" t="s">
        <v>210</v>
      </c>
      <c r="B222">
        <f>HYPERLINK("https://www.suredividend.com/sure-analysis-HON/","Honeywell International Inc")</f>
        <v>0</v>
      </c>
      <c r="C222">
        <v>-0.023817329548695</v>
      </c>
      <c r="D222">
        <v>-0.096848145950661</v>
      </c>
      <c r="E222">
        <v>0.069174190324087</v>
      </c>
      <c r="F222">
        <v>-0.076703246080961</v>
      </c>
      <c r="G222">
        <v>0.07691381734815</v>
      </c>
      <c r="H222">
        <v>0.012692355978702</v>
      </c>
      <c r="I222">
        <v>0.54341995890905</v>
      </c>
    </row>
    <row r="223" spans="1:9">
      <c r="A223" s="1" t="s">
        <v>211</v>
      </c>
      <c r="B223">
        <f>HYPERLINK("https://www.suredividend.com/sure-analysis-HPE/","Hewlett Packard Enterprise Co")</f>
        <v>0</v>
      </c>
      <c r="C223">
        <v>-0.06429883649724401</v>
      </c>
      <c r="D223">
        <v>-0.07771795552765601</v>
      </c>
      <c r="E223">
        <v>0.173146612615932</v>
      </c>
      <c r="F223">
        <v>-0.042606516290726</v>
      </c>
      <c r="G223">
        <v>-0.039217289058521</v>
      </c>
      <c r="H223">
        <v>0.159904353436823</v>
      </c>
      <c r="I223">
        <v>-0.054033975533653</v>
      </c>
    </row>
    <row r="224" spans="1:9">
      <c r="A224" s="1" t="s">
        <v>212</v>
      </c>
      <c r="B224">
        <f>HYPERLINK("https://www.suredividend.com/sure-analysis-HPQ/","HP Inc")</f>
        <v>0</v>
      </c>
      <c r="C224">
        <v>-0.062274664044575</v>
      </c>
      <c r="D224">
        <v>-0.025939758749008</v>
      </c>
      <c r="E224">
        <v>0.053783084958268</v>
      </c>
      <c r="F224">
        <v>0.0647562337179</v>
      </c>
      <c r="G224">
        <v>-0.187924168409937</v>
      </c>
      <c r="H224">
        <v>0.07243530152637401</v>
      </c>
      <c r="I224">
        <v>0.391090408720935</v>
      </c>
    </row>
    <row r="225" spans="1:9">
      <c r="A225" s="1" t="s">
        <v>493</v>
      </c>
      <c r="B225">
        <f>HYPERLINK("https://www.suredividend.com/sure-analysis-HRB/","H&amp;R Block Inc.")</f>
        <v>0</v>
      </c>
      <c r="C225">
        <v>-0.08161708619374501</v>
      </c>
      <c r="D225">
        <v>-0.14183891660727</v>
      </c>
      <c r="E225">
        <v>-0.176795290503289</v>
      </c>
      <c r="F225">
        <v>-0.010682004930156</v>
      </c>
      <c r="G225">
        <v>0.453918979841566</v>
      </c>
      <c r="H225">
        <v>0.9920802126650411</v>
      </c>
      <c r="I225">
        <v>0.823155896990682</v>
      </c>
    </row>
    <row r="226" spans="1:9">
      <c r="A226" s="1" t="s">
        <v>213</v>
      </c>
      <c r="B226">
        <f>HYPERLINK("https://www.suredividend.com/sure-analysis-HRL/","Hormel Foods Corp.")</f>
        <v>0</v>
      </c>
      <c r="C226">
        <v>-0.101900972590627</v>
      </c>
      <c r="D226">
        <v>-0.142074056555964</v>
      </c>
      <c r="E226">
        <v>-0.113948066845345</v>
      </c>
      <c r="F226">
        <v>-0.10271019946644</v>
      </c>
      <c r="G226">
        <v>-0.197170435796358</v>
      </c>
      <c r="H226">
        <v>-0.09654695487626701</v>
      </c>
      <c r="I226">
        <v>0.380099796534634</v>
      </c>
    </row>
    <row r="227" spans="1:9">
      <c r="A227" s="1" t="s">
        <v>214</v>
      </c>
      <c r="B227">
        <f>HYPERLINK("https://www.suredividend.com/sure-analysis-research-database/","Henry Schein Inc.")</f>
        <v>0</v>
      </c>
      <c r="C227">
        <v>-0.09054233185407101</v>
      </c>
      <c r="D227">
        <v>-0.05270740785208301</v>
      </c>
      <c r="E227">
        <v>0.107213022733651</v>
      </c>
      <c r="F227">
        <v>-0.012144735194691</v>
      </c>
      <c r="G227">
        <v>-0.092894918372039</v>
      </c>
      <c r="H227">
        <v>0.282926829268292</v>
      </c>
      <c r="I227">
        <v>0.543043883855145</v>
      </c>
    </row>
    <row r="228" spans="1:9">
      <c r="A228" s="1" t="s">
        <v>215</v>
      </c>
      <c r="B228">
        <f>HYPERLINK("https://www.suredividend.com/sure-analysis-research-database/","Host Hotels &amp; Resorts Inc")</f>
        <v>0</v>
      </c>
      <c r="C228">
        <v>-0.10487676979549</v>
      </c>
      <c r="D228">
        <v>-0.07375754912015101</v>
      </c>
      <c r="E228">
        <v>0.003822405174948</v>
      </c>
      <c r="F228">
        <v>0.063551401869158</v>
      </c>
      <c r="G228">
        <v>0.009097841701101001</v>
      </c>
      <c r="H228">
        <v>0.09955940326196101</v>
      </c>
      <c r="I228">
        <v>0.030753530949778</v>
      </c>
    </row>
    <row r="229" spans="1:9">
      <c r="A229" s="1" t="s">
        <v>216</v>
      </c>
      <c r="B229">
        <f>HYPERLINK("https://www.suredividend.com/sure-analysis-HSY/","Hershey Company")</f>
        <v>0</v>
      </c>
      <c r="C229">
        <v>0.013393456810905</v>
      </c>
      <c r="D229">
        <v>0.020085064140415</v>
      </c>
      <c r="E229">
        <v>0.07369540828573901</v>
      </c>
      <c r="F229">
        <v>0.034005509202172</v>
      </c>
      <c r="G229">
        <v>0.140403034888009</v>
      </c>
      <c r="H229">
        <v>0.693519800471543</v>
      </c>
      <c r="I229">
        <v>1.683965333615539</v>
      </c>
    </row>
    <row r="230" spans="1:9">
      <c r="A230" s="1" t="s">
        <v>217</v>
      </c>
      <c r="B230">
        <f>HYPERLINK("https://www.suredividend.com/sure-analysis-HUM/","Humana Inc.")</f>
        <v>0</v>
      </c>
      <c r="C230">
        <v>0.049604465241202</v>
      </c>
      <c r="D230">
        <v>-0.083771167906475</v>
      </c>
      <c r="E230">
        <v>0.035870814043161</v>
      </c>
      <c r="F230">
        <v>-0.023389757707101</v>
      </c>
      <c r="G230">
        <v>0.140795060332985</v>
      </c>
      <c r="H230">
        <v>0.304338756235381</v>
      </c>
      <c r="I230">
        <v>0.9191995540118021</v>
      </c>
    </row>
    <row r="231" spans="1:9">
      <c r="A231" s="1" t="s">
        <v>218</v>
      </c>
      <c r="B231">
        <f>HYPERLINK("https://www.suredividend.com/sure-analysis-research-database/","Howmet Aerospace Inc")</f>
        <v>0</v>
      </c>
      <c r="C231">
        <v>0.09866653273398401</v>
      </c>
      <c r="D231">
        <v>0.120596695328328</v>
      </c>
      <c r="E231">
        <v>0.251927969072371</v>
      </c>
      <c r="F231">
        <v>0.111212707701529</v>
      </c>
      <c r="G231">
        <v>0.296603639381186</v>
      </c>
      <c r="H231">
        <v>0.488140793425649</v>
      </c>
      <c r="I231">
        <v>0.8584597085935171</v>
      </c>
    </row>
    <row r="232" spans="1:9">
      <c r="A232" s="1" t="s">
        <v>219</v>
      </c>
      <c r="B232">
        <f>HYPERLINK("https://www.suredividend.com/sure-analysis-IBM/","International Business Machines Corp.")</f>
        <v>0</v>
      </c>
      <c r="C232">
        <v>-0.04167997256029</v>
      </c>
      <c r="D232">
        <v>-0.117290591423474</v>
      </c>
      <c r="E232">
        <v>0.039181736565345</v>
      </c>
      <c r="F232">
        <v>-0.06854700805573201</v>
      </c>
      <c r="G232">
        <v>0.074880999463554</v>
      </c>
      <c r="H232">
        <v>0.188604288474004</v>
      </c>
      <c r="I232">
        <v>0.06901425407312201</v>
      </c>
    </row>
    <row r="233" spans="1:9">
      <c r="A233" s="1" t="s">
        <v>220</v>
      </c>
      <c r="B233">
        <f>HYPERLINK("https://www.suredividend.com/sure-analysis-ICE/","Intercontinental Exchange Inc")</f>
        <v>0</v>
      </c>
      <c r="C233">
        <v>-0.048114434330299</v>
      </c>
      <c r="D233">
        <v>-0.058604791304771</v>
      </c>
      <c r="E233">
        <v>0.019354607685742</v>
      </c>
      <c r="F233">
        <v>-0.001072229262111</v>
      </c>
      <c r="G233">
        <v>-0.233969648813056</v>
      </c>
      <c r="H233">
        <v>-0.054282766499757</v>
      </c>
      <c r="I233">
        <v>0.5052304112945151</v>
      </c>
    </row>
    <row r="234" spans="1:9">
      <c r="A234" s="1" t="s">
        <v>221</v>
      </c>
      <c r="B234">
        <f>HYPERLINK("https://www.suredividend.com/sure-analysis-research-database/","Idexx Laboratories, Inc.")</f>
        <v>0</v>
      </c>
      <c r="C234">
        <v>0.011587653655604</v>
      </c>
      <c r="D234">
        <v>0.121065931541465</v>
      </c>
      <c r="E234">
        <v>0.41930605240962</v>
      </c>
      <c r="F234">
        <v>0.196195705461319</v>
      </c>
      <c r="G234">
        <v>-0.08905937914169901</v>
      </c>
      <c r="H234">
        <v>0.004425234125758</v>
      </c>
      <c r="I234">
        <v>1.626904236421381</v>
      </c>
    </row>
    <row r="235" spans="1:9">
      <c r="A235" s="1" t="s">
        <v>222</v>
      </c>
      <c r="B235">
        <f>HYPERLINK("https://www.suredividend.com/sure-analysis-IEX/","Idex Corporation")</f>
        <v>0</v>
      </c>
      <c r="C235">
        <v>-0.006961364427427</v>
      </c>
      <c r="D235">
        <v>-0.053824705522423</v>
      </c>
      <c r="E235">
        <v>0.147436316379522</v>
      </c>
      <c r="F235">
        <v>0.002159402357515</v>
      </c>
      <c r="G235">
        <v>0.202207840160715</v>
      </c>
      <c r="H235">
        <v>0.195668687038016</v>
      </c>
      <c r="I235">
        <v>0.7603056626096231</v>
      </c>
    </row>
    <row r="236" spans="1:9">
      <c r="A236" s="1" t="s">
        <v>223</v>
      </c>
      <c r="B236">
        <f>HYPERLINK("https://www.suredividend.com/sure-analysis-IFF/","International Flavors &amp; Fragrances Inc.")</f>
        <v>0</v>
      </c>
      <c r="C236">
        <v>-0.172505073678637</v>
      </c>
      <c r="D236">
        <v>-0.124601062464353</v>
      </c>
      <c r="E236">
        <v>-0.116244311611991</v>
      </c>
      <c r="F236">
        <v>-0.105494086226631</v>
      </c>
      <c r="G236">
        <v>-0.239902446852743</v>
      </c>
      <c r="H236">
        <v>-0.254577220172358</v>
      </c>
      <c r="I236">
        <v>-0.239538793009076</v>
      </c>
    </row>
    <row r="237" spans="1:9">
      <c r="A237" s="1" t="s">
        <v>224</v>
      </c>
      <c r="B237">
        <f>HYPERLINK("https://www.suredividend.com/sure-analysis-research-database/","Illumina Inc")</f>
        <v>0</v>
      </c>
      <c r="C237">
        <v>0.032437225800429</v>
      </c>
      <c r="D237">
        <v>0.011199488023404</v>
      </c>
      <c r="E237">
        <v>0.128219513439078</v>
      </c>
      <c r="F237">
        <v>0.09401582591493501</v>
      </c>
      <c r="G237">
        <v>-0.316345767530982</v>
      </c>
      <c r="H237">
        <v>-0.4464352743925321</v>
      </c>
      <c r="I237">
        <v>-0.03481827304856201</v>
      </c>
    </row>
    <row r="238" spans="1:9">
      <c r="A238" s="1" t="s">
        <v>225</v>
      </c>
      <c r="B238">
        <f>HYPERLINK("https://www.suredividend.com/sure-analysis-research-database/","Incyte Corp.")</f>
        <v>0</v>
      </c>
      <c r="C238">
        <v>-0.07235976557828</v>
      </c>
      <c r="D238">
        <v>-0.06700348851196901</v>
      </c>
      <c r="E238">
        <v>0.104685942173479</v>
      </c>
      <c r="F238">
        <v>-0.03436254980079601</v>
      </c>
      <c r="G238">
        <v>0.107209136331192</v>
      </c>
      <c r="H238">
        <v>0.000774193548387</v>
      </c>
      <c r="I238">
        <v>-0.104491398221914</v>
      </c>
    </row>
    <row r="239" spans="1:9">
      <c r="A239" s="1" t="s">
        <v>226</v>
      </c>
      <c r="B239">
        <f>HYPERLINK("https://www.suredividend.com/sure-analysis-research-database/","IHS Markit Ltd")</f>
        <v>0</v>
      </c>
      <c r="C239">
        <v>-0.024694683908045</v>
      </c>
      <c r="D239">
        <v>-0.145428937864398</v>
      </c>
      <c r="E239">
        <v>-0.08678064321383201</v>
      </c>
      <c r="F239">
        <v>-0.181432436710053</v>
      </c>
      <c r="G239">
        <v>0.213073629917047</v>
      </c>
      <c r="H239">
        <v>0.5547831663693851</v>
      </c>
      <c r="I239">
        <v>1.789399204349624</v>
      </c>
    </row>
    <row r="240" spans="1:9">
      <c r="A240" s="1" t="s">
        <v>227</v>
      </c>
      <c r="B240">
        <f>HYPERLINK("https://www.suredividend.com/sure-analysis-INTC/","Intel Corp.")</f>
        <v>0</v>
      </c>
      <c r="C240">
        <v>-0.118678017025538</v>
      </c>
      <c r="D240">
        <v>-0.09140969162995601</v>
      </c>
      <c r="E240">
        <v>-0.132523469511814</v>
      </c>
      <c r="F240">
        <v>0.011037155615468</v>
      </c>
      <c r="G240">
        <v>-0.426414897569433</v>
      </c>
      <c r="H240">
        <v>-0.5143166214098061</v>
      </c>
      <c r="I240">
        <v>-0.377590426209101</v>
      </c>
    </row>
    <row r="241" spans="1:9">
      <c r="A241" s="1" t="s">
        <v>228</v>
      </c>
      <c r="B241">
        <f>HYPERLINK("https://www.suredividend.com/sure-analysis-INTU/","Intuit Inc")</f>
        <v>0</v>
      </c>
      <c r="C241">
        <v>-0.035963753067774</v>
      </c>
      <c r="D241">
        <v>0.003495974421808</v>
      </c>
      <c r="E241">
        <v>-0.023664403638721</v>
      </c>
      <c r="F241">
        <v>0.051708575909561</v>
      </c>
      <c r="G241">
        <v>-0.115249897722697</v>
      </c>
      <c r="H241">
        <v>0.09861296482701201</v>
      </c>
      <c r="I241">
        <v>1.511176802165223</v>
      </c>
    </row>
    <row r="242" spans="1:9">
      <c r="A242" s="1" t="s">
        <v>229</v>
      </c>
      <c r="B242">
        <f>HYPERLINK("https://www.suredividend.com/sure-analysis-IP/","International Paper Co.")</f>
        <v>0</v>
      </c>
      <c r="C242">
        <v>-0.07591808773517901</v>
      </c>
      <c r="D242">
        <v>0.030188308712823</v>
      </c>
      <c r="E242">
        <v>-0.05426993244427501</v>
      </c>
      <c r="F242">
        <v>0.103666322836279</v>
      </c>
      <c r="G242">
        <v>-0.064123752722515</v>
      </c>
      <c r="H242">
        <v>-0.170752163135904</v>
      </c>
      <c r="I242">
        <v>-0.165703960752523</v>
      </c>
    </row>
    <row r="243" spans="1:9">
      <c r="A243" s="1" t="s">
        <v>230</v>
      </c>
      <c r="B243">
        <f>HYPERLINK("https://www.suredividend.com/sure-analysis-IPG/","Interpublic Group Of Cos., Inc.")</f>
        <v>0</v>
      </c>
      <c r="C243">
        <v>-0.07925143399496501</v>
      </c>
      <c r="D243">
        <v>0.06887827662090701</v>
      </c>
      <c r="E243">
        <v>0.33373183397467</v>
      </c>
      <c r="F243">
        <v>0.08107125985682601</v>
      </c>
      <c r="G243">
        <v>0.082759854782796</v>
      </c>
      <c r="H243">
        <v>0.417476653325709</v>
      </c>
      <c r="I243">
        <v>0.83039376538146</v>
      </c>
    </row>
    <row r="244" spans="1:9">
      <c r="A244" s="1" t="s">
        <v>494</v>
      </c>
      <c r="B244">
        <f>HYPERLINK("https://www.suredividend.com/sure-analysis-research-database/","IPG Photonics Corp")</f>
        <v>0</v>
      </c>
      <c r="C244">
        <v>0.103184934478868</v>
      </c>
      <c r="D244">
        <v>0.3800890239930511</v>
      </c>
      <c r="E244">
        <v>0.421129122414756</v>
      </c>
      <c r="F244">
        <v>0.3427696207880001</v>
      </c>
      <c r="G244">
        <v>0.208365019011406</v>
      </c>
      <c r="H244">
        <v>-0.3849429069092311</v>
      </c>
      <c r="I244">
        <v>-0.480718954248366</v>
      </c>
    </row>
    <row r="245" spans="1:9">
      <c r="A245" s="1" t="s">
        <v>231</v>
      </c>
      <c r="B245">
        <f>HYPERLINK("https://www.suredividend.com/sure-analysis-research-database/","IQVIA Holdings Inc")</f>
        <v>0</v>
      </c>
      <c r="C245">
        <v>-0.068977148157517</v>
      </c>
      <c r="D245">
        <v>0.01419188903688</v>
      </c>
      <c r="E245">
        <v>0.06542506996043601</v>
      </c>
      <c r="F245">
        <v>0.07774903606813401</v>
      </c>
      <c r="G245">
        <v>-0.027224669603524</v>
      </c>
      <c r="H245">
        <v>0.183513774252331</v>
      </c>
      <c r="I245">
        <v>1.249363349292044</v>
      </c>
    </row>
    <row r="246" spans="1:9">
      <c r="A246" s="1" t="s">
        <v>232</v>
      </c>
      <c r="B246">
        <f>HYPERLINK("https://www.suredividend.com/sure-analysis-research-database/","Ingersoll-Rand Inc")</f>
        <v>0</v>
      </c>
      <c r="C246">
        <v>0.0416812633998</v>
      </c>
      <c r="D246">
        <v>0.09056633529734201</v>
      </c>
      <c r="E246">
        <v>0.246583267653815</v>
      </c>
      <c r="F246">
        <v>0.13857187438376</v>
      </c>
      <c r="G246">
        <v>0.286165983969964</v>
      </c>
      <c r="H246">
        <v>0.266650479440092</v>
      </c>
      <c r="I246">
        <v>0.8701257861635211</v>
      </c>
    </row>
    <row r="247" spans="1:9">
      <c r="A247" s="1" t="s">
        <v>233</v>
      </c>
      <c r="B247">
        <f>HYPERLINK("https://www.suredividend.com/sure-analysis-IRM/","Iron Mountain Inc.")</f>
        <v>0</v>
      </c>
      <c r="C247">
        <v>-0.016207455429497</v>
      </c>
      <c r="D247">
        <v>0.003364752382141</v>
      </c>
      <c r="E247">
        <v>0.07185741529913101</v>
      </c>
      <c r="F247">
        <v>0.095887662988966</v>
      </c>
      <c r="G247">
        <v>0.09898510345105001</v>
      </c>
      <c r="H247">
        <v>0.7355364024233331</v>
      </c>
      <c r="I247">
        <v>1.418658602995541</v>
      </c>
    </row>
    <row r="248" spans="1:9">
      <c r="A248" s="1" t="s">
        <v>234</v>
      </c>
      <c r="B248">
        <f>HYPERLINK("https://www.suredividend.com/sure-analysis-research-database/","Intuitive Surgical Inc")</f>
        <v>0</v>
      </c>
      <c r="C248">
        <v>-0.07778388566043601</v>
      </c>
      <c r="D248">
        <v>-0.137300275482093</v>
      </c>
      <c r="E248">
        <v>0.153188982177051</v>
      </c>
      <c r="F248">
        <v>-0.114867156585641</v>
      </c>
      <c r="G248">
        <v>-0.223005160778086</v>
      </c>
      <c r="H248">
        <v>-0.006430052032657001</v>
      </c>
      <c r="I248">
        <v>0.6881334004168761</v>
      </c>
    </row>
    <row r="249" spans="1:9">
      <c r="A249" s="1" t="s">
        <v>235</v>
      </c>
      <c r="B249">
        <f>HYPERLINK("https://www.suredividend.com/sure-analysis-research-database/","Gartner, Inc.")</f>
        <v>0</v>
      </c>
      <c r="C249">
        <v>0.011412051125988</v>
      </c>
      <c r="D249">
        <v>-0.029833318737776</v>
      </c>
      <c r="E249">
        <v>0.089529242066614</v>
      </c>
      <c r="F249">
        <v>-0.011275063961444</v>
      </c>
      <c r="G249">
        <v>0.159872967125008</v>
      </c>
      <c r="H249">
        <v>0.86860452040931</v>
      </c>
      <c r="I249">
        <v>1.840841097529704</v>
      </c>
    </row>
    <row r="250" spans="1:9">
      <c r="A250" s="1" t="s">
        <v>236</v>
      </c>
      <c r="B250">
        <f>HYPERLINK("https://www.suredividend.com/sure-analysis-ITW/","Illinois Tool Works, Inc.")</f>
        <v>0</v>
      </c>
      <c r="C250">
        <v>-0.0316135046407</v>
      </c>
      <c r="D250">
        <v>0.052864431971861</v>
      </c>
      <c r="E250">
        <v>0.238693609319778</v>
      </c>
      <c r="F250">
        <v>0.08456650022696301</v>
      </c>
      <c r="G250">
        <v>0.155107773155456</v>
      </c>
      <c r="H250">
        <v>0.226565856878917</v>
      </c>
      <c r="I250">
        <v>0.705094874581718</v>
      </c>
    </row>
    <row r="251" spans="1:9">
      <c r="A251" s="1" t="s">
        <v>495</v>
      </c>
      <c r="B251">
        <f>HYPERLINK("https://www.suredividend.com/sure-analysis-IVZ/","Invesco Ltd")</f>
        <v>0</v>
      </c>
      <c r="C251">
        <v>-0.09788229127818401</v>
      </c>
      <c r="D251">
        <v>-0.0529902230499</v>
      </c>
      <c r="E251">
        <v>0.138720307390867</v>
      </c>
      <c r="F251">
        <v>0.004912280701754</v>
      </c>
      <c r="G251">
        <v>-0.003340757238307</v>
      </c>
      <c r="H251">
        <v>-0.168204017714001</v>
      </c>
      <c r="I251">
        <v>-0.284520868807508</v>
      </c>
    </row>
    <row r="252" spans="1:9">
      <c r="A252" s="1" t="s">
        <v>237</v>
      </c>
      <c r="B252">
        <f>HYPERLINK("https://www.suredividend.com/sure-analysis-research-database/","Jacobs Solutions Inc")</f>
        <v>0</v>
      </c>
      <c r="C252">
        <v>-0.07042596295516701</v>
      </c>
      <c r="D252">
        <v>-0.048410215492245</v>
      </c>
      <c r="E252">
        <v>-0.03178844243483001</v>
      </c>
      <c r="F252">
        <v>-0.056336053204417</v>
      </c>
      <c r="G252">
        <v>-0.114819068735794</v>
      </c>
      <c r="H252">
        <v>-0.114819068735794</v>
      </c>
      <c r="I252">
        <v>-0.114819068735794</v>
      </c>
    </row>
    <row r="253" spans="1:9">
      <c r="A253" s="1" t="s">
        <v>238</v>
      </c>
      <c r="B253">
        <f>HYPERLINK("https://www.suredividend.com/sure-analysis-JBHT/","J.B. Hunt Transport Services, Inc.")</f>
        <v>0</v>
      </c>
      <c r="C253">
        <v>-0.054842337837146</v>
      </c>
      <c r="D253">
        <v>0.022732565626344</v>
      </c>
      <c r="E253">
        <v>0.111085975813758</v>
      </c>
      <c r="F253">
        <v>0.072707794029068</v>
      </c>
      <c r="G253">
        <v>-0.07603731692405101</v>
      </c>
      <c r="H253">
        <v>0.270628826472432</v>
      </c>
      <c r="I253">
        <v>0.6204117707322231</v>
      </c>
    </row>
    <row r="254" spans="1:9">
      <c r="A254" s="1" t="s">
        <v>239</v>
      </c>
      <c r="B254">
        <f>HYPERLINK("https://www.suredividend.com/sure-analysis-JCI/","Johnson Controls International plc")</f>
        <v>0</v>
      </c>
      <c r="C254">
        <v>-0.007760194765672</v>
      </c>
      <c r="D254">
        <v>-0.037522028804968</v>
      </c>
      <c r="E254">
        <v>0.202677206306816</v>
      </c>
      <c r="F254">
        <v>0.018906249999999</v>
      </c>
      <c r="G254">
        <v>0.06273233519174301</v>
      </c>
      <c r="H254">
        <v>0.18695496269492</v>
      </c>
      <c r="I254">
        <v>1.037857078123584</v>
      </c>
    </row>
    <row r="255" spans="1:9">
      <c r="A255" s="1" t="s">
        <v>240</v>
      </c>
      <c r="B255">
        <f>HYPERLINK("https://www.suredividend.com/sure-analysis-JKHY/","Jack Henry &amp; Associates, Inc.")</f>
        <v>0</v>
      </c>
      <c r="C255">
        <v>-0.08101826231322601</v>
      </c>
      <c r="D255">
        <v>-0.133298538622129</v>
      </c>
      <c r="E255">
        <v>-0.126970441277905</v>
      </c>
      <c r="F255">
        <v>-0.054112554112554</v>
      </c>
      <c r="G255">
        <v>-0.09456619764694001</v>
      </c>
      <c r="H255">
        <v>0.152776562940378</v>
      </c>
      <c r="I255">
        <v>0.461175803928262</v>
      </c>
    </row>
    <row r="256" spans="1:9">
      <c r="A256" s="1" t="s">
        <v>241</v>
      </c>
      <c r="B256">
        <f>HYPERLINK("https://www.suredividend.com/sure-analysis-JNJ/","Johnson &amp; Johnson")</f>
        <v>0</v>
      </c>
      <c r="C256">
        <v>-0.05760411663388001</v>
      </c>
      <c r="D256">
        <v>-0.132782966015137</v>
      </c>
      <c r="E256">
        <v>-0.040622492861663</v>
      </c>
      <c r="F256">
        <v>-0.121835240052797</v>
      </c>
      <c r="G256">
        <v>-0.06662691256035801</v>
      </c>
      <c r="H256">
        <v>0.05967391050083001</v>
      </c>
      <c r="I256">
        <v>0.365688257404128</v>
      </c>
    </row>
    <row r="257" spans="1:9">
      <c r="A257" s="1" t="s">
        <v>496</v>
      </c>
      <c r="B257">
        <f>HYPERLINK("https://www.suredividend.com/sure-analysis-JNPR/","Juniper Networks Inc")</f>
        <v>0</v>
      </c>
      <c r="C257">
        <v>0.005532394661632</v>
      </c>
      <c r="D257">
        <v>-0.059645681358425</v>
      </c>
      <c r="E257">
        <v>0.110495777727103</v>
      </c>
      <c r="F257">
        <v>-0.03316788781218</v>
      </c>
      <c r="G257">
        <v>-0.08250570443405701</v>
      </c>
      <c r="H257">
        <v>0.361987756316062</v>
      </c>
      <c r="I257">
        <v>0.358129075383246</v>
      </c>
    </row>
    <row r="258" spans="1:9">
      <c r="A258" s="1" t="s">
        <v>242</v>
      </c>
      <c r="B258">
        <f>HYPERLINK("https://www.suredividend.com/sure-analysis-JPM/","JPMorgan Chase &amp; Co.")</f>
        <v>0</v>
      </c>
      <c r="C258">
        <v>0.018215323552342</v>
      </c>
      <c r="D258">
        <v>0.07073994047800901</v>
      </c>
      <c r="E258">
        <v>0.284108288424701</v>
      </c>
      <c r="F258">
        <v>0.079203435782287</v>
      </c>
      <c r="G258">
        <v>0.09448150024569801</v>
      </c>
      <c r="H258">
        <v>0.000341896053851</v>
      </c>
      <c r="I258">
        <v>0.447902325553268</v>
      </c>
    </row>
    <row r="259" spans="1:9">
      <c r="A259" s="1" t="s">
        <v>243</v>
      </c>
      <c r="B259">
        <f>HYPERLINK("https://www.suredividend.com/sure-analysis-K/","Kellogg Co")</f>
        <v>0</v>
      </c>
      <c r="C259">
        <v>-0.025054051755394</v>
      </c>
      <c r="D259">
        <v>-0.107191657284026</v>
      </c>
      <c r="E259">
        <v>-0.085864902752478</v>
      </c>
      <c r="F259">
        <v>-0.074732289775607</v>
      </c>
      <c r="G259">
        <v>0.031526766967147</v>
      </c>
      <c r="H259">
        <v>0.20382926038381</v>
      </c>
      <c r="I259">
        <v>0.13429032207665</v>
      </c>
    </row>
    <row r="260" spans="1:9">
      <c r="A260" s="1" t="s">
        <v>244</v>
      </c>
      <c r="B260">
        <f>HYPERLINK("https://www.suredividend.com/sure-analysis-KEY/","Keycorp")</f>
        <v>0</v>
      </c>
      <c r="C260">
        <v>-0.074560517276217</v>
      </c>
      <c r="D260">
        <v>-0.001221214235868</v>
      </c>
      <c r="E260">
        <v>0.067182393820594</v>
      </c>
      <c r="F260">
        <v>0.06356421733400601</v>
      </c>
      <c r="G260">
        <v>-0.176721716661049</v>
      </c>
      <c r="H260">
        <v>-0.02365712884848</v>
      </c>
      <c r="I260">
        <v>0.051495741212663</v>
      </c>
    </row>
    <row r="261" spans="1:9">
      <c r="A261" s="1" t="s">
        <v>245</v>
      </c>
      <c r="B261">
        <f>HYPERLINK("https://www.suredividend.com/sure-analysis-research-database/","Keysight Technologies Inc")</f>
        <v>0</v>
      </c>
      <c r="C261">
        <v>-0.119625137816979</v>
      </c>
      <c r="D261">
        <v>-0.115382484905555</v>
      </c>
      <c r="E261">
        <v>-0.021865621363385</v>
      </c>
      <c r="F261">
        <v>-0.066464020576372</v>
      </c>
      <c r="G261">
        <v>0.05294389134304701</v>
      </c>
      <c r="H261">
        <v>0.20592010873669</v>
      </c>
      <c r="I261">
        <v>2.231485228652367</v>
      </c>
    </row>
    <row r="262" spans="1:9">
      <c r="A262" s="1" t="s">
        <v>246</v>
      </c>
      <c r="B262">
        <f>HYPERLINK("https://www.suredividend.com/sure-analysis-KHC/","Kraft Heinz Co")</f>
        <v>0</v>
      </c>
      <c r="C262">
        <v>-0.008633824276282001</v>
      </c>
      <c r="D262">
        <v>-0.019834295756967</v>
      </c>
      <c r="E262">
        <v>0.05722386661214401</v>
      </c>
      <c r="F262">
        <v>-0.04102186195038</v>
      </c>
      <c r="G262">
        <v>0.021203576305147</v>
      </c>
      <c r="H262">
        <v>0.139867326917686</v>
      </c>
      <c r="I262">
        <v>-0.266468753522979</v>
      </c>
    </row>
    <row r="263" spans="1:9">
      <c r="A263" s="1" t="s">
        <v>247</v>
      </c>
      <c r="B263">
        <f>HYPERLINK("https://www.suredividend.com/sure-analysis-KIM/","Kimco Realty Corporation")</f>
        <v>0</v>
      </c>
      <c r="C263">
        <v>-0.08300044385264001</v>
      </c>
      <c r="D263">
        <v>-0.027306967984934</v>
      </c>
      <c r="E263">
        <v>-0.027306967984934</v>
      </c>
      <c r="F263">
        <v>-0.027306967984934</v>
      </c>
      <c r="G263">
        <v>-0.027306967984934</v>
      </c>
      <c r="H263">
        <v>-0.027306967984934</v>
      </c>
      <c r="I263">
        <v>-0.027306967984934</v>
      </c>
    </row>
    <row r="264" spans="1:9">
      <c r="A264" s="1" t="s">
        <v>248</v>
      </c>
      <c r="B264">
        <f>HYPERLINK("https://www.suredividend.com/sure-analysis-KLAC/","KLA Corp.")</f>
        <v>0</v>
      </c>
      <c r="C264">
        <v>-0.062477116657009</v>
      </c>
      <c r="D264">
        <v>-0.017449396184501</v>
      </c>
      <c r="E264">
        <v>0.145639749702652</v>
      </c>
      <c r="F264">
        <v>0.015204248887753</v>
      </c>
      <c r="G264">
        <v>0.164427773767795</v>
      </c>
      <c r="H264">
        <v>0.360033279874979</v>
      </c>
      <c r="I264">
        <v>2.69876307189384</v>
      </c>
    </row>
    <row r="265" spans="1:9">
      <c r="A265" s="1" t="s">
        <v>249</v>
      </c>
      <c r="B265">
        <f>HYPERLINK("https://www.suredividend.com/sure-analysis-KMB/","Kimberly-Clark Corp.")</f>
        <v>0</v>
      </c>
      <c r="C265">
        <v>-0.036340088374219</v>
      </c>
      <c r="D265">
        <v>-0.075092351834898</v>
      </c>
      <c r="E265">
        <v>0.017903644785507</v>
      </c>
      <c r="F265">
        <v>-0.068213627992633</v>
      </c>
      <c r="G265">
        <v>0.005934288609060001</v>
      </c>
      <c r="H265">
        <v>0.044557836330859</v>
      </c>
      <c r="I265">
        <v>0.316183784998688</v>
      </c>
    </row>
    <row r="266" spans="1:9">
      <c r="A266" s="1" t="s">
        <v>250</v>
      </c>
      <c r="B266">
        <f>HYPERLINK("https://www.suredividend.com/sure-analysis-KMI/","Kinder Morgan Inc")</f>
        <v>0</v>
      </c>
      <c r="C266">
        <v>-0.034463894967177</v>
      </c>
      <c r="D266">
        <v>-0.057027151206898</v>
      </c>
      <c r="E266">
        <v>-0.001256210319032</v>
      </c>
      <c r="F266">
        <v>-0.009044921425403</v>
      </c>
      <c r="G266">
        <v>-0.004343656569075</v>
      </c>
      <c r="H266">
        <v>0.272090408510392</v>
      </c>
      <c r="I266">
        <v>0.471802269827636</v>
      </c>
    </row>
    <row r="267" spans="1:9">
      <c r="A267" s="1" t="s">
        <v>251</v>
      </c>
      <c r="B267">
        <f>HYPERLINK("https://www.suredividend.com/sure-analysis-research-database/","Carmax Inc")</f>
        <v>0</v>
      </c>
      <c r="C267">
        <v>-0.100268576544315</v>
      </c>
      <c r="D267">
        <v>0.010921109354792</v>
      </c>
      <c r="E267">
        <v>-0.196550936500685</v>
      </c>
      <c r="F267">
        <v>0.155362128428313</v>
      </c>
      <c r="G267">
        <v>-0.317454157368778</v>
      </c>
      <c r="H267">
        <v>-0.415211970074813</v>
      </c>
      <c r="I267">
        <v>0.173086543271635</v>
      </c>
    </row>
    <row r="268" spans="1:9">
      <c r="A268" s="1" t="s">
        <v>252</v>
      </c>
      <c r="B268">
        <f>HYPERLINK("https://www.suredividend.com/sure-analysis-KO/","Coca-Cola Co")</f>
        <v>0</v>
      </c>
      <c r="C268">
        <v>-0.006518468995487</v>
      </c>
      <c r="D268">
        <v>-0.076301476301476</v>
      </c>
      <c r="E268">
        <v>-0.01393333432869</v>
      </c>
      <c r="F268">
        <v>-0.06555573023109501</v>
      </c>
      <c r="G268">
        <v>-0.021917988547357</v>
      </c>
      <c r="H268">
        <v>0.26407570843745</v>
      </c>
      <c r="I268">
        <v>0.58210917724467</v>
      </c>
    </row>
    <row r="269" spans="1:9">
      <c r="A269" s="1" t="s">
        <v>253</v>
      </c>
      <c r="B269">
        <f>HYPERLINK("https://www.suredividend.com/sure-analysis-KR/","Kroger Co.")</f>
        <v>0</v>
      </c>
      <c r="C269">
        <v>0.041150110840143</v>
      </c>
      <c r="D269">
        <v>-0.027793929526689</v>
      </c>
      <c r="E269">
        <v>-0.039756743944181</v>
      </c>
      <c r="F269">
        <v>0.037412740457291</v>
      </c>
      <c r="G269">
        <v>-0.203535070959516</v>
      </c>
      <c r="H269">
        <v>0.4039566049776641</v>
      </c>
      <c r="I269">
        <v>0.8656776978884321</v>
      </c>
    </row>
    <row r="270" spans="1:9">
      <c r="A270" s="1" t="s">
        <v>497</v>
      </c>
      <c r="B270">
        <f>HYPERLINK("https://www.suredividend.com/sure-analysis-KSS/","Kohl`s Corp.")</f>
        <v>0</v>
      </c>
      <c r="C270">
        <v>-0.196202531645569</v>
      </c>
      <c r="D270">
        <v>-0.09829081896106501</v>
      </c>
      <c r="E270">
        <v>-0.05165654625126</v>
      </c>
      <c r="F270">
        <v>0.106534653465346</v>
      </c>
      <c r="G270">
        <v>-0.505999961102359</v>
      </c>
      <c r="H270">
        <v>-0.463111493718366</v>
      </c>
      <c r="I270">
        <v>-0.500302250964878</v>
      </c>
    </row>
    <row r="271" spans="1:9">
      <c r="A271" s="1" t="s">
        <v>254</v>
      </c>
      <c r="B271">
        <f>HYPERLINK("https://www.suredividend.com/sure-analysis-KSU/","Kansas City Southern")</f>
        <v>0</v>
      </c>
      <c r="C271">
        <v>-0.055828911400546</v>
      </c>
      <c r="D271">
        <v>0.043096710012079</v>
      </c>
      <c r="E271">
        <v>-0.0005126972573760001</v>
      </c>
      <c r="F271">
        <v>0.447523275300595</v>
      </c>
      <c r="G271">
        <v>0.5065121925938241</v>
      </c>
      <c r="H271">
        <v>0.97498225751659</v>
      </c>
      <c r="I271">
        <v>2.622229103924256</v>
      </c>
    </row>
    <row r="272" spans="1:9">
      <c r="A272" s="1" t="s">
        <v>255</v>
      </c>
      <c r="B272">
        <f>HYPERLINK("https://www.suredividend.com/sure-analysis-research-database/","Loews Corp.")</f>
        <v>0</v>
      </c>
      <c r="C272">
        <v>-0.08902557461961801</v>
      </c>
      <c r="D272">
        <v>0.0005333333333330001</v>
      </c>
      <c r="E272">
        <v>0.017554073380329</v>
      </c>
      <c r="F272">
        <v>-0.035144865420881</v>
      </c>
      <c r="G272">
        <v>-0.08452525607429201</v>
      </c>
      <c r="H272">
        <v>0.09838637907210901</v>
      </c>
      <c r="I272">
        <v>0.124931790516433</v>
      </c>
    </row>
    <row r="273" spans="1:9">
      <c r="A273" s="1" t="s">
        <v>256</v>
      </c>
      <c r="B273">
        <f>HYPERLINK("https://www.suredividend.com/sure-analysis-research-database/","L Brands Inc")</f>
        <v>0</v>
      </c>
      <c r="C273">
        <v>0.079270762997974</v>
      </c>
      <c r="D273">
        <v>0.215420880541403</v>
      </c>
      <c r="E273">
        <v>0.8158312676510751</v>
      </c>
      <c r="F273">
        <v>1.153701877213123</v>
      </c>
      <c r="G273">
        <v>2.281286566514618</v>
      </c>
      <c r="H273">
        <v>2.471989921150379</v>
      </c>
      <c r="I273">
        <v>0.3623996781518271</v>
      </c>
    </row>
    <row r="274" spans="1:9">
      <c r="A274" s="1" t="s">
        <v>257</v>
      </c>
      <c r="B274">
        <f>HYPERLINK("https://www.suredividend.com/sure-analysis-research-database/","Leidos Holdings Inc")</f>
        <v>0</v>
      </c>
      <c r="C274">
        <v>-0.007750356924332001</v>
      </c>
      <c r="D274">
        <v>-0.116391973242932</v>
      </c>
      <c r="E274">
        <v>0.045889054066982</v>
      </c>
      <c r="F274">
        <v>-0.07500712995531901</v>
      </c>
      <c r="G274">
        <v>-0.083510728481811</v>
      </c>
      <c r="H274">
        <v>0.124325173790859</v>
      </c>
      <c r="I274">
        <v>0.6216801806681721</v>
      </c>
    </row>
    <row r="275" spans="1:9">
      <c r="A275" s="1" t="s">
        <v>498</v>
      </c>
      <c r="B275">
        <f>HYPERLINK("https://www.suredividend.com/sure-analysis-LEG/","Leggett &amp; Platt, Inc.")</f>
        <v>0</v>
      </c>
      <c r="C275">
        <v>-0.066344345957561</v>
      </c>
      <c r="D275">
        <v>-0.002568186057188</v>
      </c>
      <c r="E275">
        <v>-0.055075300386016</v>
      </c>
      <c r="F275">
        <v>0.078498293515358</v>
      </c>
      <c r="G275">
        <v>-0.02155065642804</v>
      </c>
      <c r="H275">
        <v>-0.144678725482717</v>
      </c>
      <c r="I275">
        <v>0.013816013976427</v>
      </c>
    </row>
    <row r="276" spans="1:9">
      <c r="A276" s="1" t="s">
        <v>258</v>
      </c>
      <c r="B276">
        <f>HYPERLINK("https://www.suredividend.com/sure-analysis-LEN/","Lennar Corp.")</f>
        <v>0</v>
      </c>
      <c r="C276">
        <v>-0.068695735139776</v>
      </c>
      <c r="D276">
        <v>0.109637051714475</v>
      </c>
      <c r="E276">
        <v>0.264329106381876</v>
      </c>
      <c r="F276">
        <v>0.08266330069778001</v>
      </c>
      <c r="G276">
        <v>0.115290482839311</v>
      </c>
      <c r="H276">
        <v>0.250409928467482</v>
      </c>
      <c r="I276">
        <v>0.7816790604796161</v>
      </c>
    </row>
    <row r="277" spans="1:9">
      <c r="A277" s="1" t="s">
        <v>259</v>
      </c>
      <c r="B277">
        <f>HYPERLINK("https://www.suredividend.com/sure-analysis-research-database/","Laboratory Corp. Of America Holdings")</f>
        <v>0</v>
      </c>
      <c r="C277">
        <v>-0.03726297100606901</v>
      </c>
      <c r="D277">
        <v>-0.006296843855958001</v>
      </c>
      <c r="E277">
        <v>0.066510414461943</v>
      </c>
      <c r="F277">
        <v>0.019402072876494</v>
      </c>
      <c r="G277">
        <v>-0.100362147930005</v>
      </c>
      <c r="H277">
        <v>0.030772888024516</v>
      </c>
      <c r="I277">
        <v>0.405843988027272</v>
      </c>
    </row>
    <row r="278" spans="1:9">
      <c r="A278" s="1" t="s">
        <v>260</v>
      </c>
      <c r="B278">
        <f>HYPERLINK("https://www.suredividend.com/sure-analysis-LHX/","L3Harris Technologies Inc")</f>
        <v>0</v>
      </c>
      <c r="C278">
        <v>0.015216876036975</v>
      </c>
      <c r="D278">
        <v>-0.068869565217391</v>
      </c>
      <c r="E278">
        <v>-0.05260401183448701</v>
      </c>
      <c r="F278">
        <v>0.02857691753518</v>
      </c>
      <c r="G278">
        <v>-0.182124360939182</v>
      </c>
      <c r="H278">
        <v>0.210855406925102</v>
      </c>
      <c r="I278">
        <v>0.433828538450285</v>
      </c>
    </row>
    <row r="279" spans="1:9">
      <c r="A279" s="1" t="s">
        <v>499</v>
      </c>
      <c r="B279">
        <f>HYPERLINK("https://www.suredividend.com/sure-analysis-LIN/","Linde Plc.")</f>
        <v>0</v>
      </c>
      <c r="C279">
        <v>-0.056920090321538</v>
      </c>
      <c r="D279">
        <v>-0.056920090321538</v>
      </c>
      <c r="E279">
        <v>-0.056920090321538</v>
      </c>
      <c r="F279">
        <v>-0.056920090321538</v>
      </c>
      <c r="G279">
        <v>-0.056920090321538</v>
      </c>
      <c r="H279">
        <v>-0.056920090321538</v>
      </c>
      <c r="I279">
        <v>-0.056920090321538</v>
      </c>
    </row>
    <row r="280" spans="1:9">
      <c r="A280" s="1" t="s">
        <v>261</v>
      </c>
      <c r="B280">
        <f>HYPERLINK("https://www.suredividend.com/sure-analysis-research-database/","LKQ Corp")</f>
        <v>0</v>
      </c>
      <c r="C280">
        <v>0.014787752261656</v>
      </c>
      <c r="D280">
        <v>0.05938975662913101</v>
      </c>
      <c r="E280">
        <v>0.09682029296177201</v>
      </c>
      <c r="F280">
        <v>0.092117580977345</v>
      </c>
      <c r="G280">
        <v>0.316508150027309</v>
      </c>
      <c r="H280">
        <v>0.492163137712357</v>
      </c>
      <c r="I280">
        <v>0.532729140773012</v>
      </c>
    </row>
    <row r="281" spans="1:9">
      <c r="A281" s="1" t="s">
        <v>262</v>
      </c>
      <c r="B281">
        <f>HYPERLINK("https://www.suredividend.com/sure-analysis-LLY/","Lilly(Eli) &amp; Co")</f>
        <v>0</v>
      </c>
      <c r="C281">
        <v>-0.057861778502987</v>
      </c>
      <c r="D281">
        <v>-0.147560416049839</v>
      </c>
      <c r="E281">
        <v>0.063124764834184</v>
      </c>
      <c r="F281">
        <v>-0.126776105536057</v>
      </c>
      <c r="G281">
        <v>0.226766730169492</v>
      </c>
      <c r="H281">
        <v>0.6324277049787941</v>
      </c>
      <c r="I281">
        <v>3.5178205839414</v>
      </c>
    </row>
    <row r="282" spans="1:9">
      <c r="A282" s="1" t="s">
        <v>263</v>
      </c>
      <c r="B282">
        <f>HYPERLINK("https://www.suredividend.com/sure-analysis-LMT/","Lockheed Martin Corp.")</f>
        <v>0</v>
      </c>
      <c r="C282">
        <v>0.047527255677622</v>
      </c>
      <c r="D282">
        <v>-0.030895393118138</v>
      </c>
      <c r="E282">
        <v>0.156073139666669</v>
      </c>
      <c r="F282">
        <v>-0.011492902416028</v>
      </c>
      <c r="G282">
        <v>0.063201877539451</v>
      </c>
      <c r="H282">
        <v>0.4825125623775791</v>
      </c>
      <c r="I282">
        <v>0.5772498971911221</v>
      </c>
    </row>
    <row r="283" spans="1:9">
      <c r="A283" s="1" t="s">
        <v>500</v>
      </c>
      <c r="B283">
        <f>HYPERLINK("https://www.suredividend.com/sure-analysis-LNC/","Lincoln National Corp.")</f>
        <v>0</v>
      </c>
      <c r="C283">
        <v>-0.109441451658633</v>
      </c>
      <c r="D283">
        <v>-0.179308434754889</v>
      </c>
      <c r="E283">
        <v>-0.303800835173019</v>
      </c>
      <c r="F283">
        <v>0.037085462973968</v>
      </c>
      <c r="G283">
        <v>-0.470037102464555</v>
      </c>
      <c r="H283">
        <v>-0.408699515438571</v>
      </c>
      <c r="I283">
        <v>-0.50208139804003</v>
      </c>
    </row>
    <row r="284" spans="1:9">
      <c r="A284" s="1" t="s">
        <v>264</v>
      </c>
      <c r="B284">
        <f>HYPERLINK("https://www.suredividend.com/sure-analysis-LNT/","Alliant Energy Corp.")</f>
        <v>0</v>
      </c>
      <c r="C284">
        <v>-0.023809523809523</v>
      </c>
      <c r="D284">
        <v>-0.041849835217308</v>
      </c>
      <c r="E284">
        <v>-0.138863438658697</v>
      </c>
      <c r="F284">
        <v>-0.048965405134892</v>
      </c>
      <c r="G284">
        <v>-0.113430497854661</v>
      </c>
      <c r="H284">
        <v>0.170978093916625</v>
      </c>
      <c r="I284">
        <v>0.5811897032877931</v>
      </c>
    </row>
    <row r="285" spans="1:9">
      <c r="A285" s="1" t="s">
        <v>265</v>
      </c>
      <c r="B285">
        <f>HYPERLINK("https://www.suredividend.com/sure-analysis-LOW/","Lowe`s Cos., Inc.")</f>
        <v>0</v>
      </c>
      <c r="C285">
        <v>-0.04596434049079701</v>
      </c>
      <c r="D285">
        <v>-0.008404525122660001</v>
      </c>
      <c r="E285">
        <v>-0.021676464646911</v>
      </c>
      <c r="F285">
        <v>0.004187266673393</v>
      </c>
      <c r="G285">
        <v>-0.100609308388665</v>
      </c>
      <c r="H285">
        <v>0.237080725654587</v>
      </c>
      <c r="I285">
        <v>1.453896215168666</v>
      </c>
    </row>
    <row r="286" spans="1:9">
      <c r="A286" s="1" t="s">
        <v>266</v>
      </c>
      <c r="B286">
        <f>HYPERLINK("https://www.suredividend.com/sure-analysis-LRCX/","Lam Research Corp.")</f>
        <v>0</v>
      </c>
      <c r="C286">
        <v>-0.07104393008974901</v>
      </c>
      <c r="D286">
        <v>0.07825170800860401</v>
      </c>
      <c r="E286">
        <v>0.151516528413637</v>
      </c>
      <c r="F286">
        <v>0.169759695455626</v>
      </c>
      <c r="G286">
        <v>-0.051587358999214</v>
      </c>
      <c r="H286">
        <v>-0.048429361678325</v>
      </c>
      <c r="I286">
        <v>1.744670042260047</v>
      </c>
    </row>
    <row r="287" spans="1:9">
      <c r="A287" s="1" t="s">
        <v>267</v>
      </c>
      <c r="B287">
        <f>HYPERLINK("https://www.suredividend.com/sure-analysis-research-database/","Southwest Airlines Co")</f>
        <v>0</v>
      </c>
      <c r="C287">
        <v>-0.059697386519945</v>
      </c>
      <c r="D287">
        <v>-0.135690082435644</v>
      </c>
      <c r="E287">
        <v>-0.06488105823290401</v>
      </c>
      <c r="F287">
        <v>0.020383793272273</v>
      </c>
      <c r="G287">
        <v>-0.155450899773419</v>
      </c>
      <c r="H287">
        <v>-0.3873695606195841</v>
      </c>
      <c r="I287">
        <v>-0.388708454351651</v>
      </c>
    </row>
    <row r="288" spans="1:9">
      <c r="A288" s="1" t="s">
        <v>268</v>
      </c>
      <c r="B288">
        <f>HYPERLINK("https://www.suredividend.com/sure-analysis-research-database/","Las Vegas Sands Corp")</f>
        <v>0</v>
      </c>
      <c r="C288">
        <v>0.046831955922864</v>
      </c>
      <c r="D288">
        <v>0.267723102585487</v>
      </c>
      <c r="E288">
        <v>0.6790941728804191</v>
      </c>
      <c r="F288">
        <v>0.264822134387351</v>
      </c>
      <c r="G288">
        <v>0.490196078431372</v>
      </c>
      <c r="H288">
        <v>-0.02485966319166</v>
      </c>
      <c r="I288">
        <v>-0.045341565168784</v>
      </c>
    </row>
    <row r="289" spans="1:9">
      <c r="A289" s="1" t="s">
        <v>269</v>
      </c>
      <c r="B289">
        <f>HYPERLINK("https://www.suredividend.com/sure-analysis-research-database/","Lamb Weston Holdings Inc")</f>
        <v>0</v>
      </c>
      <c r="C289">
        <v>0.009495908677644001</v>
      </c>
      <c r="D289">
        <v>0.158517357472106</v>
      </c>
      <c r="E289">
        <v>0.264914292658104</v>
      </c>
      <c r="F289">
        <v>0.121438062234032</v>
      </c>
      <c r="G289">
        <v>0.9547089649020881</v>
      </c>
      <c r="H289">
        <v>0.217697743365905</v>
      </c>
      <c r="I289">
        <v>0.8775364497219301</v>
      </c>
    </row>
    <row r="290" spans="1:9">
      <c r="A290" s="1" t="s">
        <v>270</v>
      </c>
      <c r="B290">
        <f>HYPERLINK("https://www.suredividend.com/sure-analysis-LYB/","LyondellBasell Industries NV")</f>
        <v>0</v>
      </c>
      <c r="C290">
        <v>0.002945714686491</v>
      </c>
      <c r="D290">
        <v>0.159471441278804</v>
      </c>
      <c r="E290">
        <v>0.218607448994937</v>
      </c>
      <c r="F290">
        <v>0.18558473321905</v>
      </c>
      <c r="G290">
        <v>0.07547336754556701</v>
      </c>
      <c r="H290">
        <v>0.026297013986515</v>
      </c>
      <c r="I290">
        <v>0.111340957897275</v>
      </c>
    </row>
    <row r="291" spans="1:9">
      <c r="A291" s="1" t="s">
        <v>271</v>
      </c>
      <c r="B291">
        <f>HYPERLINK("https://www.suredividend.com/sure-analysis-research-database/","Live Nation Entertainment Inc")</f>
        <v>0</v>
      </c>
      <c r="C291">
        <v>-0.08558897243107701</v>
      </c>
      <c r="D291">
        <v>-0.012851731601731</v>
      </c>
      <c r="E291">
        <v>-0.185966086568496</v>
      </c>
      <c r="F291">
        <v>0.046314883854316</v>
      </c>
      <c r="G291">
        <v>-0.36203881797517</v>
      </c>
      <c r="H291">
        <v>-0.199363616414307</v>
      </c>
      <c r="I291">
        <v>0.662565504670767</v>
      </c>
    </row>
    <row r="292" spans="1:9">
      <c r="A292" s="1" t="s">
        <v>272</v>
      </c>
      <c r="B292">
        <f>HYPERLINK("https://www.suredividend.com/sure-analysis-MA/","Mastercard Incorporated")</f>
        <v>0</v>
      </c>
      <c r="C292">
        <v>-0.033189805033296</v>
      </c>
      <c r="D292">
        <v>0.005628739116815</v>
      </c>
      <c r="E292">
        <v>0.124351748234783</v>
      </c>
      <c r="F292">
        <v>0.041287105754731</v>
      </c>
      <c r="G292">
        <v>0.09968232413524301</v>
      </c>
      <c r="H292">
        <v>0.044638878598224</v>
      </c>
      <c r="I292">
        <v>1.11976589340656</v>
      </c>
    </row>
    <row r="293" spans="1:9">
      <c r="A293" s="1" t="s">
        <v>273</v>
      </c>
      <c r="B293">
        <f>HYPERLINK("https://www.suredividend.com/sure-analysis-MAA/","Mid-America Apartment Communities, Inc.")</f>
        <v>0</v>
      </c>
      <c r="C293">
        <v>-0.078474429355677</v>
      </c>
      <c r="D293">
        <v>-0.020623590154279</v>
      </c>
      <c r="E293">
        <v>-0.011873994260975</v>
      </c>
      <c r="F293">
        <v>0.024729873442936</v>
      </c>
      <c r="G293">
        <v>-0.232983212880225</v>
      </c>
      <c r="H293">
        <v>0.267104158075355</v>
      </c>
      <c r="I293">
        <v>1.17852215133673</v>
      </c>
    </row>
    <row r="294" spans="1:9">
      <c r="A294" s="1" t="s">
        <v>274</v>
      </c>
      <c r="B294">
        <f>HYPERLINK("https://www.suredividend.com/sure-analysis-MAR/","Marriott International, Inc.")</f>
        <v>0</v>
      </c>
      <c r="C294">
        <v>-0.005464857689589001</v>
      </c>
      <c r="D294">
        <v>0.047375479298191</v>
      </c>
      <c r="E294">
        <v>0.127602045802521</v>
      </c>
      <c r="F294">
        <v>0.165133643326518</v>
      </c>
      <c r="G294">
        <v>0.09583819559955101</v>
      </c>
      <c r="H294">
        <v>0.205672029621063</v>
      </c>
      <c r="I294">
        <v>0.285960759138145</v>
      </c>
    </row>
    <row r="295" spans="1:9">
      <c r="A295" s="1" t="s">
        <v>275</v>
      </c>
      <c r="B295">
        <f>HYPERLINK("https://www.suredividend.com/sure-analysis-research-database/","Masco Corp.")</f>
        <v>0</v>
      </c>
      <c r="C295">
        <v>-0.03977404739776901</v>
      </c>
      <c r="D295">
        <v>0.044519432207924</v>
      </c>
      <c r="E295">
        <v>0.07332493339907101</v>
      </c>
      <c r="F295">
        <v>0.139639193247476</v>
      </c>
      <c r="G295">
        <v>-0.013893108995569</v>
      </c>
      <c r="H295">
        <v>0.040091701090621</v>
      </c>
      <c r="I295">
        <v>0.406080967936569</v>
      </c>
    </row>
    <row r="296" spans="1:9">
      <c r="A296" s="1" t="s">
        <v>276</v>
      </c>
      <c r="B296">
        <f>HYPERLINK("https://www.suredividend.com/sure-analysis-MCD/","McDonald`s Corp")</f>
        <v>0</v>
      </c>
      <c r="C296">
        <v>0.024196728599857</v>
      </c>
      <c r="D296">
        <v>-0.010155225407009</v>
      </c>
      <c r="E296">
        <v>0.06930046202427501</v>
      </c>
      <c r="F296">
        <v>0.026917316878433</v>
      </c>
      <c r="G296">
        <v>0.166845912331523</v>
      </c>
      <c r="H296">
        <v>0.373212481244449</v>
      </c>
      <c r="I296">
        <v>1.028480294558226</v>
      </c>
    </row>
    <row r="297" spans="1:9">
      <c r="A297" s="1" t="s">
        <v>277</v>
      </c>
      <c r="B297">
        <f>HYPERLINK("https://www.suredividend.com/sure-analysis-MCHP/","Microchip Technology, Inc.")</f>
        <v>0</v>
      </c>
      <c r="C297">
        <v>-0.027995151743371</v>
      </c>
      <c r="D297">
        <v>0.07296416091864401</v>
      </c>
      <c r="E297">
        <v>0.291771447159354</v>
      </c>
      <c r="F297">
        <v>0.18079450601762</v>
      </c>
      <c r="G297">
        <v>0.239983306762262</v>
      </c>
      <c r="H297">
        <v>1.428576048830255</v>
      </c>
      <c r="I297">
        <v>2.902595745887155</v>
      </c>
    </row>
    <row r="298" spans="1:9">
      <c r="A298" s="1" t="s">
        <v>278</v>
      </c>
      <c r="B298">
        <f>HYPERLINK("https://www.suredividend.com/sure-analysis-MCK/","Mckesson Corporation")</f>
        <v>0</v>
      </c>
      <c r="C298">
        <v>-0.045186987782746</v>
      </c>
      <c r="D298">
        <v>-0.105089523409104</v>
      </c>
      <c r="E298">
        <v>-0.047093437881888</v>
      </c>
      <c r="F298">
        <v>-0.07710586036577201</v>
      </c>
      <c r="G298">
        <v>0.231997359725622</v>
      </c>
      <c r="H298">
        <v>1.031813543621068</v>
      </c>
      <c r="I298">
        <v>1.408093344879066</v>
      </c>
    </row>
    <row r="299" spans="1:9">
      <c r="A299" s="1" t="s">
        <v>279</v>
      </c>
      <c r="B299">
        <f>HYPERLINK("https://www.suredividend.com/sure-analysis-MCO/","Moody`s Corp.")</f>
        <v>0</v>
      </c>
      <c r="C299">
        <v>-0.076942194053569</v>
      </c>
      <c r="D299">
        <v>-0.007712145474410001</v>
      </c>
      <c r="E299">
        <v>0.05815906120009001</v>
      </c>
      <c r="F299">
        <v>0.07459283540002801</v>
      </c>
      <c r="G299">
        <v>-0.07208681652942001</v>
      </c>
      <c r="H299">
        <v>0.09560554384770201</v>
      </c>
      <c r="I299">
        <v>0.8777400214800071</v>
      </c>
    </row>
    <row r="300" spans="1:9">
      <c r="A300" s="1" t="s">
        <v>280</v>
      </c>
      <c r="B300">
        <f>HYPERLINK("https://www.suredividend.com/sure-analysis-MDLZ/","Mondelez International Inc.")</f>
        <v>0</v>
      </c>
      <c r="C300">
        <v>-0.003034440904263</v>
      </c>
      <c r="D300">
        <v>-0.032488423284474</v>
      </c>
      <c r="E300">
        <v>0.09552636448967401</v>
      </c>
      <c r="F300">
        <v>-0.01410352588147</v>
      </c>
      <c r="G300">
        <v>0.054115880558131</v>
      </c>
      <c r="H300">
        <v>0.274042190165968</v>
      </c>
      <c r="I300">
        <v>0.653668345249509</v>
      </c>
    </row>
    <row r="301" spans="1:9">
      <c r="A301" s="1" t="s">
        <v>281</v>
      </c>
      <c r="B301">
        <f>HYPERLINK("https://www.suredividend.com/sure-analysis-MDT/","Medtronic Plc")</f>
        <v>0</v>
      </c>
      <c r="C301">
        <v>-0.042365097588978</v>
      </c>
      <c r="D301">
        <v>0.056919840847461</v>
      </c>
      <c r="E301">
        <v>-0.027238715455953</v>
      </c>
      <c r="F301">
        <v>0.07321152856407601</v>
      </c>
      <c r="G301">
        <v>-0.206108991784118</v>
      </c>
      <c r="H301">
        <v>-0.237987871390697</v>
      </c>
      <c r="I301">
        <v>0.184942521550866</v>
      </c>
    </row>
    <row r="302" spans="1:9">
      <c r="A302" s="1" t="s">
        <v>282</v>
      </c>
      <c r="B302">
        <f>HYPERLINK("https://www.suredividend.com/sure-analysis-MET/","Metlife Inc")</f>
        <v>0</v>
      </c>
      <c r="C302">
        <v>0.015009380863039</v>
      </c>
      <c r="D302">
        <v>-0.078955984232375</v>
      </c>
      <c r="E302">
        <v>0.09619829764285301</v>
      </c>
      <c r="F302">
        <v>-0.021175619158959</v>
      </c>
      <c r="G302">
        <v>0.13195764453665</v>
      </c>
      <c r="H302">
        <v>0.272386162777865</v>
      </c>
      <c r="I302">
        <v>0.8526665173926211</v>
      </c>
    </row>
    <row r="303" spans="1:9">
      <c r="A303" s="1" t="s">
        <v>283</v>
      </c>
      <c r="B303">
        <f>HYPERLINK("https://www.suredividend.com/sure-analysis-research-database/","MGM Resorts International")</f>
        <v>0</v>
      </c>
      <c r="C303">
        <v>0.100695276912011</v>
      </c>
      <c r="D303">
        <v>0.238217247656934</v>
      </c>
      <c r="E303">
        <v>0.397339242070533</v>
      </c>
      <c r="F303">
        <v>0.369221592603638</v>
      </c>
      <c r="G303">
        <v>0.05934989927984501</v>
      </c>
      <c r="H303">
        <v>0.182948636684548</v>
      </c>
      <c r="I303">
        <v>0.420487068338701</v>
      </c>
    </row>
    <row r="304" spans="1:9">
      <c r="A304" s="1" t="s">
        <v>501</v>
      </c>
      <c r="B304">
        <f>HYPERLINK("https://www.suredividend.com/sure-analysis-research-database/","Mohawk Industries, Inc.")</f>
        <v>0</v>
      </c>
      <c r="C304">
        <v>-0.150327319176113</v>
      </c>
      <c r="D304">
        <v>0.042511509452443</v>
      </c>
      <c r="E304">
        <v>-0.022232429949471</v>
      </c>
      <c r="F304">
        <v>0.04118567794952</v>
      </c>
      <c r="G304">
        <v>-0.225118310884601</v>
      </c>
      <c r="H304">
        <v>-0.394217086914451</v>
      </c>
      <c r="I304">
        <v>-0.550092999661819</v>
      </c>
    </row>
    <row r="305" spans="1:9">
      <c r="A305" s="1" t="s">
        <v>284</v>
      </c>
      <c r="B305">
        <f>HYPERLINK("https://www.suredividend.com/sure-analysis-MKC/","McCormick &amp; Co., Inc.")</f>
        <v>0</v>
      </c>
      <c r="C305">
        <v>-0.022001609873893</v>
      </c>
      <c r="D305">
        <v>-0.152082051472922</v>
      </c>
      <c r="E305">
        <v>-0.113554948649417</v>
      </c>
      <c r="F305">
        <v>-0.120521172638436</v>
      </c>
      <c r="G305">
        <v>-0.282305129598563</v>
      </c>
      <c r="H305">
        <v>-0.090462204899277</v>
      </c>
      <c r="I305">
        <v>0.4582712384503521</v>
      </c>
    </row>
    <row r="306" spans="1:9">
      <c r="A306" s="1" t="s">
        <v>285</v>
      </c>
      <c r="B306">
        <f>HYPERLINK("https://www.suredividend.com/sure-analysis-MKTX/","MarketAxess Holdings Inc.")</f>
        <v>0</v>
      </c>
      <c r="C306">
        <v>0.07048323256271301</v>
      </c>
      <c r="D306">
        <v>0.316973100275569</v>
      </c>
      <c r="E306">
        <v>0.48591612728887</v>
      </c>
      <c r="F306">
        <v>0.327692293873004</v>
      </c>
      <c r="G306">
        <v>0.013526486306201</v>
      </c>
      <c r="H306">
        <v>-0.225240974755544</v>
      </c>
      <c r="I306">
        <v>0.8884837854716761</v>
      </c>
    </row>
    <row r="307" spans="1:9">
      <c r="A307" s="1" t="s">
        <v>286</v>
      </c>
      <c r="B307">
        <f>HYPERLINK("https://www.suredividend.com/sure-analysis-MLM/","Martin Marietta Materials, Inc.")</f>
        <v>0</v>
      </c>
      <c r="C307">
        <v>0.015681080252195</v>
      </c>
      <c r="D307">
        <v>0.001517808154637</v>
      </c>
      <c r="E307">
        <v>0.07740031866437901</v>
      </c>
      <c r="F307">
        <v>0.08377996794487001</v>
      </c>
      <c r="G307">
        <v>-0.019375658619782</v>
      </c>
      <c r="H307">
        <v>0.121991487324583</v>
      </c>
      <c r="I307">
        <v>0.8574910813806861</v>
      </c>
    </row>
    <row r="308" spans="1:9">
      <c r="A308" s="1" t="s">
        <v>287</v>
      </c>
      <c r="B308">
        <f>HYPERLINK("https://www.suredividend.com/sure-analysis-MMC/","Marsh &amp; McLennan Cos., Inc.")</f>
        <v>0</v>
      </c>
      <c r="C308">
        <v>-0.047765883174307</v>
      </c>
      <c r="D308">
        <v>-0.055669731927213</v>
      </c>
      <c r="E308">
        <v>0.028510096265327</v>
      </c>
      <c r="F308">
        <v>-0.007562582920399001</v>
      </c>
      <c r="G308">
        <v>0.06067361555749601</v>
      </c>
      <c r="H308">
        <v>0.48721956183951</v>
      </c>
      <c r="I308">
        <v>1.152722700327373</v>
      </c>
    </row>
    <row r="309" spans="1:9">
      <c r="A309" s="1" t="s">
        <v>288</v>
      </c>
      <c r="B309">
        <f>HYPERLINK("https://www.suredividend.com/sure-analysis-MMM/","3M Co.")</f>
        <v>0</v>
      </c>
      <c r="C309">
        <v>-0.040487362737344</v>
      </c>
      <c r="D309">
        <v>-0.112267873927037</v>
      </c>
      <c r="E309">
        <v>-0.062448386629229</v>
      </c>
      <c r="F309">
        <v>-0.05993088472620001</v>
      </c>
      <c r="G309">
        <v>-0.206787718398945</v>
      </c>
      <c r="H309">
        <v>-0.3230185850443451</v>
      </c>
      <c r="I309">
        <v>-0.4241388608963571</v>
      </c>
    </row>
    <row r="310" spans="1:9">
      <c r="A310" s="1" t="s">
        <v>289</v>
      </c>
      <c r="B310">
        <f>HYPERLINK("https://www.suredividend.com/sure-analysis-research-database/","Monster Beverage Corp.")</f>
        <v>0</v>
      </c>
      <c r="C310">
        <v>0.002062868369351</v>
      </c>
      <c r="D310">
        <v>-0.019511726259131</v>
      </c>
      <c r="E310">
        <v>0.154089829166195</v>
      </c>
      <c r="F310">
        <v>0.004727666699497</v>
      </c>
      <c r="G310">
        <v>0.254426955238563</v>
      </c>
      <c r="H310">
        <v>0.20465281058101</v>
      </c>
      <c r="I310">
        <v>0.8834933530280651</v>
      </c>
    </row>
    <row r="311" spans="1:9">
      <c r="A311" s="1" t="s">
        <v>290</v>
      </c>
      <c r="B311">
        <f>HYPERLINK("https://www.suredividend.com/sure-analysis-MO/","Altria Group Inc.")</f>
        <v>0</v>
      </c>
      <c r="C311">
        <v>-0.008100618205073001</v>
      </c>
      <c r="D311">
        <v>-0.002912190700275</v>
      </c>
      <c r="E311">
        <v>0.078964027575844</v>
      </c>
      <c r="F311">
        <v>0.017939181798293</v>
      </c>
      <c r="G311">
        <v>-0.05871262312293701</v>
      </c>
      <c r="H311">
        <v>0.222219011770392</v>
      </c>
      <c r="I311">
        <v>0.06293303727461501</v>
      </c>
    </row>
    <row r="312" spans="1:9">
      <c r="A312" s="1" t="s">
        <v>291</v>
      </c>
      <c r="B312">
        <f>HYPERLINK("https://www.suredividend.com/sure-analysis-research-database/","Mosaic Company")</f>
        <v>0</v>
      </c>
      <c r="C312">
        <v>0.137107639158373</v>
      </c>
      <c r="D312">
        <v>0.163164687346054</v>
      </c>
      <c r="E312">
        <v>0.048973514979173</v>
      </c>
      <c r="F312">
        <v>0.307401899096213</v>
      </c>
      <c r="G312">
        <v>-0.03367753849900301</v>
      </c>
      <c r="H312">
        <v>0.9722762981678611</v>
      </c>
      <c r="I312">
        <v>1.232580674150279</v>
      </c>
    </row>
    <row r="313" spans="1:9">
      <c r="A313" s="1" t="s">
        <v>292</v>
      </c>
      <c r="B313">
        <f>HYPERLINK("https://www.suredividend.com/sure-analysis-MPC/","Marathon Petroleum Corp")</f>
        <v>0</v>
      </c>
      <c r="C313">
        <v>0.136064824624779</v>
      </c>
      <c r="D313">
        <v>0.135776799015149</v>
      </c>
      <c r="E313">
        <v>0.3630961375879631</v>
      </c>
      <c r="F313">
        <v>0.153732475797544</v>
      </c>
      <c r="G313">
        <v>0.7595423871784051</v>
      </c>
      <c r="H313">
        <v>1.50803133630164</v>
      </c>
      <c r="I313">
        <v>1.390523855995559</v>
      </c>
    </row>
    <row r="314" spans="1:9">
      <c r="A314" s="1" t="s">
        <v>293</v>
      </c>
      <c r="B314">
        <f>HYPERLINK("https://www.suredividend.com/sure-analysis-MRK/","Merck &amp; Co Inc")</f>
        <v>0</v>
      </c>
      <c r="C314">
        <v>0.038274723139692</v>
      </c>
      <c r="D314">
        <v>-0.022281337447411</v>
      </c>
      <c r="E314">
        <v>0.257746177218884</v>
      </c>
      <c r="F314">
        <v>-0.03668319062640801</v>
      </c>
      <c r="G314">
        <v>0.417393841338885</v>
      </c>
      <c r="H314">
        <v>0.5840621530973541</v>
      </c>
      <c r="I314">
        <v>1.29725460020505</v>
      </c>
    </row>
    <row r="315" spans="1:9">
      <c r="A315" s="1" t="s">
        <v>294</v>
      </c>
      <c r="B315">
        <f>HYPERLINK("https://www.suredividend.com/sure-analysis-research-database/","Marathon Oil Corporation")</f>
        <v>0</v>
      </c>
      <c r="C315">
        <v>0.022949858876875</v>
      </c>
      <c r="D315">
        <v>-0.104659953022489</v>
      </c>
      <c r="E315">
        <v>0.038559404971618</v>
      </c>
      <c r="F315">
        <v>-0.016350895406176</v>
      </c>
      <c r="G315">
        <v>0.128508777526809</v>
      </c>
      <c r="H315">
        <v>1.205595045101218</v>
      </c>
      <c r="I315">
        <v>0.880453350155582</v>
      </c>
    </row>
    <row r="316" spans="1:9">
      <c r="A316" s="1" t="s">
        <v>295</v>
      </c>
      <c r="B316">
        <f>HYPERLINK("https://www.suredividend.com/sure-analysis-MS/","Morgan Stanley")</f>
        <v>0</v>
      </c>
      <c r="C316">
        <v>-0.011063059438801</v>
      </c>
      <c r="D316">
        <v>0.07625507453227801</v>
      </c>
      <c r="E316">
        <v>0.158383940720146</v>
      </c>
      <c r="F316">
        <v>0.165880362391614</v>
      </c>
      <c r="G316">
        <v>0.179956224140082</v>
      </c>
      <c r="H316">
        <v>0.288640878996451</v>
      </c>
      <c r="I316">
        <v>1.070397298145212</v>
      </c>
    </row>
    <row r="317" spans="1:9">
      <c r="A317" s="1" t="s">
        <v>296</v>
      </c>
      <c r="B317">
        <f>HYPERLINK("https://www.suredividend.com/sure-analysis-research-database/","MSCI Inc")</f>
        <v>0</v>
      </c>
      <c r="C317">
        <v>-0.051902034646817</v>
      </c>
      <c r="D317">
        <v>0.036908429704034</v>
      </c>
      <c r="E317">
        <v>0.193539713601175</v>
      </c>
      <c r="F317">
        <v>0.156521664174054</v>
      </c>
      <c r="G317">
        <v>0.08922769297527501</v>
      </c>
      <c r="H317">
        <v>0.334802435957861</v>
      </c>
      <c r="I317">
        <v>2.930960073657433</v>
      </c>
    </row>
    <row r="318" spans="1:9">
      <c r="A318" s="1" t="s">
        <v>297</v>
      </c>
      <c r="B318">
        <f>HYPERLINK("https://www.suredividend.com/sure-analysis-MSFT/","Microsoft Corporation")</f>
        <v>0</v>
      </c>
      <c r="C318">
        <v>-0.009369258200768001</v>
      </c>
      <c r="D318">
        <v>0.003566278852186</v>
      </c>
      <c r="E318">
        <v>0.00230661261668</v>
      </c>
      <c r="F318">
        <v>0.067173088627744</v>
      </c>
      <c r="G318">
        <v>-0.110624155181783</v>
      </c>
      <c r="H318">
        <v>0.146272425702652</v>
      </c>
      <c r="I318">
        <v>1.907028383638015</v>
      </c>
    </row>
    <row r="319" spans="1:9">
      <c r="A319" s="1" t="s">
        <v>298</v>
      </c>
      <c r="B319">
        <f>HYPERLINK("https://www.suredividend.com/sure-analysis-research-database/","Motorola Solutions Inc")</f>
        <v>0</v>
      </c>
      <c r="C319">
        <v>0.03946342224301901</v>
      </c>
      <c r="D319">
        <v>-0.019285015509468</v>
      </c>
      <c r="E319">
        <v>0.100637110992745</v>
      </c>
      <c r="F319">
        <v>0.034340925846882</v>
      </c>
      <c r="G319">
        <v>0.212394661388213</v>
      </c>
      <c r="H319">
        <v>0.5661160545108971</v>
      </c>
      <c r="I319">
        <v>1.709254213136265</v>
      </c>
    </row>
    <row r="320" spans="1:9">
      <c r="A320" s="1" t="s">
        <v>299</v>
      </c>
      <c r="B320">
        <f>HYPERLINK("https://www.suredividend.com/sure-analysis-MTB/","M &amp; T Bank Corp")</f>
        <v>0</v>
      </c>
      <c r="C320">
        <v>-0.032436896541662</v>
      </c>
      <c r="D320">
        <v>-0.090113589661151</v>
      </c>
      <c r="E320">
        <v>-0.142740409499654</v>
      </c>
      <c r="F320">
        <v>0.06067706993348301</v>
      </c>
      <c r="G320">
        <v>-0.114892254059693</v>
      </c>
      <c r="H320">
        <v>0.05008739254915601</v>
      </c>
      <c r="I320">
        <v>-0.08931017066329701</v>
      </c>
    </row>
    <row r="321" spans="1:9">
      <c r="A321" s="1" t="s">
        <v>300</v>
      </c>
      <c r="B321">
        <f>HYPERLINK("https://www.suredividend.com/sure-analysis-research-database/","Mettler-Toledo International, Inc.")</f>
        <v>0</v>
      </c>
      <c r="C321">
        <v>-0.05215342569032101</v>
      </c>
      <c r="D321">
        <v>0.015167216203485</v>
      </c>
      <c r="E321">
        <v>0.262439122357784</v>
      </c>
      <c r="F321">
        <v>0.04371648967449501</v>
      </c>
      <c r="G321">
        <v>0.08630596638776501</v>
      </c>
      <c r="H321">
        <v>0.4240244662173641</v>
      </c>
      <c r="I321">
        <v>1.542965984559889</v>
      </c>
    </row>
    <row r="322" spans="1:9">
      <c r="A322" s="1" t="s">
        <v>301</v>
      </c>
      <c r="B322">
        <f>HYPERLINK("https://www.suredividend.com/sure-analysis-MU/","Micron Technology Inc.")</f>
        <v>0</v>
      </c>
      <c r="C322">
        <v>-0.090209902259253</v>
      </c>
      <c r="D322">
        <v>0.040769267428944</v>
      </c>
      <c r="E322">
        <v>0.012413566841048</v>
      </c>
      <c r="F322">
        <v>0.136054421768707</v>
      </c>
      <c r="G322">
        <v>-0.30144005708556</v>
      </c>
      <c r="H322">
        <v>-0.319813457822564</v>
      </c>
      <c r="I322">
        <v>0.167993121224027</v>
      </c>
    </row>
    <row r="323" spans="1:9">
      <c r="A323" s="1" t="s">
        <v>502</v>
      </c>
      <c r="B323">
        <f>HYPERLINK("https://www.suredividend.com/sure-analysis-research-database/","Maxim Integrated Products, Inc.")</f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>
      <c r="A324" s="1" t="s">
        <v>503</v>
      </c>
      <c r="B324">
        <f>HYPERLINK("https://www.suredividend.com/sure-analysis-research-database/","Norwegian Cruise Line Holdings Ltd")</f>
        <v>0</v>
      </c>
      <c r="C324">
        <v>-0.020519010259505</v>
      </c>
      <c r="D324">
        <v>-0.018742442563482</v>
      </c>
      <c r="E324">
        <v>0.24367816091954</v>
      </c>
      <c r="F324">
        <v>0.325980392156862</v>
      </c>
      <c r="G324">
        <v>-0.06670500287521501</v>
      </c>
      <c r="H324">
        <v>-0.506686930091185</v>
      </c>
      <c r="I324">
        <v>-0.712437987243089</v>
      </c>
    </row>
    <row r="325" spans="1:9">
      <c r="A325" s="1" t="s">
        <v>302</v>
      </c>
      <c r="B325">
        <f>HYPERLINK("https://www.suredividend.com/sure-analysis-NDAQ/","Nasdaq Inc")</f>
        <v>0</v>
      </c>
      <c r="C325">
        <v>-0.071511147811725</v>
      </c>
      <c r="D325">
        <v>-0.184981153957668</v>
      </c>
      <c r="E325">
        <v>-0.05215986836115701</v>
      </c>
      <c r="F325">
        <v>-0.08361858190709001</v>
      </c>
      <c r="G325">
        <v>-0.00359958952982</v>
      </c>
      <c r="H325">
        <v>0.253494936522588</v>
      </c>
      <c r="I325">
        <v>1.267557233434974</v>
      </c>
    </row>
    <row r="326" spans="1:9">
      <c r="A326" s="1" t="s">
        <v>303</v>
      </c>
      <c r="B326">
        <f>HYPERLINK("https://www.suredividend.com/sure-analysis-NEE/","NextEra Energy Inc")</f>
        <v>0</v>
      </c>
      <c r="C326">
        <v>-0.004010784852915001</v>
      </c>
      <c r="D326">
        <v>-0.128625446249392</v>
      </c>
      <c r="E326">
        <v>-0.16795628772912</v>
      </c>
      <c r="F326">
        <v>-0.106110950592314</v>
      </c>
      <c r="G326">
        <v>-0.07379225004241201</v>
      </c>
      <c r="H326">
        <v>0.08681810397446001</v>
      </c>
      <c r="I326">
        <v>1.139226939565758</v>
      </c>
    </row>
    <row r="327" spans="1:9">
      <c r="A327" s="1" t="s">
        <v>304</v>
      </c>
      <c r="B327">
        <f>HYPERLINK("https://www.suredividend.com/sure-analysis-NEM/","Newmont Corp")</f>
        <v>0</v>
      </c>
      <c r="C327">
        <v>-0.103309929789368</v>
      </c>
      <c r="D327">
        <v>-0.07072277810232</v>
      </c>
      <c r="E327">
        <v>0.09988533633853801</v>
      </c>
      <c r="F327">
        <v>-0.052966101694915</v>
      </c>
      <c r="G327">
        <v>-0.373497690911511</v>
      </c>
      <c r="H327">
        <v>-0.137528507866434</v>
      </c>
      <c r="I327">
        <v>0.364219007507782</v>
      </c>
    </row>
    <row r="328" spans="1:9">
      <c r="A328" s="1" t="s">
        <v>305</v>
      </c>
      <c r="B328">
        <f>HYPERLINK("https://www.suredividend.com/sure-analysis-research-database/","Netflix Inc.")</f>
        <v>0</v>
      </c>
      <c r="C328">
        <v>-0.138617108499589</v>
      </c>
      <c r="D328">
        <v>-0.016322836365906</v>
      </c>
      <c r="E328">
        <v>0.393923311662465</v>
      </c>
      <c r="F328">
        <v>0.06884156266956</v>
      </c>
      <c r="G328">
        <v>-0.128687142343737</v>
      </c>
      <c r="H328">
        <v>-0.383559232529484</v>
      </c>
      <c r="I328">
        <v>0.04693572496263</v>
      </c>
    </row>
    <row r="329" spans="1:9">
      <c r="A329" s="1" t="s">
        <v>306</v>
      </c>
      <c r="B329">
        <f>HYPERLINK("https://www.suredividend.com/sure-analysis-research-database/","NiSource Inc")</f>
        <v>0</v>
      </c>
      <c r="C329">
        <v>0.023651145602365</v>
      </c>
      <c r="D329">
        <v>0.013998301461328</v>
      </c>
      <c r="E329">
        <v>-0.04510088491914301</v>
      </c>
      <c r="F329">
        <v>0.019544333615517</v>
      </c>
      <c r="G329">
        <v>-0.05941316889475901</v>
      </c>
      <c r="H329">
        <v>0.379880642815155</v>
      </c>
      <c r="I329">
        <v>0.406891227499898</v>
      </c>
    </row>
    <row r="330" spans="1:9">
      <c r="A330" s="1" t="s">
        <v>307</v>
      </c>
      <c r="B330">
        <f>HYPERLINK("https://www.suredividend.com/sure-analysis-NKE/","Nike, Inc.")</f>
        <v>0</v>
      </c>
      <c r="C330">
        <v>-0.049566513054904</v>
      </c>
      <c r="D330">
        <v>0.080969959153028</v>
      </c>
      <c r="E330">
        <v>0.15053079101608</v>
      </c>
      <c r="F330">
        <v>0.036534098749285</v>
      </c>
      <c r="G330">
        <v>-0.067626023518274</v>
      </c>
      <c r="H330">
        <v>-0.066501898411262</v>
      </c>
      <c r="I330">
        <v>0.9231411411315901</v>
      </c>
    </row>
    <row r="331" spans="1:9">
      <c r="A331" s="1" t="s">
        <v>308</v>
      </c>
      <c r="B331">
        <f>HYPERLINK("https://www.suredividend.com/sure-analysis-research-database/","NortonLifeLock Inc")</f>
        <v>0</v>
      </c>
      <c r="C331">
        <v>0.047388781431334</v>
      </c>
      <c r="D331">
        <v>-0.100599185307295</v>
      </c>
      <c r="E331">
        <v>-0.113947352273424</v>
      </c>
      <c r="F331">
        <v>-0.15385006035557</v>
      </c>
      <c r="G331">
        <v>-0.108017954947906</v>
      </c>
      <c r="H331">
        <v>0.107684754759822</v>
      </c>
      <c r="I331">
        <v>-0.224542548125977</v>
      </c>
    </row>
    <row r="332" spans="1:9">
      <c r="A332" s="1" t="s">
        <v>309</v>
      </c>
      <c r="B332">
        <f>HYPERLINK("https://www.suredividend.com/sure-analysis-NLSN/","Nielsen Holdings plc")</f>
        <v>0</v>
      </c>
      <c r="C332">
        <v>0.004307250538406001</v>
      </c>
      <c r="D332">
        <v>0.200899601703062</v>
      </c>
      <c r="E332">
        <v>0.025802714454359</v>
      </c>
      <c r="F332">
        <v>0.375134540057305</v>
      </c>
      <c r="G332">
        <v>0.4392782004392931</v>
      </c>
      <c r="H332">
        <v>1.079261631752212</v>
      </c>
      <c r="I332">
        <v>-0.189640841174818</v>
      </c>
    </row>
    <row r="333" spans="1:9">
      <c r="A333" s="1" t="s">
        <v>310</v>
      </c>
      <c r="B333">
        <f>HYPERLINK("https://www.suredividend.com/sure-analysis-NOC/","Northrop Grumman Corp.")</f>
        <v>0</v>
      </c>
      <c r="C333">
        <v>0.06455138194886301</v>
      </c>
      <c r="D333">
        <v>-0.1402420191675</v>
      </c>
      <c r="E333">
        <v>-0.016492448194773</v>
      </c>
      <c r="F333">
        <v>-0.140257834354037</v>
      </c>
      <c r="G333">
        <v>0.008343460707764001</v>
      </c>
      <c r="H333">
        <v>0.6081123345842551</v>
      </c>
      <c r="I333">
        <v>0.453335335875068</v>
      </c>
    </row>
    <row r="334" spans="1:9">
      <c r="A334" s="1" t="s">
        <v>504</v>
      </c>
      <c r="B334">
        <f>HYPERLINK("https://www.suredividend.com/sure-analysis-research-database/","NOV Inc")</f>
        <v>0</v>
      </c>
      <c r="C334">
        <v>-0.003867640739149</v>
      </c>
      <c r="D334">
        <v>0.030474115894996</v>
      </c>
      <c r="E334">
        <v>0.315013161477716</v>
      </c>
      <c r="F334">
        <v>0.109621828626136</v>
      </c>
      <c r="G334">
        <v>0.27796584005028</v>
      </c>
      <c r="H334">
        <v>0.524809398825146</v>
      </c>
      <c r="I334">
        <v>-0.337155602579316</v>
      </c>
    </row>
    <row r="335" spans="1:9">
      <c r="A335" s="1" t="s">
        <v>311</v>
      </c>
      <c r="B335">
        <f>HYPERLINK("https://www.suredividend.com/sure-analysis-research-database/","ServiceNow Inc")</f>
        <v>0</v>
      </c>
      <c r="C335">
        <v>-0.059802634365338</v>
      </c>
      <c r="D335">
        <v>0.07535059461816</v>
      </c>
      <c r="E335">
        <v>0.021794665255115</v>
      </c>
      <c r="F335">
        <v>0.143482628068096</v>
      </c>
      <c r="G335">
        <v>-0.188440236167218</v>
      </c>
      <c r="H335">
        <v>-0.095081833560931</v>
      </c>
      <c r="I335">
        <v>1.66382672346553</v>
      </c>
    </row>
    <row r="336" spans="1:9">
      <c r="A336" s="1" t="s">
        <v>505</v>
      </c>
      <c r="B336">
        <f>HYPERLINK("https://www.suredividend.com/sure-analysis-NRG/","NRG Energy Inc.")</f>
        <v>0</v>
      </c>
      <c r="C336">
        <v>-0.022945106012198</v>
      </c>
      <c r="D336">
        <v>-0.17520515668405</v>
      </c>
      <c r="E336">
        <v>-0.173100700307997</v>
      </c>
      <c r="F336">
        <v>0.069226368317335</v>
      </c>
      <c r="G336">
        <v>-0.069656818414378</v>
      </c>
      <c r="H336">
        <v>-0.067412958080711</v>
      </c>
      <c r="I336">
        <v>0.3608634443923041</v>
      </c>
    </row>
    <row r="337" spans="1:9">
      <c r="A337" s="1" t="s">
        <v>312</v>
      </c>
      <c r="B337">
        <f>HYPERLINK("https://www.suredividend.com/sure-analysis-NSC/","Norfolk Southern Corp.")</f>
        <v>0</v>
      </c>
      <c r="C337">
        <v>-0.09412184673964701</v>
      </c>
      <c r="D337">
        <v>-0.09616991166692301</v>
      </c>
      <c r="E337">
        <v>-0.034914469564247</v>
      </c>
      <c r="F337">
        <v>-0.068111239095016</v>
      </c>
      <c r="G337">
        <v>-0.180709821904201</v>
      </c>
      <c r="H337">
        <v>-0.031909392246458</v>
      </c>
      <c r="I337">
        <v>0.809400898877472</v>
      </c>
    </row>
    <row r="338" spans="1:9">
      <c r="A338" s="1" t="s">
        <v>313</v>
      </c>
      <c r="B338">
        <f>HYPERLINK("https://www.suredividend.com/sure-analysis-NTAP/","Netapp Inc")</f>
        <v>0</v>
      </c>
      <c r="C338">
        <v>-0.027210884353741</v>
      </c>
      <c r="D338">
        <v>-0.001725506383766</v>
      </c>
      <c r="E338">
        <v>-0.062674555133773</v>
      </c>
      <c r="F338">
        <v>0.104152573810199</v>
      </c>
      <c r="G338">
        <v>-0.156579080648118</v>
      </c>
      <c r="H338">
        <v>0.129107562171292</v>
      </c>
      <c r="I338">
        <v>0.237368607179672</v>
      </c>
    </row>
    <row r="339" spans="1:9">
      <c r="A339" s="1" t="s">
        <v>314</v>
      </c>
      <c r="B339">
        <f>HYPERLINK("https://www.suredividend.com/sure-analysis-NTRS/","Northern Trust Corp.")</f>
        <v>0</v>
      </c>
      <c r="C339">
        <v>-0.032494652134053</v>
      </c>
      <c r="D339">
        <v>0.04515698812561601</v>
      </c>
      <c r="E339">
        <v>0.033941092137018</v>
      </c>
      <c r="F339">
        <v>0.073341620522092</v>
      </c>
      <c r="G339">
        <v>-0.08992827124698401</v>
      </c>
      <c r="H339">
        <v>0.027652930725935</v>
      </c>
      <c r="I339">
        <v>0.037884193629109</v>
      </c>
    </row>
    <row r="340" spans="1:9">
      <c r="A340" s="1" t="s">
        <v>315</v>
      </c>
      <c r="B340">
        <f>HYPERLINK("https://www.suredividend.com/sure-analysis-NUE/","Nucor Corp.")</f>
        <v>0</v>
      </c>
      <c r="C340">
        <v>0.009851101171941001</v>
      </c>
      <c r="D340">
        <v>0.161157186193966</v>
      </c>
      <c r="E340">
        <v>0.375529502127262</v>
      </c>
      <c r="F340">
        <v>0.353235718079053</v>
      </c>
      <c r="G340">
        <v>0.307173736045735</v>
      </c>
      <c r="H340">
        <v>2.05586631420069</v>
      </c>
      <c r="I340">
        <v>1.986686581259408</v>
      </c>
    </row>
    <row r="341" spans="1:9">
      <c r="A341" s="1" t="s">
        <v>316</v>
      </c>
      <c r="B341">
        <f>HYPERLINK("https://www.suredividend.com/sure-analysis-NVDA/","NVIDIA Corp")</f>
        <v>0</v>
      </c>
      <c r="C341">
        <v>0.132227488151658</v>
      </c>
      <c r="D341">
        <v>0.415619815122066</v>
      </c>
      <c r="E341">
        <v>0.75153561797901</v>
      </c>
      <c r="F341">
        <v>0.6347338168879161</v>
      </c>
      <c r="G341">
        <v>0.042390245775461</v>
      </c>
      <c r="H341">
        <v>0.9347403730671831</v>
      </c>
      <c r="I341">
        <v>3.078552685715847</v>
      </c>
    </row>
    <row r="342" spans="1:9">
      <c r="A342" s="1" t="s">
        <v>317</v>
      </c>
      <c r="B342">
        <f>HYPERLINK("https://www.suredividend.com/sure-analysis-research-database/","NVR Inc.")</f>
        <v>0</v>
      </c>
      <c r="C342">
        <v>-0.006483203126479001</v>
      </c>
      <c r="D342">
        <v>0.119357453707654</v>
      </c>
      <c r="E342">
        <v>0.281928499705604</v>
      </c>
      <c r="F342">
        <v>0.137562925737873</v>
      </c>
      <c r="G342">
        <v>0.06652492677562701</v>
      </c>
      <c r="H342">
        <v>0.181433364105104</v>
      </c>
      <c r="I342">
        <v>0.8093323494320731</v>
      </c>
    </row>
    <row r="343" spans="1:9">
      <c r="A343" s="1" t="s">
        <v>506</v>
      </c>
      <c r="B343">
        <f>HYPERLINK("https://www.suredividend.com/sure-analysis-NWL/","Newell Brands Inc")</f>
        <v>0</v>
      </c>
      <c r="C343">
        <v>-0.08415903991125201</v>
      </c>
      <c r="D343">
        <v>0.136514740275485</v>
      </c>
      <c r="E343">
        <v>-0.142307329051756</v>
      </c>
      <c r="F343">
        <v>0.128701488363421</v>
      </c>
      <c r="G343">
        <v>-0.335789646912541</v>
      </c>
      <c r="H343">
        <v>-0.333923160495638</v>
      </c>
      <c r="I343">
        <v>-0.309607526370806</v>
      </c>
    </row>
    <row r="344" spans="1:9">
      <c r="A344" s="1" t="s">
        <v>507</v>
      </c>
      <c r="B344">
        <f>HYPERLINK("https://www.suredividend.com/sure-analysis-research-database/","News Corp")</f>
        <v>0</v>
      </c>
      <c r="C344">
        <v>-0.185514018691588</v>
      </c>
      <c r="D344">
        <v>-0.102933607822954</v>
      </c>
      <c r="E344">
        <v>0.013160036271477</v>
      </c>
      <c r="F344">
        <v>-0.054772234273318</v>
      </c>
      <c r="G344">
        <v>-0.195907107203159</v>
      </c>
      <c r="H344">
        <v>-0.22932713139906</v>
      </c>
      <c r="I344">
        <v>0.149622398839164</v>
      </c>
    </row>
    <row r="345" spans="1:9">
      <c r="A345" s="1" t="s">
        <v>508</v>
      </c>
      <c r="B345">
        <f>HYPERLINK("https://www.suredividend.com/sure-analysis-research-database/","News Corp")</f>
        <v>0</v>
      </c>
      <c r="C345">
        <v>-0.184695323571091</v>
      </c>
      <c r="D345">
        <v>-0.097280334728033</v>
      </c>
      <c r="E345">
        <v>0.023500180861851</v>
      </c>
      <c r="F345">
        <v>-0.05164835164835101</v>
      </c>
      <c r="G345">
        <v>-0.178079582468237</v>
      </c>
      <c r="H345">
        <v>-0.252503204795066</v>
      </c>
      <c r="I345">
        <v>0.159494283142323</v>
      </c>
    </row>
    <row r="346" spans="1:9">
      <c r="A346" s="1" t="s">
        <v>318</v>
      </c>
      <c r="B346">
        <f>HYPERLINK("https://www.suredividend.com/sure-analysis-O/","Realty Income Corp.")</f>
        <v>0</v>
      </c>
      <c r="C346">
        <v>-0.04210063513377001</v>
      </c>
      <c r="D346">
        <v>0.037136865398965</v>
      </c>
      <c r="E346">
        <v>-0.024361462807279</v>
      </c>
      <c r="F346">
        <v>0.024478507238387</v>
      </c>
      <c r="G346">
        <v>0.005753176411508</v>
      </c>
      <c r="H346">
        <v>0.178566859774484</v>
      </c>
      <c r="I346">
        <v>0.599902750522839</v>
      </c>
    </row>
    <row r="347" spans="1:9">
      <c r="A347" s="1" t="s">
        <v>319</v>
      </c>
      <c r="B347">
        <f>HYPERLINK("https://www.suredividend.com/sure-analysis-ODFL/","Old Dominion Freight Line, Inc.")</f>
        <v>0</v>
      </c>
      <c r="C347">
        <v>-0.041871505108525</v>
      </c>
      <c r="D347">
        <v>0.174983371003663</v>
      </c>
      <c r="E347">
        <v>0.307143824844347</v>
      </c>
      <c r="F347">
        <v>0.252643778323046</v>
      </c>
      <c r="G347">
        <v>0.117915424311024</v>
      </c>
      <c r="H347">
        <v>0.6585721779725581</v>
      </c>
      <c r="I347">
        <v>2.89461098862527</v>
      </c>
    </row>
    <row r="348" spans="1:9">
      <c r="A348" s="1" t="s">
        <v>320</v>
      </c>
      <c r="B348">
        <f>HYPERLINK("https://www.suredividend.com/sure-analysis-OKE/","Oneok Inc.")</f>
        <v>0</v>
      </c>
      <c r="C348">
        <v>-0.010355892648774</v>
      </c>
      <c r="D348">
        <v>0.023732178987915</v>
      </c>
      <c r="E348">
        <v>0.154235457228643</v>
      </c>
      <c r="F348">
        <v>0.04710506700083401</v>
      </c>
      <c r="G348">
        <v>0.05224142155722401</v>
      </c>
      <c r="H348">
        <v>0.59400644180643</v>
      </c>
      <c r="I348">
        <v>0.682533148506798</v>
      </c>
    </row>
    <row r="349" spans="1:9">
      <c r="A349" s="1" t="s">
        <v>321</v>
      </c>
      <c r="B349">
        <f>HYPERLINK("https://www.suredividend.com/sure-analysis-OMC/","Omnicom Group, Inc.")</f>
        <v>0</v>
      </c>
      <c r="C349">
        <v>-0.00010903936321</v>
      </c>
      <c r="D349">
        <v>0.17657776255198</v>
      </c>
      <c r="E349">
        <v>0.4111144110636291</v>
      </c>
      <c r="F349">
        <v>0.124187814147358</v>
      </c>
      <c r="G349">
        <v>0.195479860662063</v>
      </c>
      <c r="H349">
        <v>0.372649692912667</v>
      </c>
      <c r="I349">
        <v>0.459196598496566</v>
      </c>
    </row>
    <row r="350" spans="1:9">
      <c r="A350" s="1" t="s">
        <v>322</v>
      </c>
      <c r="B350">
        <f>HYPERLINK("https://www.suredividend.com/sure-analysis-ORCL/","Oracle Corp.")</f>
        <v>0</v>
      </c>
      <c r="C350">
        <v>-0.004128542735996</v>
      </c>
      <c r="D350">
        <v>0.074801357440997</v>
      </c>
      <c r="E350">
        <v>0.205747056558656</v>
      </c>
      <c r="F350">
        <v>0.09597149123345501</v>
      </c>
      <c r="G350">
        <v>0.187105046493285</v>
      </c>
      <c r="H350">
        <v>0.4051312085545331</v>
      </c>
      <c r="I350">
        <v>0.926472429319507</v>
      </c>
    </row>
    <row r="351" spans="1:9">
      <c r="A351" s="1" t="s">
        <v>323</v>
      </c>
      <c r="B351">
        <f>HYPERLINK("https://www.suredividend.com/sure-analysis-research-database/","O`Reilly Automotive, Inc.")</f>
        <v>0</v>
      </c>
      <c r="C351">
        <v>0.054337979970811</v>
      </c>
      <c r="D351">
        <v>-0.02374156871425</v>
      </c>
      <c r="E351">
        <v>0.192585740714387</v>
      </c>
      <c r="F351">
        <v>-0.007108752058576</v>
      </c>
      <c r="G351">
        <v>0.243201946327641</v>
      </c>
      <c r="H351">
        <v>0.8612135210767111</v>
      </c>
      <c r="I351">
        <v>2.47715862412348</v>
      </c>
    </row>
    <row r="352" spans="1:9">
      <c r="A352" s="1" t="s">
        <v>324</v>
      </c>
      <c r="B352">
        <f>HYPERLINK("https://www.suredividend.com/sure-analysis-OTIS/","Otis Worldwide Corp")</f>
        <v>0</v>
      </c>
      <c r="C352">
        <v>0.029494490137909</v>
      </c>
      <c r="D352">
        <v>0.09378243883412</v>
      </c>
      <c r="E352">
        <v>0.220760654798433</v>
      </c>
      <c r="F352">
        <v>0.11389453047417</v>
      </c>
      <c r="G352">
        <v>0.131650546103076</v>
      </c>
      <c r="H352">
        <v>0.395685624743115</v>
      </c>
      <c r="I352">
        <v>0.9211049723756901</v>
      </c>
    </row>
    <row r="353" spans="1:9">
      <c r="A353" s="1" t="s">
        <v>325</v>
      </c>
      <c r="B353">
        <f>HYPERLINK("https://www.suredividend.com/sure-analysis-OXY/","Occidental Petroleum Corp.")</f>
        <v>0</v>
      </c>
      <c r="C353">
        <v>0.000163291966035</v>
      </c>
      <c r="D353">
        <v>-0.100201554851713</v>
      </c>
      <c r="E353">
        <v>-0.105729753721624</v>
      </c>
      <c r="F353">
        <v>-0.027623432290839</v>
      </c>
      <c r="G353">
        <v>0.09994702295971</v>
      </c>
      <c r="H353">
        <v>1.068522990155519</v>
      </c>
      <c r="I353">
        <v>0.084314527336233</v>
      </c>
    </row>
    <row r="354" spans="1:9">
      <c r="A354" s="1" t="s">
        <v>326</v>
      </c>
      <c r="B354">
        <f>HYPERLINK("https://www.suredividend.com/sure-analysis-research-database/","Paycom Software Inc")</f>
        <v>0</v>
      </c>
      <c r="C354">
        <v>-0.136024182076813</v>
      </c>
      <c r="D354">
        <v>-0.142201429958513</v>
      </c>
      <c r="E354">
        <v>-0.153631771468385</v>
      </c>
      <c r="F354">
        <v>-0.060487899197576</v>
      </c>
      <c r="G354">
        <v>-0.084761725372009</v>
      </c>
      <c r="H354">
        <v>-0.163899165447818</v>
      </c>
      <c r="I354">
        <v>1.844015218027509</v>
      </c>
    </row>
    <row r="355" spans="1:9">
      <c r="A355" s="1" t="s">
        <v>327</v>
      </c>
      <c r="B355">
        <f>HYPERLINK("https://www.suredividend.com/sure-analysis-PAYX/","Paychex Inc.")</f>
        <v>0</v>
      </c>
      <c r="C355">
        <v>-0.042918804739474</v>
      </c>
      <c r="D355">
        <v>-0.09913725590479401</v>
      </c>
      <c r="E355">
        <v>-0.054812966493777</v>
      </c>
      <c r="F355">
        <v>-0.017907314077126</v>
      </c>
      <c r="G355">
        <v>-0.063537871349226</v>
      </c>
      <c r="H355">
        <v>0.3268971816529651</v>
      </c>
      <c r="I355">
        <v>1.044970113649762</v>
      </c>
    </row>
    <row r="356" spans="1:9">
      <c r="A356" s="1" t="s">
        <v>509</v>
      </c>
      <c r="B356">
        <f>HYPERLINK("https://www.suredividend.com/sure-analysis-PBCT/","People`s United Financial Inc")</f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>
      <c r="A357" s="1" t="s">
        <v>328</v>
      </c>
      <c r="B357">
        <f>HYPERLINK("https://www.suredividend.com/sure-analysis-PCAR/","Paccar Inc.")</f>
        <v>0</v>
      </c>
      <c r="C357">
        <v>0.04082282242079</v>
      </c>
      <c r="D357">
        <v>0.114377651016527</v>
      </c>
      <c r="E357">
        <v>0.368295906785627</v>
      </c>
      <c r="F357">
        <v>0.158712777929859</v>
      </c>
      <c r="G357">
        <v>0.355541994402762</v>
      </c>
      <c r="H357">
        <v>0.332650012768532</v>
      </c>
      <c r="I357">
        <v>1.07137672195594</v>
      </c>
    </row>
    <row r="358" spans="1:9">
      <c r="A358" s="1" t="s">
        <v>329</v>
      </c>
      <c r="B358">
        <f>HYPERLINK("https://www.suredividend.com/sure-analysis-PEAK/","Healthpeak Properties Inc.")</f>
        <v>0</v>
      </c>
      <c r="C358">
        <v>-0.063993831919815</v>
      </c>
      <c r="D358">
        <v>-0.063993831919815</v>
      </c>
      <c r="E358">
        <v>-0.063993831919815</v>
      </c>
      <c r="F358">
        <v>-0.063993831919815</v>
      </c>
      <c r="G358">
        <v>-0.063993831919815</v>
      </c>
      <c r="H358">
        <v>-0.063993831919815</v>
      </c>
      <c r="I358">
        <v>-0.063993831919815</v>
      </c>
    </row>
    <row r="359" spans="1:9">
      <c r="A359" s="1" t="s">
        <v>330</v>
      </c>
      <c r="B359">
        <f>HYPERLINK("https://www.suredividend.com/sure-analysis-PEG/","Public Service Enterprise Group Inc.")</f>
        <v>0</v>
      </c>
      <c r="C359">
        <v>-0.007888249794576</v>
      </c>
      <c r="D359">
        <v>-2.1533410743E-05</v>
      </c>
      <c r="E359">
        <v>-0.040587121904395</v>
      </c>
      <c r="F359">
        <v>-0.01468908111637</v>
      </c>
      <c r="G359">
        <v>-0.07689155425345501</v>
      </c>
      <c r="H359">
        <v>0.170996074049935</v>
      </c>
      <c r="I359">
        <v>0.46144256024789</v>
      </c>
    </row>
    <row r="360" spans="1:9">
      <c r="A360" s="1" t="s">
        <v>331</v>
      </c>
      <c r="B360">
        <f>HYPERLINK("https://www.suredividend.com/sure-analysis-PEP/","PepsiCo Inc")</f>
        <v>0</v>
      </c>
      <c r="C360">
        <v>0.030748020058957</v>
      </c>
      <c r="D360">
        <v>-0.06123064177884101</v>
      </c>
      <c r="E360">
        <v>0.027817862245694</v>
      </c>
      <c r="F360">
        <v>-0.035093291961878</v>
      </c>
      <c r="G360">
        <v>0.072787202141237</v>
      </c>
      <c r="H360">
        <v>0.418566964717294</v>
      </c>
      <c r="I360">
        <v>0.8215846471396441</v>
      </c>
    </row>
    <row r="361" spans="1:9">
      <c r="A361" s="1" t="s">
        <v>332</v>
      </c>
      <c r="B361">
        <f>HYPERLINK("https://www.suredividend.com/sure-analysis-PFE/","Pfizer Inc.")</f>
        <v>0</v>
      </c>
      <c r="C361">
        <v>-0.06604630049931901</v>
      </c>
      <c r="D361">
        <v>-0.18429080875138</v>
      </c>
      <c r="E361">
        <v>-0.083506683830964</v>
      </c>
      <c r="F361">
        <v>-0.189544234340872</v>
      </c>
      <c r="G361">
        <v>-0.125326010019959</v>
      </c>
      <c r="H361">
        <v>0.288732438475944</v>
      </c>
      <c r="I361">
        <v>0.37292976204775</v>
      </c>
    </row>
    <row r="362" spans="1:9">
      <c r="A362" s="1" t="s">
        <v>333</v>
      </c>
      <c r="B362">
        <f>HYPERLINK("https://www.suredividend.com/sure-analysis-PFG/","Principal Financial Group Inc")</f>
        <v>0</v>
      </c>
      <c r="C362">
        <v>-0.05145704690716001</v>
      </c>
      <c r="D362">
        <v>-0.05011933174224301</v>
      </c>
      <c r="E362">
        <v>0.194963575173799</v>
      </c>
      <c r="F362">
        <v>0.043374642516682</v>
      </c>
      <c r="G362">
        <v>0.351543253706093</v>
      </c>
      <c r="H362">
        <v>0.644331600612962</v>
      </c>
      <c r="I362">
        <v>0.737539464728306</v>
      </c>
    </row>
    <row r="363" spans="1:9">
      <c r="A363" s="1" t="s">
        <v>334</v>
      </c>
      <c r="B363">
        <f>HYPERLINK("https://www.suredividend.com/sure-analysis-PG/","Procter &amp; Gamble Co.")</f>
        <v>0</v>
      </c>
      <c r="C363">
        <v>-0.011640137437767</v>
      </c>
      <c r="D363">
        <v>-0.058264654691472</v>
      </c>
      <c r="E363">
        <v>0.04142345851595401</v>
      </c>
      <c r="F363">
        <v>-0.06416775000564301</v>
      </c>
      <c r="G363">
        <v>-0.068092396043872</v>
      </c>
      <c r="H363">
        <v>0.212595160115039</v>
      </c>
      <c r="I363">
        <v>1.028799014316023</v>
      </c>
    </row>
    <row r="364" spans="1:9">
      <c r="A364" s="1" t="s">
        <v>335</v>
      </c>
      <c r="B364">
        <f>HYPERLINK("https://www.suredividend.com/sure-analysis-PGR/","Progressive Corp.")</f>
        <v>0</v>
      </c>
      <c r="C364">
        <v>-0.036743923120407</v>
      </c>
      <c r="D364">
        <v>0.07887705613453</v>
      </c>
      <c r="E364">
        <v>0.09324676324535101</v>
      </c>
      <c r="F364">
        <v>0.05176095892947501</v>
      </c>
      <c r="G364">
        <v>0.248830824281477</v>
      </c>
      <c r="H364">
        <v>0.52825626095155</v>
      </c>
      <c r="I364">
        <v>1.538046493615785</v>
      </c>
    </row>
    <row r="365" spans="1:9">
      <c r="A365" s="1" t="s">
        <v>336</v>
      </c>
      <c r="B365">
        <f>HYPERLINK("https://www.suredividend.com/sure-analysis-PH/","Parker-Hannifin Corp.")</f>
        <v>0</v>
      </c>
      <c r="C365">
        <v>0.0320425034595</v>
      </c>
      <c r="D365">
        <v>0.214657713608115</v>
      </c>
      <c r="E365">
        <v>0.376077851169446</v>
      </c>
      <c r="F365">
        <v>0.241287959144603</v>
      </c>
      <c r="G365">
        <v>0.296441873217099</v>
      </c>
      <c r="H365">
        <v>0.271884201809161</v>
      </c>
      <c r="I365">
        <v>1.242614981926959</v>
      </c>
    </row>
    <row r="366" spans="1:9">
      <c r="A366" s="1" t="s">
        <v>337</v>
      </c>
      <c r="B366">
        <f>HYPERLINK("https://www.suredividend.com/sure-analysis-PHM/","PulteGroup Inc")</f>
        <v>0</v>
      </c>
      <c r="C366">
        <v>-0.061394557823129</v>
      </c>
      <c r="D366">
        <v>0.242156341996992</v>
      </c>
      <c r="E366">
        <v>0.374444643675412</v>
      </c>
      <c r="F366">
        <v>0.212167801449593</v>
      </c>
      <c r="G366">
        <v>0.133628020474731</v>
      </c>
      <c r="H366">
        <v>0.292539152062465</v>
      </c>
      <c r="I366">
        <v>1.034174425204744</v>
      </c>
    </row>
    <row r="367" spans="1:9">
      <c r="A367" s="1" t="s">
        <v>338</v>
      </c>
      <c r="B367">
        <f>HYPERLINK("https://www.suredividend.com/sure-analysis-PKG/","Packaging Corp Of America")</f>
        <v>0</v>
      </c>
      <c r="C367">
        <v>-0.014402437335549</v>
      </c>
      <c r="D367">
        <v>0.042604386790552</v>
      </c>
      <c r="E367">
        <v>0.06738375498016101</v>
      </c>
      <c r="F367">
        <v>0.112813697130795</v>
      </c>
      <c r="G367">
        <v>-0.013822694549004</v>
      </c>
      <c r="H367">
        <v>0.130806166126977</v>
      </c>
      <c r="I367">
        <v>0.41583378425693</v>
      </c>
    </row>
    <row r="368" spans="1:9">
      <c r="A368" s="1" t="s">
        <v>339</v>
      </c>
      <c r="B368">
        <f>HYPERLINK("https://www.suredividend.com/sure-analysis-research-database/","Perkinelmer, Inc.")</f>
        <v>0</v>
      </c>
      <c r="C368">
        <v>-0.07343915343915301</v>
      </c>
      <c r="D368">
        <v>-0.056170570544674</v>
      </c>
      <c r="E368">
        <v>-0.023096399127674</v>
      </c>
      <c r="F368">
        <v>-0.06283447262140801</v>
      </c>
      <c r="G368">
        <v>-0.254075917965389</v>
      </c>
      <c r="H368">
        <v>0.06132561460159001</v>
      </c>
      <c r="I368">
        <v>0.7802175459997961</v>
      </c>
    </row>
    <row r="369" spans="1:9">
      <c r="A369" s="1" t="s">
        <v>340</v>
      </c>
      <c r="B369">
        <f>HYPERLINK("https://www.suredividend.com/sure-analysis-PLD/","Prologis Inc")</f>
        <v>0</v>
      </c>
      <c r="C369">
        <v>-0.035480929949855</v>
      </c>
      <c r="D369">
        <v>0.092879710057592</v>
      </c>
      <c r="E369">
        <v>0.05516181502793101</v>
      </c>
      <c r="F369">
        <v>0.126142109465093</v>
      </c>
      <c r="G369">
        <v>-0.136807950478138</v>
      </c>
      <c r="H369">
        <v>0.388761262148242</v>
      </c>
      <c r="I369">
        <v>1.393747407323604</v>
      </c>
    </row>
    <row r="370" spans="1:9">
      <c r="A370" s="1" t="s">
        <v>341</v>
      </c>
      <c r="B370">
        <f>HYPERLINK("https://www.suredividend.com/sure-analysis-PM/","Philip Morris International Inc")</f>
        <v>0</v>
      </c>
      <c r="C370">
        <v>-0.033044156350521</v>
      </c>
      <c r="D370">
        <v>-0.036776307804345</v>
      </c>
      <c r="E370">
        <v>0.077686884159523</v>
      </c>
      <c r="F370">
        <v>-0.019859697658334</v>
      </c>
      <c r="G370">
        <v>0.04757047076254001</v>
      </c>
      <c r="H370">
        <v>0.300553784191978</v>
      </c>
      <c r="I370">
        <v>0.227783553641269</v>
      </c>
    </row>
    <row r="371" spans="1:9">
      <c r="A371" s="1" t="s">
        <v>342</v>
      </c>
      <c r="B371">
        <f>HYPERLINK("https://www.suredividend.com/sure-analysis-PNC/","PNC Financial Services Group Inc")</f>
        <v>0</v>
      </c>
      <c r="C371">
        <v>-0.075578934639337</v>
      </c>
      <c r="D371">
        <v>-0.06070376259132401</v>
      </c>
      <c r="E371">
        <v>-0.009295348437869</v>
      </c>
      <c r="F371">
        <v>-0.023296134388932</v>
      </c>
      <c r="G371">
        <v>-0.142352441594532</v>
      </c>
      <c r="H371">
        <v>-0.058167649731261</v>
      </c>
      <c r="I371">
        <v>0.139667186470393</v>
      </c>
    </row>
    <row r="372" spans="1:9">
      <c r="A372" s="1" t="s">
        <v>510</v>
      </c>
      <c r="B372">
        <f>HYPERLINK("https://www.suredividend.com/sure-analysis-PNR/","Pentair plc")</f>
        <v>0</v>
      </c>
      <c r="C372">
        <v>-0.04850934815563401</v>
      </c>
      <c r="D372">
        <v>0.216258986300131</v>
      </c>
      <c r="E372">
        <v>0.298952146409773</v>
      </c>
      <c r="F372">
        <v>0.261416162383047</v>
      </c>
      <c r="G372">
        <v>0.016561183522675</v>
      </c>
      <c r="H372">
        <v>0.03438994065396</v>
      </c>
      <c r="I372">
        <v>0.32802967790167</v>
      </c>
    </row>
    <row r="373" spans="1:9">
      <c r="A373" s="1" t="s">
        <v>511</v>
      </c>
      <c r="B373">
        <f>HYPERLINK("https://www.suredividend.com/sure-analysis-PNW/","Pinnacle West Capital Corp.")</f>
        <v>0</v>
      </c>
      <c r="C373">
        <v>0.006216108980293</v>
      </c>
      <c r="D373">
        <v>-0.013839686730777</v>
      </c>
      <c r="E373">
        <v>0.046116868634506</v>
      </c>
      <c r="F373">
        <v>0.012357736991908</v>
      </c>
      <c r="G373">
        <v>0.071688162409777</v>
      </c>
      <c r="H373">
        <v>0.093574816731349</v>
      </c>
      <c r="I373">
        <v>0.217542989285685</v>
      </c>
    </row>
    <row r="374" spans="1:9">
      <c r="A374" s="1" t="s">
        <v>343</v>
      </c>
      <c r="B374">
        <f>HYPERLINK("https://www.suredividend.com/sure-analysis-PPG/","PPG Industries, Inc.")</f>
        <v>0</v>
      </c>
      <c r="C374">
        <v>0.056478481917432</v>
      </c>
      <c r="D374">
        <v>0.005924607611832</v>
      </c>
      <c r="E374">
        <v>0.121951179697466</v>
      </c>
      <c r="F374">
        <v>0.09840497150907201</v>
      </c>
      <c r="G374">
        <v>0.13086286498422</v>
      </c>
      <c r="H374">
        <v>0.031454639182219</v>
      </c>
      <c r="I374">
        <v>0.359119627443419</v>
      </c>
    </row>
    <row r="375" spans="1:9">
      <c r="A375" s="1" t="s">
        <v>344</v>
      </c>
      <c r="B375">
        <f>HYPERLINK("https://www.suredividend.com/sure-analysis-PPL/","PPL Corp")</f>
        <v>0</v>
      </c>
      <c r="C375">
        <v>-0.044312630844382</v>
      </c>
      <c r="D375">
        <v>-0.053997112601628</v>
      </c>
      <c r="E375">
        <v>-0.038846194336245</v>
      </c>
      <c r="F375">
        <v>-0.06262833675564601</v>
      </c>
      <c r="G375">
        <v>0.06904492408571</v>
      </c>
      <c r="H375">
        <v>0.07284705956083301</v>
      </c>
      <c r="I375">
        <v>0.274771713937318</v>
      </c>
    </row>
    <row r="376" spans="1:9">
      <c r="A376" s="1" t="s">
        <v>512</v>
      </c>
      <c r="B376">
        <f>HYPERLINK("https://www.suredividend.com/sure-analysis-PRGO/","Perrigo Company plc")</f>
        <v>0</v>
      </c>
      <c r="C376">
        <v>0.04166666666666601</v>
      </c>
      <c r="D376">
        <v>0.213212273011897</v>
      </c>
      <c r="E376">
        <v>0.06328683225586901</v>
      </c>
      <c r="F376">
        <v>0.136696978586095</v>
      </c>
      <c r="G376">
        <v>0.063543645086565</v>
      </c>
      <c r="H376">
        <v>0.006673923378475</v>
      </c>
      <c r="I376">
        <v>-0.486701257482571</v>
      </c>
    </row>
    <row r="377" spans="1:9">
      <c r="A377" s="1" t="s">
        <v>345</v>
      </c>
      <c r="B377">
        <f>HYPERLINK("https://www.suredividend.com/sure-analysis-PRU/","Prudential Financial Inc.")</f>
        <v>0</v>
      </c>
      <c r="C377">
        <v>-0.015355994323489</v>
      </c>
      <c r="D377">
        <v>-0.06857464093872001</v>
      </c>
      <c r="E377">
        <v>0.06892102412732101</v>
      </c>
      <c r="F377">
        <v>0.008404729772365001</v>
      </c>
      <c r="G377">
        <v>-0.023923143306366</v>
      </c>
      <c r="H377">
        <v>0.224210404058625</v>
      </c>
      <c r="I377">
        <v>0.16624390129066</v>
      </c>
    </row>
    <row r="378" spans="1:9">
      <c r="A378" s="1" t="s">
        <v>346</v>
      </c>
      <c r="B378">
        <f>HYPERLINK("https://www.suredividend.com/sure-analysis-PSA/","Public Storage")</f>
        <v>0</v>
      </c>
      <c r="C378">
        <v>-0.011832593120887</v>
      </c>
      <c r="D378">
        <v>0.03737680682472901</v>
      </c>
      <c r="E378">
        <v>-0.073021808407274</v>
      </c>
      <c r="F378">
        <v>0.087904636139762</v>
      </c>
      <c r="G378">
        <v>-0.138263941935013</v>
      </c>
      <c r="H378">
        <v>0.443976625030317</v>
      </c>
      <c r="I378">
        <v>0.9156779911336571</v>
      </c>
    </row>
    <row r="379" spans="1:9">
      <c r="A379" s="1" t="s">
        <v>347</v>
      </c>
      <c r="B379">
        <f>HYPERLINK("https://www.suredividend.com/sure-analysis-PSX/","Phillips 66")</f>
        <v>0</v>
      </c>
      <c r="C379">
        <v>0.083815250492991</v>
      </c>
      <c r="D379">
        <v>0.004047632125736</v>
      </c>
      <c r="E379">
        <v>0.221285056364344</v>
      </c>
      <c r="F379">
        <v>0.028936784732682</v>
      </c>
      <c r="G379">
        <v>0.308935752020751</v>
      </c>
      <c r="H379">
        <v>0.368206555054117</v>
      </c>
      <c r="I379">
        <v>0.4263650159830371</v>
      </c>
    </row>
    <row r="380" spans="1:9">
      <c r="A380" s="1" t="s">
        <v>513</v>
      </c>
      <c r="B380">
        <f>HYPERLINK("https://www.suredividend.com/sure-analysis-research-database/","PVH Corp")</f>
        <v>0</v>
      </c>
      <c r="C380">
        <v>-0.09591570714751201</v>
      </c>
      <c r="D380">
        <v>0.141231317701905</v>
      </c>
      <c r="E380">
        <v>0.525834506629121</v>
      </c>
      <c r="F380">
        <v>0.179062190111913</v>
      </c>
      <c r="G380">
        <v>0.05312705219324401</v>
      </c>
      <c r="H380">
        <v>-0.162312833834388</v>
      </c>
      <c r="I380">
        <v>-0.4173102880474041</v>
      </c>
    </row>
    <row r="381" spans="1:9">
      <c r="A381" s="1" t="s">
        <v>348</v>
      </c>
      <c r="B381">
        <f>HYPERLINK("https://www.suredividend.com/sure-analysis-research-database/","Quanta Services, Inc.")</f>
        <v>0</v>
      </c>
      <c r="C381">
        <v>0.07013055172866201</v>
      </c>
      <c r="D381">
        <v>0.06625390072961701</v>
      </c>
      <c r="E381">
        <v>0.16145689073889</v>
      </c>
      <c r="F381">
        <v>0.144701754385965</v>
      </c>
      <c r="G381">
        <v>0.497507062023709</v>
      </c>
      <c r="H381">
        <v>1.002762515730992</v>
      </c>
      <c r="I381">
        <v>3.836423797861679</v>
      </c>
    </row>
    <row r="382" spans="1:9">
      <c r="A382" s="1" t="s">
        <v>349</v>
      </c>
      <c r="B382">
        <f>HYPERLINK("https://www.suredividend.com/sure-analysis-PXD/","Pioneer Natural Resources Co.")</f>
        <v>0</v>
      </c>
      <c r="C382">
        <v>-0.020166828003158</v>
      </c>
      <c r="D382">
        <v>-0.09960629498911101</v>
      </c>
      <c r="E382">
        <v>-0.091274056898552</v>
      </c>
      <c r="F382">
        <v>-0.056161600895303</v>
      </c>
      <c r="G382">
        <v>-0.035269246914153</v>
      </c>
      <c r="H382">
        <v>0.554106349964633</v>
      </c>
      <c r="I382">
        <v>0.511884029567589</v>
      </c>
    </row>
    <row r="383" spans="1:9">
      <c r="A383" s="1" t="s">
        <v>350</v>
      </c>
      <c r="B383">
        <f>HYPERLINK("https://www.suredividend.com/sure-analysis-research-database/","PayPal Holdings Inc")</f>
        <v>0</v>
      </c>
      <c r="C383">
        <v>-0.107927970065481</v>
      </c>
      <c r="D383">
        <v>0.021832306455933</v>
      </c>
      <c r="E383">
        <v>-0.162844288379238</v>
      </c>
      <c r="F383">
        <v>0.071187868576242</v>
      </c>
      <c r="G383">
        <v>-0.236412771494344</v>
      </c>
      <c r="H383">
        <v>-0.6808884427155221</v>
      </c>
      <c r="I383">
        <v>-0.03271205781666</v>
      </c>
    </row>
    <row r="384" spans="1:9">
      <c r="A384" s="1" t="s">
        <v>351</v>
      </c>
      <c r="B384">
        <f>HYPERLINK("https://www.suredividend.com/sure-analysis-QCOM/","Qualcomm, Inc.")</f>
        <v>0</v>
      </c>
      <c r="C384">
        <v>-0.07898795977949301</v>
      </c>
      <c r="D384">
        <v>-0.010385349219477</v>
      </c>
      <c r="E384">
        <v>-0.025934877914807</v>
      </c>
      <c r="F384">
        <v>0.131117161225376</v>
      </c>
      <c r="G384">
        <v>-0.2203093025427</v>
      </c>
      <c r="H384">
        <v>0.00757638749627</v>
      </c>
      <c r="I384">
        <v>1.125405821823584</v>
      </c>
    </row>
    <row r="385" spans="1:9">
      <c r="A385" s="1" t="s">
        <v>352</v>
      </c>
      <c r="B385">
        <f>HYPERLINK("https://www.suredividend.com/sure-analysis-research-database/","Qorvo Inc")</f>
        <v>0</v>
      </c>
      <c r="C385">
        <v>-0.03910928143712501</v>
      </c>
      <c r="D385">
        <v>0.056693075419281</v>
      </c>
      <c r="E385">
        <v>0.139338806301309</v>
      </c>
      <c r="F385">
        <v>0.133053839364519</v>
      </c>
      <c r="G385">
        <v>-0.207745120728226</v>
      </c>
      <c r="H385">
        <v>-0.37885569130277</v>
      </c>
      <c r="I385">
        <v>0.265869592012819</v>
      </c>
    </row>
    <row r="386" spans="1:9">
      <c r="A386" s="1" t="s">
        <v>353</v>
      </c>
      <c r="B386">
        <f>HYPERLINK("https://www.suredividend.com/sure-analysis-research-database/","Royal Caribbean Group")</f>
        <v>0</v>
      </c>
      <c r="C386">
        <v>0.08153126826417201</v>
      </c>
      <c r="D386">
        <v>0.223268881176665</v>
      </c>
      <c r="E386">
        <v>0.8053658536585361</v>
      </c>
      <c r="F386">
        <v>0.4974711713534291</v>
      </c>
      <c r="G386">
        <v>0.063505747126436</v>
      </c>
      <c r="H386">
        <v>-0.192009605938216</v>
      </c>
      <c r="I386">
        <v>-0.36081434428636</v>
      </c>
    </row>
    <row r="387" spans="1:9">
      <c r="A387" s="1" t="s">
        <v>354</v>
      </c>
      <c r="B387">
        <f>HYPERLINK("https://www.suredividend.com/sure-analysis-RE/","Everest Re Group Ltd")</f>
        <v>0</v>
      </c>
      <c r="C387">
        <v>0.117935687374047</v>
      </c>
      <c r="D387">
        <v>0.1478393858518</v>
      </c>
      <c r="E387">
        <v>0.4040690380713</v>
      </c>
      <c r="F387">
        <v>0.155462311709481</v>
      </c>
      <c r="G387">
        <v>0.386732265064867</v>
      </c>
      <c r="H387">
        <v>0.6728938918416421</v>
      </c>
      <c r="I387">
        <v>0.753385425971377</v>
      </c>
    </row>
    <row r="388" spans="1:9">
      <c r="A388" s="1" t="s">
        <v>355</v>
      </c>
      <c r="B388">
        <f>HYPERLINK("https://www.suredividend.com/sure-analysis-REG/","Regency Centers Corporation")</f>
        <v>0</v>
      </c>
      <c r="C388">
        <v>-0.052836401736267</v>
      </c>
      <c r="D388">
        <v>-0.028810323341089</v>
      </c>
      <c r="E388">
        <v>0.067950187076925</v>
      </c>
      <c r="F388">
        <v>0.01248</v>
      </c>
      <c r="G388">
        <v>-0.027458019936495</v>
      </c>
      <c r="H388">
        <v>0.214708569761281</v>
      </c>
      <c r="I388">
        <v>0.31283310961783</v>
      </c>
    </row>
    <row r="389" spans="1:9">
      <c r="A389" s="1" t="s">
        <v>356</v>
      </c>
      <c r="B389">
        <f>HYPERLINK("https://www.suredividend.com/sure-analysis-research-database/","Regeneron Pharmaceuticals, Inc.")</f>
        <v>0</v>
      </c>
      <c r="C389">
        <v>-0.004890631185116</v>
      </c>
      <c r="D389">
        <v>0.016845209358159</v>
      </c>
      <c r="E389">
        <v>0.342185939168474</v>
      </c>
      <c r="F389">
        <v>0.08012585067014001</v>
      </c>
      <c r="G389">
        <v>0.256104833900162</v>
      </c>
      <c r="H389">
        <v>0.734167074636165</v>
      </c>
      <c r="I389">
        <v>1.358156564892425</v>
      </c>
    </row>
    <row r="390" spans="1:9">
      <c r="A390" s="1" t="s">
        <v>357</v>
      </c>
      <c r="B390">
        <f>HYPERLINK("https://www.suredividend.com/sure-analysis-RF/","Regions Financial Corp.")</f>
        <v>0</v>
      </c>
      <c r="C390">
        <v>-0.027083333333333</v>
      </c>
      <c r="D390">
        <v>0.017624293982288</v>
      </c>
      <c r="E390">
        <v>0.107527391737418</v>
      </c>
      <c r="F390">
        <v>0.08302411873840401</v>
      </c>
      <c r="G390">
        <v>0.06852273871301301</v>
      </c>
      <c r="H390">
        <v>0.220053818219818</v>
      </c>
      <c r="I390">
        <v>0.415640554615836</v>
      </c>
    </row>
    <row r="391" spans="1:9">
      <c r="A391" s="1" t="s">
        <v>514</v>
      </c>
      <c r="B391">
        <f>HYPERLINK("https://www.suredividend.com/sure-analysis-RHI/","Robert Half International Inc.")</f>
        <v>0</v>
      </c>
      <c r="C391">
        <v>-0.060326528442686</v>
      </c>
      <c r="D391">
        <v>0.05585981422476301</v>
      </c>
      <c r="E391">
        <v>0.081604477512682</v>
      </c>
      <c r="F391">
        <v>0.108058907529132</v>
      </c>
      <c r="G391">
        <v>-0.28966316651948</v>
      </c>
      <c r="H391">
        <v>0.113205558361841</v>
      </c>
      <c r="I391">
        <v>0.549430490932439</v>
      </c>
    </row>
    <row r="392" spans="1:9">
      <c r="A392" s="1" t="s">
        <v>358</v>
      </c>
      <c r="B392">
        <f>HYPERLINK("https://www.suredividend.com/sure-analysis-RJF/","Raymond James Financial, Inc.")</f>
        <v>0</v>
      </c>
      <c r="C392">
        <v>-0.035130061678734</v>
      </c>
      <c r="D392">
        <v>-0.09062264631000301</v>
      </c>
      <c r="E392">
        <v>0.050605017675548</v>
      </c>
      <c r="F392">
        <v>0.010201216658867</v>
      </c>
      <c r="G392">
        <v>0.09608126070669501</v>
      </c>
      <c r="H392">
        <v>0.4249091115505551</v>
      </c>
      <c r="I392">
        <v>0.9047047654675641</v>
      </c>
    </row>
    <row r="393" spans="1:9">
      <c r="A393" s="1" t="s">
        <v>515</v>
      </c>
      <c r="B393">
        <f>HYPERLINK("https://www.suredividend.com/sure-analysis-RL/","Ralph Lauren Corp")</f>
        <v>0</v>
      </c>
      <c r="C393">
        <v>-0.05560409881642701</v>
      </c>
      <c r="D393">
        <v>0.036407191475117</v>
      </c>
      <c r="E393">
        <v>0.3419084242593201</v>
      </c>
      <c r="F393">
        <v>0.125106463518501</v>
      </c>
      <c r="G393">
        <v>0.05546308009854101</v>
      </c>
      <c r="H393">
        <v>0.030936774587395</v>
      </c>
      <c r="I393">
        <v>0.236864363138133</v>
      </c>
    </row>
    <row r="394" spans="1:9">
      <c r="A394" s="1" t="s">
        <v>359</v>
      </c>
      <c r="B394">
        <f>HYPERLINK("https://www.suredividend.com/sure-analysis-RMD/","Resmed Inc.")</f>
        <v>0</v>
      </c>
      <c r="C394">
        <v>-0.019404469224396</v>
      </c>
      <c r="D394">
        <v>-0.05435043541782601</v>
      </c>
      <c r="E394">
        <v>0.02183788568209</v>
      </c>
      <c r="F394">
        <v>0.058193162014615</v>
      </c>
      <c r="G394">
        <v>-0.129672501713453</v>
      </c>
      <c r="H394">
        <v>0.218827195577377</v>
      </c>
      <c r="I394">
        <v>1.431179621492066</v>
      </c>
    </row>
    <row r="395" spans="1:9">
      <c r="A395" s="1" t="s">
        <v>360</v>
      </c>
      <c r="B395">
        <f>HYPERLINK("https://www.suredividend.com/sure-analysis-ROK/","Rockwell Automation Inc")</f>
        <v>0</v>
      </c>
      <c r="C395">
        <v>0.047736247055091</v>
      </c>
      <c r="D395">
        <v>0.144305210580294</v>
      </c>
      <c r="E395">
        <v>0.288118016964896</v>
      </c>
      <c r="F395">
        <v>0.179491297358569</v>
      </c>
      <c r="G395">
        <v>0.150859198411107</v>
      </c>
      <c r="H395">
        <v>0.277226916188605</v>
      </c>
      <c r="I395">
        <v>0.8736594161618061</v>
      </c>
    </row>
    <row r="396" spans="1:9">
      <c r="A396" s="1" t="s">
        <v>361</v>
      </c>
      <c r="B396">
        <f>HYPERLINK("https://www.suredividend.com/sure-analysis-ROL/","Rollins, Inc.")</f>
        <v>0</v>
      </c>
      <c r="C396">
        <v>-0.006455787001223</v>
      </c>
      <c r="D396">
        <v>-0.124266399549735</v>
      </c>
      <c r="E396">
        <v>0.053935098843715</v>
      </c>
      <c r="F396">
        <v>-0.029838242282242</v>
      </c>
      <c r="G396">
        <v>0.05143142922634</v>
      </c>
      <c r="H396">
        <v>0.132650279795404</v>
      </c>
      <c r="I396">
        <v>0.686683699052076</v>
      </c>
    </row>
    <row r="397" spans="1:9">
      <c r="A397" s="1" t="s">
        <v>362</v>
      </c>
      <c r="B397">
        <f>HYPERLINK("https://www.suredividend.com/sure-analysis-ROP/","Roper Technologies Inc")</f>
        <v>0</v>
      </c>
      <c r="C397">
        <v>-0.0005344611237620001</v>
      </c>
      <c r="D397">
        <v>-0.029480672537784</v>
      </c>
      <c r="E397">
        <v>0.076246042992289</v>
      </c>
      <c r="F397">
        <v>-0.003021463167007</v>
      </c>
      <c r="G397">
        <v>-0.048103621282854</v>
      </c>
      <c r="H397">
        <v>0.169572674022575</v>
      </c>
      <c r="I397">
        <v>0.6487389797529131</v>
      </c>
    </row>
    <row r="398" spans="1:9">
      <c r="A398" s="1" t="s">
        <v>363</v>
      </c>
      <c r="B398">
        <f>HYPERLINK("https://www.suredividend.com/sure-analysis-ROST/","Ross Stores, Inc.")</f>
        <v>0</v>
      </c>
      <c r="C398">
        <v>-0.025060700659035</v>
      </c>
      <c r="D398">
        <v>-0.052742438284606</v>
      </c>
      <c r="E398">
        <v>0.289892533813357</v>
      </c>
      <c r="F398">
        <v>-0.031360385973981</v>
      </c>
      <c r="G398">
        <v>0.274014545273239</v>
      </c>
      <c r="H398">
        <v>0.02717073527262</v>
      </c>
      <c r="I398">
        <v>0.4983434662203041</v>
      </c>
    </row>
    <row r="399" spans="1:9">
      <c r="A399" s="1" t="s">
        <v>364</v>
      </c>
      <c r="B399">
        <f>HYPERLINK("https://www.suredividend.com/sure-analysis-RSG/","Republic Services, Inc.")</f>
        <v>0</v>
      </c>
      <c r="C399">
        <v>0.047611309717257</v>
      </c>
      <c r="D399">
        <v>-0.07892105037574601</v>
      </c>
      <c r="E399">
        <v>-0.09028758172701401</v>
      </c>
      <c r="F399">
        <v>-0.000387626947825</v>
      </c>
      <c r="G399">
        <v>0.006425386834513</v>
      </c>
      <c r="H399">
        <v>0.4532216799846721</v>
      </c>
      <c r="I399">
        <v>1.115532279340828</v>
      </c>
    </row>
    <row r="400" spans="1:9">
      <c r="A400" s="1" t="s">
        <v>365</v>
      </c>
      <c r="B400">
        <f>HYPERLINK("https://www.suredividend.com/sure-analysis-RTX/","Raytheon Technologies Corporation")</f>
        <v>0</v>
      </c>
      <c r="C400">
        <v>0.031973244983694</v>
      </c>
      <c r="D400">
        <v>-0.014307571475641</v>
      </c>
      <c r="E400">
        <v>0.143379725159318</v>
      </c>
      <c r="F400">
        <v>-0.013428609573986</v>
      </c>
      <c r="G400">
        <v>0.017508921956387</v>
      </c>
      <c r="H400">
        <v>0.393856726393328</v>
      </c>
      <c r="I400">
        <v>0.00325993621974</v>
      </c>
    </row>
    <row r="401" spans="1:9">
      <c r="A401" s="1" t="s">
        <v>366</v>
      </c>
      <c r="B401">
        <f>HYPERLINK("https://www.suredividend.com/sure-analysis-SBAC/","SBA Communications Corp")</f>
        <v>0</v>
      </c>
      <c r="C401">
        <v>-0.125667461463545</v>
      </c>
      <c r="D401">
        <v>-0.118204911092294</v>
      </c>
      <c r="E401">
        <v>-0.179856894714857</v>
      </c>
      <c r="F401">
        <v>-0.071206878099247</v>
      </c>
      <c r="G401">
        <v>-0.206164807930607</v>
      </c>
      <c r="H401">
        <v>0.122036741262249</v>
      </c>
      <c r="I401">
        <v>0.747219280549661</v>
      </c>
    </row>
    <row r="402" spans="1:9">
      <c r="A402" s="1" t="s">
        <v>367</v>
      </c>
      <c r="B402">
        <f>HYPERLINK("https://www.suredividend.com/sure-analysis-SBUX/","Starbucks Corp.")</f>
        <v>0</v>
      </c>
      <c r="C402">
        <v>0.007419541337444001</v>
      </c>
      <c r="D402">
        <v>0.000227694109228</v>
      </c>
      <c r="E402">
        <v>0.28155939607969</v>
      </c>
      <c r="F402">
        <v>0.05921256587785401</v>
      </c>
      <c r="G402">
        <v>0.19572489749704</v>
      </c>
      <c r="H402">
        <v>0.044134272371737</v>
      </c>
      <c r="I402">
        <v>1.04429201601802</v>
      </c>
    </row>
    <row r="403" spans="1:9">
      <c r="A403" s="1" t="s">
        <v>368</v>
      </c>
      <c r="B403">
        <f>HYPERLINK("https://www.suredividend.com/sure-analysis-SCHW/","Charles Schwab Corp.")</f>
        <v>0</v>
      </c>
      <c r="C403">
        <v>-0.017326584990904</v>
      </c>
      <c r="D403">
        <v>-0.058321766622914</v>
      </c>
      <c r="E403">
        <v>0.110113635711786</v>
      </c>
      <c r="F403">
        <v>-0.067369623309374</v>
      </c>
      <c r="G403">
        <v>-0.008290085078743001</v>
      </c>
      <c r="H403">
        <v>0.224524015919919</v>
      </c>
      <c r="I403">
        <v>0.575490649022365</v>
      </c>
    </row>
    <row r="404" spans="1:9">
      <c r="A404" s="1" t="s">
        <v>516</v>
      </c>
      <c r="B404">
        <f>HYPERLINK("https://www.suredividend.com/sure-analysis-research-database/","Sealed Air Corp.")</f>
        <v>0</v>
      </c>
      <c r="C404">
        <v>-0.107233733187931</v>
      </c>
      <c r="D404">
        <v>-0.08204074004858901</v>
      </c>
      <c r="E404">
        <v>-0.06377285055626601</v>
      </c>
      <c r="F404">
        <v>-0.01523656776263</v>
      </c>
      <c r="G404">
        <v>-0.24722037041294</v>
      </c>
      <c r="H404">
        <v>0.176205778541907</v>
      </c>
      <c r="I404">
        <v>0.219472836192921</v>
      </c>
    </row>
    <row r="405" spans="1:9">
      <c r="A405" s="1" t="s">
        <v>369</v>
      </c>
      <c r="B405">
        <f>HYPERLINK("https://www.suredividend.com/sure-analysis-SHW/","Sherwin-Williams Co.")</f>
        <v>0</v>
      </c>
      <c r="C405">
        <v>-0.063188675325029</v>
      </c>
      <c r="D405">
        <v>-0.132920186727763</v>
      </c>
      <c r="E405">
        <v>-0.081404057803535</v>
      </c>
      <c r="F405">
        <v>-0.070372894417632</v>
      </c>
      <c r="G405">
        <v>-0.07349586772335501</v>
      </c>
      <c r="H405">
        <v>-0.023618553155611</v>
      </c>
      <c r="I405">
        <v>0.70679810323014</v>
      </c>
    </row>
    <row r="406" spans="1:9">
      <c r="A406" s="1" t="s">
        <v>370</v>
      </c>
      <c r="B406">
        <f>HYPERLINK("https://www.suredividend.com/sure-analysis-research-database/","SVB Financial Group")</f>
        <v>0</v>
      </c>
      <c r="C406">
        <v>-0.120045790662417</v>
      </c>
      <c r="D406">
        <v>0.26449404232616</v>
      </c>
      <c r="E406">
        <v>-0.280156922298152</v>
      </c>
      <c r="F406">
        <v>0.235812983401408</v>
      </c>
      <c r="G406">
        <v>-0.4763404035940491</v>
      </c>
      <c r="H406">
        <v>-0.433998686541025</v>
      </c>
      <c r="I406">
        <v>0.1115844602517</v>
      </c>
    </row>
    <row r="407" spans="1:9">
      <c r="A407" s="1" t="s">
        <v>371</v>
      </c>
      <c r="B407">
        <f>HYPERLINK("https://www.suredividend.com/sure-analysis-SJM/","J.M. Smucker Co.")</f>
        <v>0</v>
      </c>
      <c r="C407">
        <v>0.012470575913137</v>
      </c>
      <c r="D407">
        <v>-0.016897241640529</v>
      </c>
      <c r="E407">
        <v>0.09960624179670401</v>
      </c>
      <c r="F407">
        <v>-0.041775536554865</v>
      </c>
      <c r="G407">
        <v>0.167555882801545</v>
      </c>
      <c r="H407">
        <v>0.383889978911278</v>
      </c>
      <c r="I407">
        <v>0.372453725192535</v>
      </c>
    </row>
    <row r="408" spans="1:9">
      <c r="A408" s="1" t="s">
        <v>372</v>
      </c>
      <c r="B408">
        <f>HYPERLINK("https://www.suredividend.com/sure-analysis-SLB/","SLB")</f>
        <v>0</v>
      </c>
      <c r="C408">
        <v>0.06867256704732201</v>
      </c>
      <c r="D408">
        <v>0.06927667701121901</v>
      </c>
      <c r="E408">
        <v>0.482719263168766</v>
      </c>
      <c r="F408">
        <v>0.05227943760653801</v>
      </c>
      <c r="G408">
        <v>0.4495943000056951</v>
      </c>
      <c r="H408">
        <v>0.9984295249312911</v>
      </c>
      <c r="I408">
        <v>-0.038968216778835</v>
      </c>
    </row>
    <row r="409" spans="1:9">
      <c r="A409" s="1" t="s">
        <v>517</v>
      </c>
      <c r="B409">
        <f>HYPERLINK("https://www.suredividend.com/sure-analysis-SLG/","SL Green Realty Corp.")</f>
        <v>0</v>
      </c>
      <c r="C409">
        <v>-0.174465522433002</v>
      </c>
      <c r="D409">
        <v>-0.136712757355071</v>
      </c>
      <c r="E409">
        <v>-0.191247442411484</v>
      </c>
      <c r="F409">
        <v>0.031151176330763</v>
      </c>
      <c r="G409">
        <v>-0.5305537328991831</v>
      </c>
      <c r="H409">
        <v>-0.454658003574082</v>
      </c>
      <c r="I409">
        <v>-0.5445568765665411</v>
      </c>
    </row>
    <row r="410" spans="1:9">
      <c r="A410" s="1" t="s">
        <v>373</v>
      </c>
      <c r="B410">
        <f>HYPERLINK("https://www.suredividend.com/sure-analysis-SNA/","Snap-on, Inc.")</f>
        <v>0</v>
      </c>
      <c r="C410">
        <v>-0.030432630187001</v>
      </c>
      <c r="D410">
        <v>0.027750918544678</v>
      </c>
      <c r="E410">
        <v>0.187901736160422</v>
      </c>
      <c r="F410">
        <v>0.101832981328314</v>
      </c>
      <c r="G410">
        <v>0.237392915542119</v>
      </c>
      <c r="H410">
        <v>0.238552918547688</v>
      </c>
      <c r="I410">
        <v>0.8349983564988731</v>
      </c>
    </row>
    <row r="411" spans="1:9">
      <c r="A411" s="1" t="s">
        <v>374</v>
      </c>
      <c r="B411">
        <f>HYPERLINK("https://www.suredividend.com/sure-analysis-research-database/","Synopsys, Inc.")</f>
        <v>0</v>
      </c>
      <c r="C411">
        <v>0.016766268260292</v>
      </c>
      <c r="D411">
        <v>0.05551885573139501</v>
      </c>
      <c r="E411">
        <v>0.111749757986447</v>
      </c>
      <c r="F411">
        <v>0.150991261862256</v>
      </c>
      <c r="G411">
        <v>0.189089497185012</v>
      </c>
      <c r="H411">
        <v>0.599216710182767</v>
      </c>
      <c r="I411">
        <v>3.28471493529206</v>
      </c>
    </row>
    <row r="412" spans="1:9">
      <c r="A412" s="1" t="s">
        <v>375</v>
      </c>
      <c r="B412">
        <f>HYPERLINK("https://www.suredividend.com/sure-analysis-SO/","Southern Company")</f>
        <v>0</v>
      </c>
      <c r="C412">
        <v>-0.026517302186693</v>
      </c>
      <c r="D412">
        <v>-0.027529570993642</v>
      </c>
      <c r="E412">
        <v>-0.150130870142199</v>
      </c>
      <c r="F412">
        <v>-0.08295565331450401</v>
      </c>
      <c r="G412">
        <v>-0.002950687519422</v>
      </c>
      <c r="H412">
        <v>0.222730985976609</v>
      </c>
      <c r="I412">
        <v>0.821370257228853</v>
      </c>
    </row>
    <row r="413" spans="1:9">
      <c r="A413" s="1" t="s">
        <v>376</v>
      </c>
      <c r="B413">
        <f>HYPERLINK("https://www.suredividend.com/sure-analysis-SPG/","Simon Property Group, Inc.")</f>
        <v>0</v>
      </c>
      <c r="C413">
        <v>-0.044141437485555</v>
      </c>
      <c r="D413">
        <v>0.055680151375413</v>
      </c>
      <c r="E413">
        <v>0.274768763233893</v>
      </c>
      <c r="F413">
        <v>0.05617977528089801</v>
      </c>
      <c r="G413">
        <v>-0.037347025225418</v>
      </c>
      <c r="H413">
        <v>0.250243086028775</v>
      </c>
      <c r="I413">
        <v>0.033078838036084</v>
      </c>
    </row>
    <row r="414" spans="1:9">
      <c r="A414" s="1" t="s">
        <v>377</v>
      </c>
      <c r="B414">
        <f>HYPERLINK("https://www.suredividend.com/sure-analysis-SPGI/","S&amp;P Global Inc")</f>
        <v>0</v>
      </c>
      <c r="C414">
        <v>-0.069555730135403</v>
      </c>
      <c r="D414">
        <v>-0.035653001159768</v>
      </c>
      <c r="E414">
        <v>-0.001892847470757</v>
      </c>
      <c r="F414">
        <v>0.035922786080612</v>
      </c>
      <c r="G414">
        <v>-0.144617631203573</v>
      </c>
      <c r="H414">
        <v>0.072240777806007</v>
      </c>
      <c r="I414">
        <v>0.9021294043801681</v>
      </c>
    </row>
    <row r="415" spans="1:9">
      <c r="A415" s="1" t="s">
        <v>378</v>
      </c>
      <c r="B415">
        <f>HYPERLINK("https://www.suredividend.com/sure-analysis-SRE/","Sempra Energy")</f>
        <v>0</v>
      </c>
      <c r="C415">
        <v>-0.032135984605516</v>
      </c>
      <c r="D415">
        <v>-0.08393952750245501</v>
      </c>
      <c r="E415">
        <v>-0.082398643635718</v>
      </c>
      <c r="F415">
        <v>-0.023618480652258</v>
      </c>
      <c r="G415">
        <v>0.022732048134627</v>
      </c>
      <c r="H415">
        <v>0.362487132718111</v>
      </c>
      <c r="I415">
        <v>0.6392605564946821</v>
      </c>
    </row>
    <row r="416" spans="1:9">
      <c r="A416" s="1" t="s">
        <v>379</v>
      </c>
      <c r="B416">
        <f>HYPERLINK("https://www.suredividend.com/sure-analysis-STE/","Steris Plc")</f>
        <v>0</v>
      </c>
      <c r="C416">
        <v>-0.130561750026547</v>
      </c>
      <c r="D416">
        <v>-0.007696036844018</v>
      </c>
      <c r="E416">
        <v>-0.041151970471821</v>
      </c>
      <c r="F416">
        <v>0.031095719012167</v>
      </c>
      <c r="G416">
        <v>-0.21956819256595</v>
      </c>
      <c r="H416">
        <v>0.12642864301374</v>
      </c>
      <c r="I416">
        <v>1.21464897901126</v>
      </c>
    </row>
    <row r="417" spans="1:9">
      <c r="A417" s="1" t="s">
        <v>380</v>
      </c>
      <c r="B417">
        <f>HYPERLINK("https://www.suredividend.com/sure-analysis-STT/","State Street Corp.")</f>
        <v>0</v>
      </c>
      <c r="C417">
        <v>-0.007246376811594001</v>
      </c>
      <c r="D417">
        <v>0.172838705493222</v>
      </c>
      <c r="E417">
        <v>0.360714156724414</v>
      </c>
      <c r="F417">
        <v>0.165656826092561</v>
      </c>
      <c r="G417">
        <v>0.161324130419705</v>
      </c>
      <c r="H417">
        <v>0.226055510131026</v>
      </c>
      <c r="I417">
        <v>0.003045077125314</v>
      </c>
    </row>
    <row r="418" spans="1:9">
      <c r="A418" s="1" t="s">
        <v>381</v>
      </c>
      <c r="B418">
        <f>HYPERLINK("https://www.suredividend.com/sure-analysis-STX/","Seagate Technology Holdings Plc")</f>
        <v>0</v>
      </c>
      <c r="C418">
        <v>-0.09383954154727701</v>
      </c>
      <c r="D418">
        <v>0.184527911784975</v>
      </c>
      <c r="E418">
        <v>-0.05764248222184801</v>
      </c>
      <c r="F418">
        <v>0.202242919597034</v>
      </c>
      <c r="G418">
        <v>-0.269912066246967</v>
      </c>
      <c r="H418">
        <v>-0.3272800950422931</v>
      </c>
      <c r="I418">
        <v>-0.3272800950422931</v>
      </c>
    </row>
    <row r="419" spans="1:9">
      <c r="A419" s="1" t="s">
        <v>382</v>
      </c>
      <c r="B419">
        <f>HYPERLINK("https://www.suredividend.com/sure-analysis-STZ/","Constellation Brands Inc")</f>
        <v>0</v>
      </c>
      <c r="C419">
        <v>-0.029449100963377</v>
      </c>
      <c r="D419">
        <v>-0.141840585693319</v>
      </c>
      <c r="E419">
        <v>-0.08199274805111001</v>
      </c>
      <c r="F419">
        <v>-0.033343898354108</v>
      </c>
      <c r="G419">
        <v>0.039607533603887</v>
      </c>
      <c r="H419">
        <v>0.08600846527180801</v>
      </c>
      <c r="I419">
        <v>0.09253542604232501</v>
      </c>
    </row>
    <row r="420" spans="1:9">
      <c r="A420" s="1" t="s">
        <v>383</v>
      </c>
      <c r="B420">
        <f>HYPERLINK("https://www.suredividend.com/sure-analysis-SWK/","Stanley Black &amp; Decker Inc")</f>
        <v>0</v>
      </c>
      <c r="C420">
        <v>-0.06992112555958201</v>
      </c>
      <c r="D420">
        <v>0.06492555528435401</v>
      </c>
      <c r="E420">
        <v>0.027583177594306</v>
      </c>
      <c r="F420">
        <v>0.161608093716719</v>
      </c>
      <c r="G420">
        <v>-0.443245281526092</v>
      </c>
      <c r="H420">
        <v>-0.495897742227316</v>
      </c>
      <c r="I420">
        <v>-0.3661129780485921</v>
      </c>
    </row>
    <row r="421" spans="1:9">
      <c r="A421" s="1" t="s">
        <v>384</v>
      </c>
      <c r="B421">
        <f>HYPERLINK("https://www.suredividend.com/sure-analysis-SWKS/","Skyworks Solutions, Inc.")</f>
        <v>0</v>
      </c>
      <c r="C421">
        <v>0.017093100180586</v>
      </c>
      <c r="D421">
        <v>0.217567561782697</v>
      </c>
      <c r="E421">
        <v>0.170320338803469</v>
      </c>
      <c r="F421">
        <v>0.255377865758319</v>
      </c>
      <c r="G421">
        <v>-0.142834109732603</v>
      </c>
      <c r="H421">
        <v>-0.293787853300053</v>
      </c>
      <c r="I421">
        <v>0.139546064624692</v>
      </c>
    </row>
    <row r="422" spans="1:9">
      <c r="A422" s="1" t="s">
        <v>385</v>
      </c>
      <c r="B422">
        <f>HYPERLINK("https://www.suredividend.com/sure-analysis-SYF/","Synchrony Financial")</f>
        <v>0</v>
      </c>
      <c r="C422">
        <v>-0.018083670715249</v>
      </c>
      <c r="D422">
        <v>0.036904449739491</v>
      </c>
      <c r="E422">
        <v>0.152246691012285</v>
      </c>
      <c r="F422">
        <v>0.113900796080832</v>
      </c>
      <c r="G422">
        <v>0.000916176709302</v>
      </c>
      <c r="H422">
        <v>-0.022379396336744</v>
      </c>
      <c r="I422">
        <v>0.154572430536822</v>
      </c>
    </row>
    <row r="423" spans="1:9">
      <c r="A423" s="1" t="s">
        <v>386</v>
      </c>
      <c r="B423">
        <f>HYPERLINK("https://www.suredividend.com/sure-analysis-SYK/","Stryker Corp.")</f>
        <v>0</v>
      </c>
      <c r="C423">
        <v>-0.041004450095359</v>
      </c>
      <c r="D423">
        <v>0.120378947455287</v>
      </c>
      <c r="E423">
        <v>0.341275043629844</v>
      </c>
      <c r="F423">
        <v>0.110597570452779</v>
      </c>
      <c r="G423">
        <v>0.029434400616909</v>
      </c>
      <c r="H423">
        <v>0.177742731332563</v>
      </c>
      <c r="I423">
        <v>0.787677645240167</v>
      </c>
    </row>
    <row r="424" spans="1:9">
      <c r="A424" s="1" t="s">
        <v>387</v>
      </c>
      <c r="B424">
        <f>HYPERLINK("https://www.suredividend.com/sure-analysis-SYY/","Sysco Corp.")</f>
        <v>0</v>
      </c>
      <c r="C424">
        <v>-0.005995828988529001</v>
      </c>
      <c r="D424">
        <v>-0.100545263473244</v>
      </c>
      <c r="E424">
        <v>-0.043676615723782</v>
      </c>
      <c r="F424">
        <v>0.003929622242846</v>
      </c>
      <c r="G424">
        <v>-0.080265138358226</v>
      </c>
      <c r="H424">
        <v>0.007200705806526</v>
      </c>
      <c r="I424">
        <v>0.4395252171746341</v>
      </c>
    </row>
    <row r="425" spans="1:9">
      <c r="A425" s="1" t="s">
        <v>388</v>
      </c>
      <c r="B425">
        <f>HYPERLINK("https://www.suredividend.com/sure-analysis-T/","AT&amp;T, Inc.")</f>
        <v>0</v>
      </c>
      <c r="C425">
        <v>-0.05143721633888</v>
      </c>
      <c r="D425">
        <v>0.003216051456823</v>
      </c>
      <c r="E425">
        <v>0.129689020215487</v>
      </c>
      <c r="F425">
        <v>0.036455004297899</v>
      </c>
      <c r="G425">
        <v>0.102133369270341</v>
      </c>
      <c r="H425">
        <v>-0.03763999242800201</v>
      </c>
      <c r="I425">
        <v>-0.075021145183815</v>
      </c>
    </row>
    <row r="426" spans="1:9">
      <c r="A426" s="1" t="s">
        <v>389</v>
      </c>
      <c r="B426">
        <f>HYPERLINK("https://www.suredividend.com/sure-analysis-TAP/","Molson Coors Beverage Company")</f>
        <v>0</v>
      </c>
      <c r="C426">
        <v>0.004781451576525</v>
      </c>
      <c r="D426">
        <v>-0.030476691361159</v>
      </c>
      <c r="E426">
        <v>0.049331948879907</v>
      </c>
      <c r="F426">
        <v>0.04573782613288201</v>
      </c>
      <c r="G426">
        <v>0.081866492898859</v>
      </c>
      <c r="H426">
        <v>0.240017350036996</v>
      </c>
      <c r="I426">
        <v>-0.2402742743454</v>
      </c>
    </row>
    <row r="427" spans="1:9">
      <c r="A427" s="1" t="s">
        <v>390</v>
      </c>
      <c r="B427">
        <f>HYPERLINK("https://www.suredividend.com/sure-analysis-research-database/","Transdigm Group Incorporated")</f>
        <v>0</v>
      </c>
      <c r="C427">
        <v>0.075290819901892</v>
      </c>
      <c r="D427">
        <v>0.233829725644077</v>
      </c>
      <c r="E427">
        <v>0.276147704590818</v>
      </c>
      <c r="F427">
        <v>0.218486460732152</v>
      </c>
      <c r="G427">
        <v>0.246398745575903</v>
      </c>
      <c r="H427">
        <v>0.378798718785768</v>
      </c>
      <c r="I427">
        <v>2.098666864838318</v>
      </c>
    </row>
    <row r="428" spans="1:9">
      <c r="A428" s="1" t="s">
        <v>391</v>
      </c>
      <c r="B428">
        <f>HYPERLINK("https://www.suredividend.com/sure-analysis-research-database/","Teledyne Technologies Inc")</f>
        <v>0</v>
      </c>
      <c r="C428">
        <v>0.009986622999215001</v>
      </c>
      <c r="D428">
        <v>0.025094220370327</v>
      </c>
      <c r="E428">
        <v>0.190911315982703</v>
      </c>
      <c r="F428">
        <v>0.09502137981045701</v>
      </c>
      <c r="G428">
        <v>-0.026931537897473</v>
      </c>
      <c r="H428">
        <v>0.191073274220747</v>
      </c>
      <c r="I428">
        <v>1.368617481609693</v>
      </c>
    </row>
    <row r="429" spans="1:9">
      <c r="A429" s="1" t="s">
        <v>392</v>
      </c>
      <c r="B429">
        <f>HYPERLINK("https://www.suredividend.com/sure-analysis-TEL/","TE Connectivity Ltd")</f>
        <v>0</v>
      </c>
      <c r="C429">
        <v>-0.021350578204199</v>
      </c>
      <c r="D429">
        <v>0.041750664866543</v>
      </c>
      <c r="E429">
        <v>0.062373747448487</v>
      </c>
      <c r="F429">
        <v>0.141388543601164</v>
      </c>
      <c r="G429">
        <v>-0.004949324710781001</v>
      </c>
      <c r="H429">
        <v>0.05249996975111101</v>
      </c>
      <c r="I429">
        <v>0.4098660367939591</v>
      </c>
    </row>
    <row r="430" spans="1:9">
      <c r="A430" s="1" t="s">
        <v>393</v>
      </c>
      <c r="B430">
        <f>HYPERLINK("https://www.suredividend.com/sure-analysis-TFC/","Truist Financial Corporation")</f>
        <v>0</v>
      </c>
      <c r="C430">
        <v>-0.06701209817357101</v>
      </c>
      <c r="D430">
        <v>0.037136391061427</v>
      </c>
      <c r="E430">
        <v>0.017122142643461</v>
      </c>
      <c r="F430">
        <v>0.08606297474151901</v>
      </c>
      <c r="G430">
        <v>-0.181333555232542</v>
      </c>
      <c r="H430">
        <v>-0.132683971722196</v>
      </c>
      <c r="I430">
        <v>-0.09850016474207601</v>
      </c>
    </row>
    <row r="431" spans="1:9">
      <c r="A431" s="1" t="s">
        <v>394</v>
      </c>
      <c r="B431">
        <f>HYPERLINK("https://www.suredividend.com/sure-analysis-research-database/","Teleflex Incorporated")</f>
        <v>0</v>
      </c>
      <c r="C431">
        <v>-0.073244272723997</v>
      </c>
      <c r="D431">
        <v>-0.012537826088751</v>
      </c>
      <c r="E431">
        <v>0.076941017454647</v>
      </c>
      <c r="F431">
        <v>-0.040425760670895</v>
      </c>
      <c r="G431">
        <v>-0.312716060273183</v>
      </c>
      <c r="H431">
        <v>-0.382419123086277</v>
      </c>
      <c r="I431">
        <v>-0.004024459050660001</v>
      </c>
    </row>
    <row r="432" spans="1:9">
      <c r="A432" s="1" t="s">
        <v>395</v>
      </c>
      <c r="B432">
        <f>HYPERLINK("https://www.suredividend.com/sure-analysis-TGT/","Target Corp")</f>
        <v>0</v>
      </c>
      <c r="C432">
        <v>-0.05498506762549601</v>
      </c>
      <c r="D432">
        <v>0.017549043105461</v>
      </c>
      <c r="E432">
        <v>0.027907057386936</v>
      </c>
      <c r="F432">
        <v>0.120778765698498</v>
      </c>
      <c r="G432">
        <v>-0.237145324275276</v>
      </c>
      <c r="H432">
        <v>0.021293351134189</v>
      </c>
      <c r="I432">
        <v>1.45427072675983</v>
      </c>
    </row>
    <row r="433" spans="1:9">
      <c r="A433" s="1" t="s">
        <v>396</v>
      </c>
      <c r="B433">
        <f>HYPERLINK("https://www.suredividend.com/sure-analysis-research-database/","Tiffany &amp; Co.")</f>
        <v>0</v>
      </c>
      <c r="C433">
        <v>0.001523693432881</v>
      </c>
      <c r="D433">
        <v>0.128559262667747</v>
      </c>
      <c r="E433">
        <v>0.079729648705942</v>
      </c>
      <c r="F433">
        <v>7.607455306200001E-05</v>
      </c>
      <c r="G433">
        <v>0.002980865847303</v>
      </c>
      <c r="H433">
        <v>0.6643287232803451</v>
      </c>
      <c r="I433">
        <v>1.009173176177863</v>
      </c>
    </row>
    <row r="434" spans="1:9">
      <c r="A434" s="1" t="s">
        <v>397</v>
      </c>
      <c r="B434">
        <f>HYPERLINK("https://www.suredividend.com/sure-analysis-TJX/","TJX Companies, Inc.")</f>
        <v>0</v>
      </c>
      <c r="C434">
        <v>-0.020085431018397</v>
      </c>
      <c r="D434">
        <v>-0.010330505344847</v>
      </c>
      <c r="E434">
        <v>0.254024497148196</v>
      </c>
      <c r="F434">
        <v>-0.013315512067182</v>
      </c>
      <c r="G434">
        <v>0.273689402090315</v>
      </c>
      <c r="H434">
        <v>0.288825348929904</v>
      </c>
      <c r="I434">
        <v>0.9861716763035121</v>
      </c>
    </row>
    <row r="435" spans="1:9">
      <c r="A435" s="1" t="s">
        <v>398</v>
      </c>
      <c r="B435">
        <f>HYPERLINK("https://www.suredividend.com/sure-analysis-TMO/","Thermo Fisher Scientific Inc.")</f>
        <v>0</v>
      </c>
      <c r="C435">
        <v>-0.04818293180890101</v>
      </c>
      <c r="D435">
        <v>-0.005801269725276</v>
      </c>
      <c r="E435">
        <v>0.030326526064347</v>
      </c>
      <c r="F435">
        <v>0.0158891572391</v>
      </c>
      <c r="G435">
        <v>0.011521553053712</v>
      </c>
      <c r="H435">
        <v>0.245789026438946</v>
      </c>
      <c r="I435">
        <v>1.743276779974432</v>
      </c>
    </row>
    <row r="436" spans="1:9">
      <c r="A436" s="1" t="s">
        <v>399</v>
      </c>
      <c r="B436">
        <f>HYPERLINK("https://www.suredividend.com/sure-analysis-research-database/","T-Mobile US Inc")</f>
        <v>0</v>
      </c>
      <c r="C436">
        <v>-0.022659962807355</v>
      </c>
      <c r="D436">
        <v>-0.06895872974214201</v>
      </c>
      <c r="E436">
        <v>-0.0005634596422030001</v>
      </c>
      <c r="F436">
        <v>0.013571428571428</v>
      </c>
      <c r="G436">
        <v>0.15150531526414</v>
      </c>
      <c r="H436">
        <v>0.196357811314391</v>
      </c>
      <c r="I436">
        <v>1.301270158413015</v>
      </c>
    </row>
    <row r="437" spans="1:9">
      <c r="A437" s="1" t="s">
        <v>400</v>
      </c>
      <c r="B437">
        <f>HYPERLINK("https://www.suredividend.com/sure-analysis-TPR/","Tapestry Inc")</f>
        <v>0</v>
      </c>
      <c r="C437">
        <v>-0.035567122099327</v>
      </c>
      <c r="D437">
        <v>0.155268982573545</v>
      </c>
      <c r="E437">
        <v>0.309863593921667</v>
      </c>
      <c r="F437">
        <v>0.167804621848739</v>
      </c>
      <c r="G437">
        <v>0.250017568270298</v>
      </c>
      <c r="H437">
        <v>0.138647705421314</v>
      </c>
      <c r="I437">
        <v>-0.00804582573995</v>
      </c>
    </row>
    <row r="438" spans="1:9">
      <c r="A438" s="1" t="s">
        <v>401</v>
      </c>
      <c r="B438">
        <f>HYPERLINK("https://www.suredividend.com/sure-analysis-TROW/","T. Rowe Price Group Inc.")</f>
        <v>0</v>
      </c>
      <c r="C438">
        <v>-0.09799713876967001</v>
      </c>
      <c r="D438">
        <v>-0.090149661521884</v>
      </c>
      <c r="E438">
        <v>-0.021068294050417</v>
      </c>
      <c r="F438">
        <v>0.040619842288648</v>
      </c>
      <c r="G438">
        <v>-0.148180172390499</v>
      </c>
      <c r="H438">
        <v>-0.249296525557256</v>
      </c>
      <c r="I438">
        <v>0.209149003722589</v>
      </c>
    </row>
    <row r="439" spans="1:9">
      <c r="A439" s="1" t="s">
        <v>402</v>
      </c>
      <c r="B439">
        <f>HYPERLINK("https://www.suredividend.com/sure-analysis-TRV/","Travelers Companies Inc.")</f>
        <v>0</v>
      </c>
      <c r="C439">
        <v>0.004541475158678</v>
      </c>
      <c r="D439">
        <v>-0.026577576343062</v>
      </c>
      <c r="E439">
        <v>0.140470649917317</v>
      </c>
      <c r="F439">
        <v>-0.020801109392501</v>
      </c>
      <c r="G439">
        <v>0.08143036970322001</v>
      </c>
      <c r="H439">
        <v>0.286828356064333</v>
      </c>
      <c r="I439">
        <v>0.496226630372773</v>
      </c>
    </row>
    <row r="440" spans="1:9">
      <c r="A440" s="1" t="s">
        <v>403</v>
      </c>
      <c r="B440">
        <f>HYPERLINK("https://www.suredividend.com/sure-analysis-TSCO/","Tractor Supply Co.")</f>
        <v>0</v>
      </c>
      <c r="C440">
        <v>0.011471784613112</v>
      </c>
      <c r="D440">
        <v>0.027749596330537</v>
      </c>
      <c r="E440">
        <v>0.237612315898715</v>
      </c>
      <c r="F440">
        <v>0.027612395105714</v>
      </c>
      <c r="G440">
        <v>0.056374875388521</v>
      </c>
      <c r="H440">
        <v>0.5640757301874221</v>
      </c>
      <c r="I440">
        <v>2.833655080975469</v>
      </c>
    </row>
    <row r="441" spans="1:9">
      <c r="A441" s="1" t="s">
        <v>404</v>
      </c>
      <c r="B441">
        <f>HYPERLINK("https://www.suredividend.com/sure-analysis-TSN/","Tyson Foods, Inc.")</f>
        <v>0</v>
      </c>
      <c r="C441">
        <v>-0.06755539882747801</v>
      </c>
      <c r="D441">
        <v>-0.09566168005692001</v>
      </c>
      <c r="E441">
        <v>-0.194066325225465</v>
      </c>
      <c r="F441">
        <v>-0.040893589872302</v>
      </c>
      <c r="G441">
        <v>-0.3529943808932891</v>
      </c>
      <c r="H441">
        <v>-0.14336210487342</v>
      </c>
      <c r="I441">
        <v>-0.101122572401139</v>
      </c>
    </row>
    <row r="442" spans="1:9">
      <c r="A442" s="1" t="s">
        <v>405</v>
      </c>
      <c r="B442">
        <f>HYPERLINK("https://www.suredividend.com/sure-analysis-TT/","Trane Technologies plc")</f>
        <v>0</v>
      </c>
      <c r="C442">
        <v>0.046147776794501</v>
      </c>
      <c r="D442">
        <v>0.088750771929962</v>
      </c>
      <c r="E442">
        <v>0.25864993567664</v>
      </c>
      <c r="F442">
        <v>0.159481754484472</v>
      </c>
      <c r="G442">
        <v>0.304981532202004</v>
      </c>
      <c r="H442">
        <v>0.304945562842228</v>
      </c>
      <c r="I442">
        <v>1.321399847998598</v>
      </c>
    </row>
    <row r="443" spans="1:9">
      <c r="A443" s="1" t="s">
        <v>406</v>
      </c>
      <c r="B443">
        <f>HYPERLINK("https://www.suredividend.com/sure-analysis-research-database/","Take-Two Interactive Software, Inc.")</f>
        <v>0</v>
      </c>
      <c r="C443">
        <v>0.06789897510980901</v>
      </c>
      <c r="D443">
        <v>0.07300478116954701</v>
      </c>
      <c r="E443">
        <v>-0.016269071904239</v>
      </c>
      <c r="F443">
        <v>0.120714491501008</v>
      </c>
      <c r="G443">
        <v>-0.261439149420922</v>
      </c>
      <c r="H443">
        <v>-0.329425961041199</v>
      </c>
      <c r="I443">
        <v>0.05353435045589901</v>
      </c>
    </row>
    <row r="444" spans="1:9">
      <c r="A444" s="1" t="s">
        <v>407</v>
      </c>
      <c r="B444">
        <f>HYPERLINK("https://www.suredividend.com/sure-analysis-research-database/","Twitter Inc")</f>
        <v>0</v>
      </c>
      <c r="C444">
        <v>0.27583749109052</v>
      </c>
      <c r="D444">
        <v>0.347553324968632</v>
      </c>
      <c r="E444">
        <v>0.104029605263157</v>
      </c>
      <c r="F444">
        <v>0.242480333179083</v>
      </c>
      <c r="G444">
        <v>-0.020251778872468</v>
      </c>
      <c r="H444">
        <v>0.047396138092451</v>
      </c>
      <c r="I444">
        <v>1.476937269372694</v>
      </c>
    </row>
    <row r="445" spans="1:9">
      <c r="A445" s="1" t="s">
        <v>408</v>
      </c>
      <c r="B445">
        <f>HYPERLINK("https://www.suredividend.com/sure-analysis-TXN/","Texas Instruments Inc.")</f>
        <v>0</v>
      </c>
      <c r="C445">
        <v>-0.036260902956826</v>
      </c>
      <c r="D445">
        <v>-0.004098005191524001</v>
      </c>
      <c r="E445">
        <v>0.09412679115929601</v>
      </c>
      <c r="F445">
        <v>0.07088714539207</v>
      </c>
      <c r="G445">
        <v>0.06328957633648001</v>
      </c>
      <c r="H445">
        <v>0.133796799450655</v>
      </c>
      <c r="I445">
        <v>0.8579780528457691</v>
      </c>
    </row>
    <row r="446" spans="1:9">
      <c r="A446" s="1" t="s">
        <v>409</v>
      </c>
      <c r="B446">
        <f>HYPERLINK("https://www.suredividend.com/sure-analysis-TXT/","Textron Inc.")</f>
        <v>0</v>
      </c>
      <c r="C446">
        <v>0.002149382052659</v>
      </c>
      <c r="D446">
        <v>0.04657100689670601</v>
      </c>
      <c r="E446">
        <v>0.206854155072669</v>
      </c>
      <c r="F446">
        <v>0.05367231638418</v>
      </c>
      <c r="G446">
        <v>0.04853626586157</v>
      </c>
      <c r="H446">
        <v>0.495562429707563</v>
      </c>
      <c r="I446">
        <v>0.303530365617551</v>
      </c>
    </row>
    <row r="447" spans="1:9">
      <c r="A447" s="1" t="s">
        <v>410</v>
      </c>
      <c r="B447">
        <f>HYPERLINK("https://www.suredividend.com/sure-analysis-research-database/","Tyler Technologies, Inc.")</f>
        <v>0</v>
      </c>
      <c r="C447">
        <v>-0.007036112698078001</v>
      </c>
      <c r="D447">
        <v>-0.03503594179182901</v>
      </c>
      <c r="E447">
        <v>-0.09195149448676</v>
      </c>
      <c r="F447">
        <v>0.024254830805496</v>
      </c>
      <c r="G447">
        <v>-0.207473360852452</v>
      </c>
      <c r="H447">
        <v>-0.12996627674149</v>
      </c>
      <c r="I447">
        <v>0.5946206963156111</v>
      </c>
    </row>
    <row r="448" spans="1:9">
      <c r="A448" s="1" t="s">
        <v>518</v>
      </c>
      <c r="B448">
        <f>HYPERLINK("https://www.suredividend.com/sure-analysis-research-database/","Under Armour Inc")</f>
        <v>0</v>
      </c>
      <c r="C448">
        <v>-0.197841726618705</v>
      </c>
      <c r="D448">
        <v>0.004504504504504001</v>
      </c>
      <c r="E448">
        <v>0.203778677462888</v>
      </c>
      <c r="F448">
        <v>0</v>
      </c>
      <c r="G448">
        <v>-0.366926898509581</v>
      </c>
      <c r="H448">
        <v>-0.5297838692672641</v>
      </c>
      <c r="I448">
        <v>-0.414313854235062</v>
      </c>
    </row>
    <row r="449" spans="1:9">
      <c r="A449" s="1" t="s">
        <v>519</v>
      </c>
      <c r="B449">
        <f>HYPERLINK("https://www.suredividend.com/sure-analysis-research-database/","Under Armour Inc")</f>
        <v>0</v>
      </c>
      <c r="C449">
        <v>-0.206161137440758</v>
      </c>
      <c r="D449">
        <v>-0.00887573964497</v>
      </c>
      <c r="E449">
        <v>0.213768115942029</v>
      </c>
      <c r="F449">
        <v>-0.010826771653543</v>
      </c>
      <c r="G449">
        <v>-0.341415465268676</v>
      </c>
      <c r="H449">
        <v>-0.5590171127687581</v>
      </c>
      <c r="I449">
        <v>-0.409518213866039</v>
      </c>
    </row>
    <row r="450" spans="1:9">
      <c r="A450" s="1" t="s">
        <v>411</v>
      </c>
      <c r="B450">
        <f>HYPERLINK("https://www.suredividend.com/sure-analysis-research-database/","United Airlines Holdings Inc")</f>
        <v>0</v>
      </c>
      <c r="C450">
        <v>0.037949921752738</v>
      </c>
      <c r="D450">
        <v>0.208931419457735</v>
      </c>
      <c r="E450">
        <v>0.502690455961484</v>
      </c>
      <c r="F450">
        <v>0.407427055702917</v>
      </c>
      <c r="G450">
        <v>0.445382729501498</v>
      </c>
      <c r="H450">
        <v>0.01940441882805</v>
      </c>
      <c r="I450">
        <v>-0.214042364094208</v>
      </c>
    </row>
    <row r="451" spans="1:9">
      <c r="A451" s="1" t="s">
        <v>412</v>
      </c>
      <c r="B451">
        <f>HYPERLINK("https://www.suredividend.com/sure-analysis-UDR/","UDR Inc")</f>
        <v>0</v>
      </c>
      <c r="C451">
        <v>-0.009220839096357</v>
      </c>
      <c r="D451">
        <v>0.05898585719213501</v>
      </c>
      <c r="E451">
        <v>-0.032720512941695</v>
      </c>
      <c r="F451">
        <v>0.121054594680598</v>
      </c>
      <c r="G451">
        <v>-0.23357163109438</v>
      </c>
      <c r="H451">
        <v>0.08080107023949601</v>
      </c>
      <c r="I451">
        <v>0.5354551527774301</v>
      </c>
    </row>
    <row r="452" spans="1:9">
      <c r="A452" s="1" t="s">
        <v>520</v>
      </c>
      <c r="B452">
        <f>HYPERLINK("https://www.suredividend.com/sure-analysis-research-database/","Universal Health Services, Inc.")</f>
        <v>0</v>
      </c>
      <c r="C452">
        <v>-0.142279571517636</v>
      </c>
      <c r="D452">
        <v>-0.015892652406193</v>
      </c>
      <c r="E452">
        <v>0.314868083935584</v>
      </c>
      <c r="F452">
        <v>-0.09649879066448401</v>
      </c>
      <c r="G452">
        <v>-0.145285353127857</v>
      </c>
      <c r="H452">
        <v>0.010787725830985</v>
      </c>
      <c r="I452">
        <v>0.046220700553068</v>
      </c>
    </row>
    <row r="453" spans="1:9">
      <c r="A453" s="1" t="s">
        <v>413</v>
      </c>
      <c r="B453">
        <f>HYPERLINK("https://www.suredividend.com/sure-analysis-research-database/","Ulta Beauty Inc")</f>
        <v>0</v>
      </c>
      <c r="C453">
        <v>0.002496351486289</v>
      </c>
      <c r="D453">
        <v>0.107631595697281</v>
      </c>
      <c r="E453">
        <v>0.233951025810721</v>
      </c>
      <c r="F453">
        <v>0.112968213699447</v>
      </c>
      <c r="G453">
        <v>0.423437670411168</v>
      </c>
      <c r="H453">
        <v>0.609309494451294</v>
      </c>
      <c r="I453">
        <v>1.691030927835051</v>
      </c>
    </row>
    <row r="454" spans="1:9">
      <c r="A454" s="1" t="s">
        <v>414</v>
      </c>
      <c r="B454">
        <f>HYPERLINK("https://www.suredividend.com/sure-analysis-UNH/","Unitedhealth Group Inc")</f>
        <v>0</v>
      </c>
      <c r="C454">
        <v>0.013855345112495</v>
      </c>
      <c r="D454">
        <v>-0.107430617726051</v>
      </c>
      <c r="E454">
        <v>-0.06741282474957201</v>
      </c>
      <c r="F454">
        <v>-0.097363159681617</v>
      </c>
      <c r="G454">
        <v>-0.027998067207791</v>
      </c>
      <c r="H454">
        <v>0.472405322516331</v>
      </c>
      <c r="I454">
        <v>1.286479831094042</v>
      </c>
    </row>
    <row r="455" spans="1:9">
      <c r="A455" s="1" t="s">
        <v>521</v>
      </c>
      <c r="B455">
        <f>HYPERLINK("https://www.suredividend.com/sure-analysis-UNM/","Unum Group")</f>
        <v>0</v>
      </c>
      <c r="C455">
        <v>0.092900120336943</v>
      </c>
      <c r="D455">
        <v>0.067747032599085</v>
      </c>
      <c r="E455">
        <v>0.225535176448997</v>
      </c>
      <c r="F455">
        <v>0.115631617997513</v>
      </c>
      <c r="G455">
        <v>0.7089674690270811</v>
      </c>
      <c r="H455">
        <v>0.7992424242424241</v>
      </c>
      <c r="I455">
        <v>0.134713847706958</v>
      </c>
    </row>
    <row r="456" spans="1:9">
      <c r="A456" s="1" t="s">
        <v>415</v>
      </c>
      <c r="B456">
        <f>HYPERLINK("https://www.suredividend.com/sure-analysis-UNP/","Union Pacific Corp.")</f>
        <v>0</v>
      </c>
      <c r="C456">
        <v>0.002293171710208</v>
      </c>
      <c r="D456">
        <v>-0.01238388340318</v>
      </c>
      <c r="E456">
        <v>-0.053001775395505</v>
      </c>
      <c r="F456">
        <v>0.017879003863233</v>
      </c>
      <c r="G456">
        <v>-0.18934375797404</v>
      </c>
      <c r="H456">
        <v>0.08763187588445401</v>
      </c>
      <c r="I456">
        <v>0.8049520656597</v>
      </c>
    </row>
    <row r="457" spans="1:9">
      <c r="A457" s="1" t="s">
        <v>416</v>
      </c>
      <c r="B457">
        <f>HYPERLINK("https://www.suredividend.com/sure-analysis-UPS/","United Parcel Service, Inc.")</f>
        <v>0</v>
      </c>
      <c r="C457">
        <v>-0.022668428895285</v>
      </c>
      <c r="D457">
        <v>-0.010954183123686</v>
      </c>
      <c r="E457">
        <v>-0.027032748564364</v>
      </c>
      <c r="F457">
        <v>0.077516419822866</v>
      </c>
      <c r="G457">
        <v>-0.078719197402075</v>
      </c>
      <c r="H457">
        <v>0.24291538897669</v>
      </c>
      <c r="I457">
        <v>1.072772534201081</v>
      </c>
    </row>
    <row r="458" spans="1:9">
      <c r="A458" s="1" t="s">
        <v>417</v>
      </c>
      <c r="B458">
        <f>HYPERLINK("https://www.suredividend.com/sure-analysis-research-database/","United Rentals, Inc.")</f>
        <v>0</v>
      </c>
      <c r="C458">
        <v>0.057284786316344</v>
      </c>
      <c r="D458">
        <v>0.349352503816042</v>
      </c>
      <c r="E458">
        <v>0.66075933586249</v>
      </c>
      <c r="F458">
        <v>0.353718286473854</v>
      </c>
      <c r="G458">
        <v>0.52013721396192</v>
      </c>
      <c r="H458">
        <v>0.667146980575271</v>
      </c>
      <c r="I458">
        <v>1.724454932901271</v>
      </c>
    </row>
    <row r="459" spans="1:9">
      <c r="A459" s="1" t="s">
        <v>418</v>
      </c>
      <c r="B459">
        <f>HYPERLINK("https://www.suredividend.com/sure-analysis-USB/","U.S. Bancorp.")</f>
        <v>0</v>
      </c>
      <c r="C459">
        <v>-0.044421906693711</v>
      </c>
      <c r="D459">
        <v>0.04376686621793401</v>
      </c>
      <c r="E459">
        <v>0.05809054074692901</v>
      </c>
      <c r="F459">
        <v>0.08025682182985501</v>
      </c>
      <c r="G459">
        <v>-0.111847624649574</v>
      </c>
      <c r="H459">
        <v>-0.008216790209746</v>
      </c>
      <c r="I459">
        <v>0.048109354003328</v>
      </c>
    </row>
    <row r="460" spans="1:9">
      <c r="A460" s="1" t="s">
        <v>419</v>
      </c>
      <c r="B460">
        <f>HYPERLINK("https://www.suredividend.com/sure-analysis-V/","Visa Inc")</f>
        <v>0</v>
      </c>
      <c r="C460">
        <v>-0.025731876640597</v>
      </c>
      <c r="D460">
        <v>0.030085000310724</v>
      </c>
      <c r="E460">
        <v>0.138915991394381</v>
      </c>
      <c r="F460">
        <v>0.07916947788298101</v>
      </c>
      <c r="G460">
        <v>0.128672839724119</v>
      </c>
      <c r="H460">
        <v>0.075496210025756</v>
      </c>
      <c r="I460">
        <v>0.9195762983754331</v>
      </c>
    </row>
    <row r="461" spans="1:9">
      <c r="A461" s="1" t="s">
        <v>420</v>
      </c>
      <c r="B461">
        <f>HYPERLINK("https://www.suredividend.com/sure-analysis-research-database/","Varian Medical Systems, Inc.")</f>
        <v>0</v>
      </c>
      <c r="C461">
        <v>0.004823516059471</v>
      </c>
      <c r="D461">
        <v>0.010269869344439</v>
      </c>
      <c r="E461">
        <v>0.029476744186046</v>
      </c>
      <c r="F461">
        <v>0.011770755956802</v>
      </c>
      <c r="G461">
        <v>0.5711623779946761</v>
      </c>
      <c r="H461">
        <v>0.251378091872791</v>
      </c>
      <c r="I461">
        <v>1.545956477041531</v>
      </c>
    </row>
    <row r="462" spans="1:9">
      <c r="A462" s="1" t="s">
        <v>421</v>
      </c>
      <c r="B462">
        <f>HYPERLINK("https://www.suredividend.com/sure-analysis-VFC/","VF Corp.")</f>
        <v>0</v>
      </c>
      <c r="C462">
        <v>-0.142390594382756</v>
      </c>
      <c r="D462">
        <v>-0.195196925443852</v>
      </c>
      <c r="E462">
        <v>-0.336146159077177</v>
      </c>
      <c r="F462">
        <v>-0.04889532777978901</v>
      </c>
      <c r="G462">
        <v>-0.497689294240068</v>
      </c>
      <c r="H462">
        <v>-0.6356830803508871</v>
      </c>
      <c r="I462">
        <v>-0.561871838336381</v>
      </c>
    </row>
    <row r="463" spans="1:9">
      <c r="A463" s="1" t="s">
        <v>422</v>
      </c>
      <c r="B463">
        <f>HYPERLINK("https://www.suredividend.com/sure-analysis-VLO/","Valero Energy Corp.")</f>
        <v>0</v>
      </c>
      <c r="C463">
        <v>0.079486018755849</v>
      </c>
      <c r="D463">
        <v>0.119073476603064</v>
      </c>
      <c r="E463">
        <v>0.258108817456137</v>
      </c>
      <c r="F463">
        <v>0.120926151635097</v>
      </c>
      <c r="G463">
        <v>0.693774416171544</v>
      </c>
      <c r="H463">
        <v>1.006495490821743</v>
      </c>
      <c r="I463">
        <v>0.9180967132705601</v>
      </c>
    </row>
    <row r="464" spans="1:9">
      <c r="A464" s="1" t="s">
        <v>423</v>
      </c>
      <c r="B464">
        <f>HYPERLINK("https://www.suredividend.com/sure-analysis-VMC/","Vulcan Materials Co")</f>
        <v>0</v>
      </c>
      <c r="C464">
        <v>-0.003362361649414</v>
      </c>
      <c r="D464">
        <v>-0.008602399413648001</v>
      </c>
      <c r="E464">
        <v>0.111322923144105</v>
      </c>
      <c r="F464">
        <v>0.044503149766307</v>
      </c>
      <c r="G464">
        <v>0.040001915058055</v>
      </c>
      <c r="H464">
        <v>0.118455652225081</v>
      </c>
      <c r="I464">
        <v>0.625278346842433</v>
      </c>
    </row>
    <row r="465" spans="1:9">
      <c r="A465" s="1" t="s">
        <v>522</v>
      </c>
      <c r="B465">
        <f>HYPERLINK("https://www.suredividend.com/sure-analysis-VNO/","Vornado Realty Trust")</f>
        <v>0</v>
      </c>
      <c r="C465">
        <v>-0.214889336016096</v>
      </c>
      <c r="D465">
        <v>-0.184742865977744</v>
      </c>
      <c r="E465">
        <v>-0.222393163755789</v>
      </c>
      <c r="F465">
        <v>-0.046450704776055</v>
      </c>
      <c r="G465">
        <v>-0.5211259308713</v>
      </c>
      <c r="H465">
        <v>-0.503529495590039</v>
      </c>
      <c r="I465">
        <v>-0.6062833226378</v>
      </c>
    </row>
    <row r="466" spans="1:9">
      <c r="A466" s="1" t="s">
        <v>424</v>
      </c>
      <c r="B466">
        <f>HYPERLINK("https://www.suredividend.com/sure-analysis-research-database/","Verisk Analytics Inc")</f>
        <v>0</v>
      </c>
      <c r="C466">
        <v>0.037810227083448</v>
      </c>
      <c r="D466">
        <v>0.0096754259737</v>
      </c>
      <c r="E466">
        <v>0.015026100593582</v>
      </c>
      <c r="F466">
        <v>0.059517061557646</v>
      </c>
      <c r="G466">
        <v>0.002809067127905</v>
      </c>
      <c r="H466">
        <v>0.171471546753572</v>
      </c>
      <c r="I466">
        <v>0.8930984751502971</v>
      </c>
    </row>
    <row r="467" spans="1:9">
      <c r="A467" s="1" t="s">
        <v>425</v>
      </c>
      <c r="B467">
        <f>HYPERLINK("https://www.suredividend.com/sure-analysis-research-database/","Verisign Inc.")</f>
        <v>0</v>
      </c>
      <c r="C467">
        <v>-0.07839985302898</v>
      </c>
      <c r="D467">
        <v>-0.007125185551707</v>
      </c>
      <c r="E467">
        <v>0.105869385505648</v>
      </c>
      <c r="F467">
        <v>-0.023267133956386</v>
      </c>
      <c r="G467">
        <v>-0.078992059485014</v>
      </c>
      <c r="H467">
        <v>0.05444035733053</v>
      </c>
      <c r="I467">
        <v>0.733114527552254</v>
      </c>
    </row>
    <row r="468" spans="1:9">
      <c r="A468" s="1" t="s">
        <v>426</v>
      </c>
      <c r="B468">
        <f>HYPERLINK("https://www.suredividend.com/sure-analysis-research-database/","Vertex Pharmaceuticals, Inc.")</f>
        <v>0</v>
      </c>
      <c r="C468">
        <v>-0.034914623613048</v>
      </c>
      <c r="D468">
        <v>-0.096026387030525</v>
      </c>
      <c r="E468">
        <v>0.033696270993452</v>
      </c>
      <c r="F468">
        <v>0.005990719578918001</v>
      </c>
      <c r="G468">
        <v>0.232593661165089</v>
      </c>
      <c r="H468">
        <v>0.393734407983112</v>
      </c>
      <c r="I468">
        <v>0.708279430789133</v>
      </c>
    </row>
    <row r="469" spans="1:9">
      <c r="A469" s="1" t="s">
        <v>427</v>
      </c>
      <c r="B469">
        <f>HYPERLINK("https://www.suredividend.com/sure-analysis-VTR/","Ventas Inc")</f>
        <v>0</v>
      </c>
      <c r="C469">
        <v>-0.07775665399239501</v>
      </c>
      <c r="D469">
        <v>0.059556650569094</v>
      </c>
      <c r="E469">
        <v>0.046597425685326</v>
      </c>
      <c r="F469">
        <v>0.07680355160932301</v>
      </c>
      <c r="G469">
        <v>-0.100190312253067</v>
      </c>
      <c r="H469">
        <v>-0.025905570470742</v>
      </c>
      <c r="I469">
        <v>0.232381842755088</v>
      </c>
    </row>
    <row r="470" spans="1:9">
      <c r="A470" s="1" t="s">
        <v>428</v>
      </c>
      <c r="B470">
        <f>HYPERLINK("https://www.suredividend.com/sure-analysis-VZ/","Verizon Communications Inc")</f>
        <v>0</v>
      </c>
      <c r="C470">
        <v>-0.07829438689472401</v>
      </c>
      <c r="D470">
        <v>0.01783742800516</v>
      </c>
      <c r="E470">
        <v>-0.04321057119778701</v>
      </c>
      <c r="F470">
        <v>-0.01367857161271</v>
      </c>
      <c r="G470">
        <v>-0.265109810956893</v>
      </c>
      <c r="H470">
        <v>-0.226803602860786</v>
      </c>
      <c r="I470">
        <v>0.010463820324426</v>
      </c>
    </row>
    <row r="471" spans="1:9">
      <c r="A471" s="1" t="s">
        <v>429</v>
      </c>
      <c r="B471">
        <f>HYPERLINK("https://www.suredividend.com/sure-analysis-research-database/","Westinghouse Air Brake Technologies Corp")</f>
        <v>0</v>
      </c>
      <c r="C471">
        <v>0.018628022331606</v>
      </c>
      <c r="D471">
        <v>0.03981265544627501</v>
      </c>
      <c r="E471">
        <v>0.248111608996358</v>
      </c>
      <c r="F471">
        <v>0.07700505887299801</v>
      </c>
      <c r="G471">
        <v>0.181541442577107</v>
      </c>
      <c r="H471">
        <v>0.5015229292848731</v>
      </c>
      <c r="I471">
        <v>0.365488214203011</v>
      </c>
    </row>
    <row r="472" spans="1:9">
      <c r="A472" s="1" t="s">
        <v>430</v>
      </c>
      <c r="B472">
        <f>HYPERLINK("https://www.suredividend.com/sure-analysis-research-database/","Waters Corp.")</f>
        <v>0</v>
      </c>
      <c r="C472">
        <v>-0.042473417499047</v>
      </c>
      <c r="D472">
        <v>-0.05895730776981301</v>
      </c>
      <c r="E472">
        <v>0.09576964333601401</v>
      </c>
      <c r="F472">
        <v>-0.045799521279701</v>
      </c>
      <c r="G472">
        <v>0.012012012012011</v>
      </c>
      <c r="H472">
        <v>0.249436226732408</v>
      </c>
      <c r="I472">
        <v>0.6335515466493421</v>
      </c>
    </row>
    <row r="473" spans="1:9">
      <c r="A473" s="1" t="s">
        <v>431</v>
      </c>
      <c r="B473">
        <f>HYPERLINK("https://www.suredividend.com/sure-analysis-WBA/","Walgreens Boots Alliance Inc")</f>
        <v>0</v>
      </c>
      <c r="C473">
        <v>-0.014085276569705</v>
      </c>
      <c r="D473">
        <v>-0.118427287960877</v>
      </c>
      <c r="E473">
        <v>0.048993733359686</v>
      </c>
      <c r="F473">
        <v>-0.021208505098719</v>
      </c>
      <c r="G473">
        <v>-0.206265422731291</v>
      </c>
      <c r="H473">
        <v>-0.160404792369431</v>
      </c>
      <c r="I473">
        <v>-0.388354845707467</v>
      </c>
    </row>
    <row r="474" spans="1:9">
      <c r="A474" s="1" t="s">
        <v>432</v>
      </c>
      <c r="B474">
        <f>HYPERLINK("https://www.suredividend.com/sure-analysis-research-database/","Western Digital Corp.")</f>
        <v>0</v>
      </c>
      <c r="C474">
        <v>-0.107745664739884</v>
      </c>
      <c r="D474">
        <v>0.088575458392101</v>
      </c>
      <c r="E474">
        <v>-0.07346938775510101</v>
      </c>
      <c r="F474">
        <v>0.223137876386687</v>
      </c>
      <c r="G474">
        <v>-0.232345335189974</v>
      </c>
      <c r="H474">
        <v>-0.3921877461017481</v>
      </c>
      <c r="I474">
        <v>-0.523294812325898</v>
      </c>
    </row>
    <row r="475" spans="1:9">
      <c r="A475" s="1" t="s">
        <v>433</v>
      </c>
      <c r="B475">
        <f>HYPERLINK("https://www.suredividend.com/sure-analysis-WEC/","WEC Energy Group Inc")</f>
        <v>0</v>
      </c>
      <c r="C475">
        <v>-0.03435743110405901</v>
      </c>
      <c r="D475">
        <v>-0.059488728876813</v>
      </c>
      <c r="E475">
        <v>-0.108939350388042</v>
      </c>
      <c r="F475">
        <v>-0.03641696396593001</v>
      </c>
      <c r="G475">
        <v>-0.016032984147137</v>
      </c>
      <c r="H475">
        <v>0.165549990242633</v>
      </c>
      <c r="I475">
        <v>0.761630319154166</v>
      </c>
    </row>
    <row r="476" spans="1:9">
      <c r="A476" s="1" t="s">
        <v>434</v>
      </c>
      <c r="B476">
        <f>HYPERLINK("https://www.suredividend.com/sure-analysis-WELL/","Welltower Inc.")</f>
        <v>0</v>
      </c>
      <c r="C476">
        <v>0.001432137049</v>
      </c>
      <c r="D476">
        <v>0.06821331358890401</v>
      </c>
      <c r="E476">
        <v>0.010336801293274</v>
      </c>
      <c r="F476">
        <v>0.158332038778206</v>
      </c>
      <c r="G476">
        <v>-0.204014699991438</v>
      </c>
      <c r="H476">
        <v>-0.204014699991438</v>
      </c>
      <c r="I476">
        <v>-0.204014699991438</v>
      </c>
    </row>
    <row r="477" spans="1:9">
      <c r="A477" s="1" t="s">
        <v>435</v>
      </c>
      <c r="B477">
        <f>HYPERLINK("https://www.suredividend.com/sure-analysis-WFC/","Wells Fargo &amp; Co.")</f>
        <v>0</v>
      </c>
      <c r="C477">
        <v>-0.015342580916351</v>
      </c>
      <c r="D477">
        <v>0.026313944725819</v>
      </c>
      <c r="E477">
        <v>0.09387987634604401</v>
      </c>
      <c r="F477">
        <v>0.141894740947102</v>
      </c>
      <c r="G477">
        <v>-0.015365344643146</v>
      </c>
      <c r="H477">
        <v>0.31214483166176</v>
      </c>
      <c r="I477">
        <v>-0.056852565018792</v>
      </c>
    </row>
    <row r="478" spans="1:9">
      <c r="A478" s="1" t="s">
        <v>523</v>
      </c>
      <c r="B478">
        <f>HYPERLINK("https://www.suredividend.com/sure-analysis-WHR/","Whirlpool Corp.")</f>
        <v>0</v>
      </c>
      <c r="C478">
        <v>-0.093108961579038</v>
      </c>
      <c r="D478">
        <v>-0.038181571131859</v>
      </c>
      <c r="E478">
        <v>-0.07471197292295301</v>
      </c>
      <c r="F478">
        <v>-0.006497082292317001</v>
      </c>
      <c r="G478">
        <v>-0.287913572396052</v>
      </c>
      <c r="H478">
        <v>-0.200967086685913</v>
      </c>
      <c r="I478">
        <v>0.039737704918032</v>
      </c>
    </row>
    <row r="479" spans="1:9">
      <c r="A479" s="1" t="s">
        <v>436</v>
      </c>
      <c r="B479">
        <f>HYPERLINK("https://www.suredividend.com/sure-analysis-WM/","Waste Management, Inc.")</f>
        <v>0</v>
      </c>
      <c r="C479">
        <v>-0.006487488415199001</v>
      </c>
      <c r="D479">
        <v>-0.116188681467522</v>
      </c>
      <c r="E479">
        <v>-0.102228039342128</v>
      </c>
      <c r="F479">
        <v>-0.043345232024477</v>
      </c>
      <c r="G479">
        <v>-0.033765417712326</v>
      </c>
      <c r="H479">
        <v>0.341470826942397</v>
      </c>
      <c r="I479">
        <v>0.921373228798066</v>
      </c>
    </row>
    <row r="480" spans="1:9">
      <c r="A480" s="1" t="s">
        <v>437</v>
      </c>
      <c r="B480">
        <f>HYPERLINK("https://www.suredividend.com/sure-analysis-WMB/","Williams Cos Inc")</f>
        <v>0</v>
      </c>
      <c r="C480">
        <v>-0.080930111717329</v>
      </c>
      <c r="D480">
        <v>-0.111897745852123</v>
      </c>
      <c r="E480">
        <v>-0.081851480555041</v>
      </c>
      <c r="F480">
        <v>-0.126742657541178</v>
      </c>
      <c r="G480">
        <v>-0.05454253890407101</v>
      </c>
      <c r="H480">
        <v>0.353192913668204</v>
      </c>
      <c r="I480">
        <v>0.417232140621478</v>
      </c>
    </row>
    <row r="481" spans="1:9">
      <c r="A481" s="1" t="s">
        <v>438</v>
      </c>
      <c r="B481">
        <f>HYPERLINK("https://www.suredividend.com/sure-analysis-WMT/","Walmart Inc")</f>
        <v>0</v>
      </c>
      <c r="C481">
        <v>-0.015119098559406</v>
      </c>
      <c r="D481">
        <v>-0.07178384191423501</v>
      </c>
      <c r="E481">
        <v>0.016056787347628</v>
      </c>
      <c r="F481">
        <v>-0.026024402285069</v>
      </c>
      <c r="G481">
        <v>0.011033516383355</v>
      </c>
      <c r="H481">
        <v>0.114337840443927</v>
      </c>
      <c r="I481">
        <v>0.7016568050253701</v>
      </c>
    </row>
    <row r="482" spans="1:9">
      <c r="A482" s="1" t="s">
        <v>439</v>
      </c>
      <c r="B482">
        <f>HYPERLINK("https://www.suredividend.com/sure-analysis-WRB/","W.R. Berkley Corp.")</f>
        <v>0</v>
      </c>
      <c r="C482">
        <v>-0.06600103469139</v>
      </c>
      <c r="D482">
        <v>-0.12264565372577</v>
      </c>
      <c r="E482">
        <v>-0.04423354738753101</v>
      </c>
      <c r="F482">
        <v>-0.111910899275327</v>
      </c>
      <c r="G482">
        <v>0.05917350988987301</v>
      </c>
      <c r="H482">
        <v>0.318555716251596</v>
      </c>
      <c r="I482">
        <v>1.127808334110189</v>
      </c>
    </row>
    <row r="483" spans="1:9">
      <c r="A483" s="1" t="s">
        <v>524</v>
      </c>
      <c r="B483">
        <f>HYPERLINK("https://www.suredividend.com/sure-analysis-WRK/","WestRock Co")</f>
        <v>0</v>
      </c>
      <c r="C483">
        <v>-0.046776729559748</v>
      </c>
      <c r="D483">
        <v>-0.121320630048809</v>
      </c>
      <c r="E483">
        <v>-0.15442401866523</v>
      </c>
      <c r="F483">
        <v>-0.05409552545309</v>
      </c>
      <c r="G483">
        <v>-0.224753357325704</v>
      </c>
      <c r="H483">
        <v>-0.286374248886177</v>
      </c>
      <c r="I483">
        <v>-0.4112280839562331</v>
      </c>
    </row>
    <row r="484" spans="1:9">
      <c r="A484" s="1" t="s">
        <v>440</v>
      </c>
      <c r="B484">
        <f>HYPERLINK("https://www.suredividend.com/sure-analysis-WST/","West Pharmaceutical Services, Inc.")</f>
        <v>0</v>
      </c>
      <c r="C484">
        <v>0.206610964526531</v>
      </c>
      <c r="D484">
        <v>0.348463514982336</v>
      </c>
      <c r="E484">
        <v>0.131883741108493</v>
      </c>
      <c r="F484">
        <v>0.400029849388151</v>
      </c>
      <c r="G484">
        <v>-0.147350457451684</v>
      </c>
      <c r="H484">
        <v>0.284970227061099</v>
      </c>
      <c r="I484">
        <v>2.894973182578494</v>
      </c>
    </row>
    <row r="485" spans="1:9">
      <c r="A485" s="1" t="s">
        <v>525</v>
      </c>
      <c r="B485">
        <f>HYPERLINK("https://www.suredividend.com/sure-analysis-WU/","Western Union Company")</f>
        <v>0</v>
      </c>
      <c r="C485">
        <v>-0.101540616246498</v>
      </c>
      <c r="D485">
        <v>-0.096058731523102</v>
      </c>
      <c r="E485">
        <v>-0.08872663219501101</v>
      </c>
      <c r="F485">
        <v>-0.068264342774146</v>
      </c>
      <c r="G485">
        <v>-0.231800926868406</v>
      </c>
      <c r="H485">
        <v>-0.393130980592489</v>
      </c>
      <c r="I485">
        <v>-0.195485185765794</v>
      </c>
    </row>
    <row r="486" spans="1:9">
      <c r="A486" s="1" t="s">
        <v>441</v>
      </c>
      <c r="B486">
        <f>HYPERLINK("https://www.suredividend.com/sure-analysis-WY/","Weyerhaeuser Co.")</f>
        <v>0</v>
      </c>
      <c r="C486">
        <v>-0.07253067884543801</v>
      </c>
      <c r="D486">
        <v>0.009003266671978</v>
      </c>
      <c r="E486">
        <v>-0.028849250778362</v>
      </c>
      <c r="F486">
        <v>0.055220776450511</v>
      </c>
      <c r="G486">
        <v>-0.154667086752089</v>
      </c>
      <c r="H486">
        <v>0.08338951035311101</v>
      </c>
      <c r="I486">
        <v>0.140979021987091</v>
      </c>
    </row>
    <row r="487" spans="1:9">
      <c r="A487" s="1" t="s">
        <v>442</v>
      </c>
      <c r="B487">
        <f>HYPERLINK("https://www.suredividend.com/sure-analysis-research-database/","Wynn Resorts Ltd.")</f>
        <v>0</v>
      </c>
      <c r="C487">
        <v>0.125</v>
      </c>
      <c r="D487">
        <v>0.36030534351145</v>
      </c>
      <c r="E487">
        <v>0.9572490706319701</v>
      </c>
      <c r="F487">
        <v>0.404510731174972</v>
      </c>
      <c r="G487">
        <v>0.425249169435216</v>
      </c>
      <c r="H487">
        <v>-0.128376853036345</v>
      </c>
      <c r="I487">
        <v>-0.24802511646749</v>
      </c>
    </row>
    <row r="488" spans="1:9">
      <c r="A488" s="1" t="s">
        <v>443</v>
      </c>
      <c r="B488">
        <f>HYPERLINK("https://www.suredividend.com/sure-analysis-XEL/","Xcel Energy, Inc.")</f>
        <v>0</v>
      </c>
      <c r="C488">
        <v>-0.050847457627118</v>
      </c>
      <c r="D488">
        <v>-0.07116947551363301</v>
      </c>
      <c r="E488">
        <v>-0.147859592666299</v>
      </c>
      <c r="F488">
        <v>-0.081443446013407</v>
      </c>
      <c r="G488">
        <v>-0.056951904547131</v>
      </c>
      <c r="H488">
        <v>0.09832573544334601</v>
      </c>
      <c r="I488">
        <v>0.7197501555519351</v>
      </c>
    </row>
    <row r="489" spans="1:9">
      <c r="A489" s="1" t="s">
        <v>526</v>
      </c>
      <c r="B489">
        <f>HYPERLINK("https://www.suredividend.com/sure-analysis-research-database/","Xilinx, Inc.")</f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 s="1" t="s">
        <v>444</v>
      </c>
      <c r="B490">
        <f>HYPERLINK("https://www.suredividend.com/sure-analysis-XOM/","Exxon Mobil Corp.")</f>
        <v>0</v>
      </c>
      <c r="C490">
        <v>0.015707862214515</v>
      </c>
      <c r="D490">
        <v>0.034753822883827</v>
      </c>
      <c r="E490">
        <v>0.198799181743311</v>
      </c>
      <c r="F490">
        <v>0.030626442908995</v>
      </c>
      <c r="G490">
        <v>0.390080045740423</v>
      </c>
      <c r="H490">
        <v>1.1011792009149</v>
      </c>
      <c r="I490">
        <v>0.937121260253555</v>
      </c>
    </row>
    <row r="491" spans="1:9">
      <c r="A491" s="1" t="s">
        <v>527</v>
      </c>
      <c r="B491">
        <f>HYPERLINK("https://www.suredividend.com/sure-analysis-research-database/","DENTSPLY Sirona Inc")</f>
        <v>0</v>
      </c>
      <c r="C491">
        <v>0.00780437044745</v>
      </c>
      <c r="D491">
        <v>0.227806618872852</v>
      </c>
      <c r="E491">
        <v>0.228328281355029</v>
      </c>
      <c r="F491">
        <v>0.216708542713568</v>
      </c>
      <c r="G491">
        <v>-0.252462685847154</v>
      </c>
      <c r="H491">
        <v>-0.325829400381461</v>
      </c>
      <c r="I491">
        <v>-0.287664683871323</v>
      </c>
    </row>
    <row r="492" spans="1:9">
      <c r="A492" s="1" t="s">
        <v>528</v>
      </c>
      <c r="B492">
        <f>HYPERLINK("https://www.suredividend.com/sure-analysis-XRX/","Xerox Holdings Corp")</f>
        <v>0</v>
      </c>
      <c r="C492">
        <v>-0.007665094339622001</v>
      </c>
      <c r="D492">
        <v>0.027472527472527</v>
      </c>
      <c r="E492">
        <v>0.103765789163026</v>
      </c>
      <c r="F492">
        <v>0.152739726027397</v>
      </c>
      <c r="G492">
        <v>-0.031684569666354</v>
      </c>
      <c r="H492">
        <v>-0.267812006490935</v>
      </c>
      <c r="I492">
        <v>-0.3659870711089011</v>
      </c>
    </row>
    <row r="493" spans="1:9">
      <c r="A493" s="1" t="s">
        <v>445</v>
      </c>
      <c r="B493">
        <f>HYPERLINK("https://www.suredividend.com/sure-analysis-XYL/","Xylem Inc")</f>
        <v>0</v>
      </c>
      <c r="C493">
        <v>-0.012636579572446</v>
      </c>
      <c r="D493">
        <v>-0.084647229807099</v>
      </c>
      <c r="E493">
        <v>0.142391040277199</v>
      </c>
      <c r="F493">
        <v>-0.06014289590304701</v>
      </c>
      <c r="G493">
        <v>0.230791095951251</v>
      </c>
      <c r="H493">
        <v>0.07589668410132801</v>
      </c>
      <c r="I493">
        <v>0.4967075889642301</v>
      </c>
    </row>
    <row r="494" spans="1:9">
      <c r="A494" s="1" t="s">
        <v>446</v>
      </c>
      <c r="B494">
        <f>HYPERLINK("https://www.suredividend.com/sure-analysis-YUM/","Yum Brands Inc.")</f>
        <v>0</v>
      </c>
      <c r="C494">
        <v>0.020943232816313</v>
      </c>
      <c r="D494">
        <v>-7.711289327500001E-05</v>
      </c>
      <c r="E494">
        <v>0.155439440342096</v>
      </c>
      <c r="F494">
        <v>0.012414116177388</v>
      </c>
      <c r="G494">
        <v>0.107990399182443</v>
      </c>
      <c r="H494">
        <v>0.291270208772113</v>
      </c>
      <c r="I494">
        <v>0.7493281673268071</v>
      </c>
    </row>
    <row r="495" spans="1:9">
      <c r="A495" s="1" t="s">
        <v>447</v>
      </c>
      <c r="B495">
        <f>HYPERLINK("https://www.suredividend.com/sure-analysis-research-database/","Zimmer Biomet Holdings Inc")</f>
        <v>0</v>
      </c>
      <c r="C495">
        <v>-0.024951718810351</v>
      </c>
      <c r="D495">
        <v>0.028376075061187</v>
      </c>
      <c r="E495">
        <v>0.200551671660246</v>
      </c>
      <c r="F495">
        <v>-0.010039215686274</v>
      </c>
      <c r="G495">
        <v>0.05673039811995401</v>
      </c>
      <c r="H495">
        <v>-0.181720642720769</v>
      </c>
      <c r="I495">
        <v>0.118716746273233</v>
      </c>
    </row>
    <row r="496" spans="1:9">
      <c r="A496" s="1" t="s">
        <v>448</v>
      </c>
      <c r="B496">
        <f>HYPERLINK("https://www.suredividend.com/sure-analysis-research-database/","Zebra Technologies Corp.")</f>
        <v>0</v>
      </c>
      <c r="C496">
        <v>-0.06456878570780801</v>
      </c>
      <c r="D496">
        <v>0.125845885177908</v>
      </c>
      <c r="E496">
        <v>0.039818548387096</v>
      </c>
      <c r="F496">
        <v>0.206856206856206</v>
      </c>
      <c r="G496">
        <v>-0.215072037337662</v>
      </c>
      <c r="H496">
        <v>-0.354828621466099</v>
      </c>
      <c r="I496">
        <v>1.284606866002215</v>
      </c>
    </row>
    <row r="497" spans="1:9">
      <c r="A497" s="1" t="s">
        <v>529</v>
      </c>
      <c r="B497">
        <f>HYPERLINK("https://www.suredividend.com/sure-analysis-ZION/","Zions Bancorporation N.A")</f>
        <v>0</v>
      </c>
      <c r="C497">
        <v>-0.08811211608742101</v>
      </c>
      <c r="D497">
        <v>-0.05041499738637401</v>
      </c>
      <c r="E497">
        <v>-0.09120277641889901</v>
      </c>
      <c r="F497">
        <v>0.009270610810655</v>
      </c>
      <c r="G497">
        <v>-0.224324967345388</v>
      </c>
      <c r="H497">
        <v>-0.03749902244467</v>
      </c>
      <c r="I497">
        <v>0.077445646226642</v>
      </c>
    </row>
    <row r="498" spans="1:9">
      <c r="A498" s="1" t="s">
        <v>449</v>
      </c>
      <c r="B498">
        <f>HYPERLINK("https://www.suredividend.com/sure-analysis-ZTS/","Zoetis Inc")</f>
        <v>0</v>
      </c>
      <c r="C498">
        <v>0.016448152562574</v>
      </c>
      <c r="D498">
        <v>0.086016644274789</v>
      </c>
      <c r="E498">
        <v>0.091375154450444</v>
      </c>
      <c r="F498">
        <v>0.166569201779674</v>
      </c>
      <c r="G498">
        <v>-0.126503818216922</v>
      </c>
      <c r="H498">
        <v>0.200666786808434</v>
      </c>
      <c r="I498">
        <v>1.162263581654734</v>
      </c>
    </row>
  </sheetData>
  <autoFilter ref="A1:I437"/>
  <conditionalFormatting sqref="A1:I1">
    <cfRule type="cellIs" dxfId="8" priority="10" operator="notEqual">
      <formula>-13.345</formula>
    </cfRule>
  </conditionalFormatting>
  <conditionalFormatting sqref="A2:A437">
    <cfRule type="cellIs" dxfId="0" priority="1" operator="notEqual">
      <formula>"None"</formula>
    </cfRule>
  </conditionalFormatting>
  <conditionalFormatting sqref="B2:B437">
    <cfRule type="cellIs" dxfId="0" priority="2" operator="notEqual">
      <formula>"None"</formula>
    </cfRule>
  </conditionalFormatting>
  <conditionalFormatting sqref="C2:C437">
    <cfRule type="cellIs" dxfId="3" priority="3" operator="notEqual">
      <formula>"None"</formula>
    </cfRule>
  </conditionalFormatting>
  <conditionalFormatting sqref="D2:D437">
    <cfRule type="cellIs" dxfId="3" priority="4" operator="notEqual">
      <formula>"None"</formula>
    </cfRule>
  </conditionalFormatting>
  <conditionalFormatting sqref="E2:E437">
    <cfRule type="cellIs" dxfId="3" priority="5" operator="notEqual">
      <formula>"None"</formula>
    </cfRule>
  </conditionalFormatting>
  <conditionalFormatting sqref="F2:F437">
    <cfRule type="cellIs" dxfId="3" priority="6" operator="notEqual">
      <formula>"None"</formula>
    </cfRule>
  </conditionalFormatting>
  <conditionalFormatting sqref="G2:G437">
    <cfRule type="cellIs" dxfId="3" priority="7" operator="notEqual">
      <formula>"None"</formula>
    </cfRule>
  </conditionalFormatting>
  <conditionalFormatting sqref="H2:H437">
    <cfRule type="cellIs" dxfId="3" priority="8" operator="notEqual">
      <formula>"None"</formula>
    </cfRule>
  </conditionalFormatting>
  <conditionalFormatting sqref="I2:I437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530</v>
      </c>
      <c r="B1" s="1"/>
    </row>
    <row r="2" spans="1:2">
      <c r="A2" s="1" t="s">
        <v>531</v>
      </c>
    </row>
    <row r="3" spans="1:2">
      <c r="A3" s="1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2023-03-22T13:13:56Z</dcterms:created>
  <dcterms:modified xsi:type="dcterms:W3CDTF">2023-03-22T13:13:56Z</dcterms:modified>
</cp:coreProperties>
</file>