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01.15.23\"/>
    </mc:Choice>
  </mc:AlternateContent>
  <xr:revisionPtr revIDLastSave="0" documentId="13_ncr:1_{38AD8FD9-8AFF-4C7A-BB12-EBDF8B4D826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G_InvestorCapitalPerf" sheetId="3" r:id="rId1"/>
    <sheet name="Prime_InvestorCapitalPerf" sheetId="1" r:id="rId2"/>
    <sheet name="Note Holders" sheetId="2" r:id="rId3"/>
    <sheet name="Investor Categories" sheetId="4" r:id="rId4"/>
  </sheets>
  <definedNames>
    <definedName name="_xlnm._FilterDatabase" localSheetId="3" hidden="1">'Investor Categories'!$C$40:$E$75</definedName>
    <definedName name="InvestorCategories">'Investor Categories'!$D$4:$E$37</definedName>
    <definedName name="NOTES_2YIG">'Note Holders'!$K$6:$K$30</definedName>
    <definedName name="Notes_A1">'Note Holders'!$I$6:$I$30</definedName>
    <definedName name="Notes_M1">'Note Holders'!$E$6:$E$30</definedName>
    <definedName name="Notes_MIG1">'Note Holders'!$L$6:$L$30</definedName>
    <definedName name="Notes_MIG2">'Note Holders'!$J$6:$J$30</definedName>
    <definedName name="Notes_Q1">'Note Holders'!$F$6:$F$30</definedName>
    <definedName name="Notes_Q364_1">'Note Holders'!$H$6:$H$30</definedName>
    <definedName name="Notes_Q3641">'Note Holders'!$H$6:$H$30</definedName>
    <definedName name="Notes_QX1">'Note Holders'!$G$6:$G$30</definedName>
    <definedName name="PrimeNoteHolders">'Note Holders'!$C$6:$C$30</definedName>
    <definedName name="_xlnm.Print_Titles" localSheetId="1">Prime_InvestorCapitalPerf!$1:$1</definedName>
    <definedName name="_xlnm.Print_Titles" localSheetId="0">USG_InvestorCapitalPerf!$1:$1</definedName>
    <definedName name="USG_M6">'Note Holders'!$V$6:$V$19</definedName>
    <definedName name="USG_M7">'Note Holders'!$W$6:$W$19</definedName>
    <definedName name="USGNoteHolders">'Note Holders'!$O$6:$O$19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1" l="1"/>
  <c r="O183" i="1"/>
  <c r="G185" i="1"/>
  <c r="G184" i="1"/>
  <c r="G183" i="1"/>
  <c r="F183" i="1" a="1"/>
  <c r="F183" i="1" s="1"/>
  <c r="D190" i="1"/>
  <c r="E190" i="1"/>
  <c r="D180" i="1"/>
  <c r="R156" i="1"/>
  <c r="R155" i="1"/>
  <c r="Q154" i="1" a="1"/>
  <c r="Q154" i="1" s="1"/>
  <c r="G157" i="1"/>
  <c r="M156" i="1" s="1"/>
  <c r="G156" i="1"/>
  <c r="M155" i="1" s="1"/>
  <c r="G155" i="1"/>
  <c r="M154" i="1" s="1"/>
  <c r="O154" i="1"/>
  <c r="H155" i="1"/>
  <c r="H156" i="1"/>
  <c r="E154" i="1"/>
  <c r="D154" i="1"/>
  <c r="E135" i="1"/>
  <c r="E134" i="1"/>
  <c r="D135" i="1"/>
  <c r="D134" i="1"/>
  <c r="E122" i="1"/>
  <c r="E121" i="1"/>
  <c r="W21" i="2"/>
  <c r="L32" i="2"/>
  <c r="E167" i="1"/>
  <c r="D167" i="1"/>
  <c r="E166" i="1"/>
  <c r="D166" i="1"/>
  <c r="E165" i="1"/>
  <c r="D165" i="1"/>
  <c r="O182" i="1"/>
  <c r="O163" i="1"/>
  <c r="O153" i="1"/>
  <c r="O130" i="1"/>
  <c r="O109" i="1"/>
  <c r="O101" i="1"/>
  <c r="O93" i="1"/>
  <c r="O69" i="1"/>
  <c r="E189" i="1"/>
  <c r="E188" i="1"/>
  <c r="D187" i="1"/>
  <c r="D188" i="1" s="1"/>
  <c r="D136" i="1"/>
  <c r="G159" i="1" l="1"/>
  <c r="D189" i="1"/>
  <c r="P182" i="1" s="1"/>
  <c r="D138" i="1" l="1"/>
  <c r="D137" i="1"/>
  <c r="E143" i="1"/>
  <c r="E142" i="1"/>
  <c r="E140" i="1"/>
  <c r="E139" i="1"/>
  <c r="E138" i="1"/>
  <c r="E137" i="1"/>
  <c r="E136" i="1"/>
  <c r="E133" i="1"/>
  <c r="E131" i="1"/>
  <c r="E76" i="1"/>
  <c r="D76" i="1"/>
  <c r="E113" i="1"/>
  <c r="D113" i="1"/>
  <c r="E172" i="1" l="1"/>
  <c r="E170" i="1"/>
  <c r="D169" i="1"/>
  <c r="D170" i="1" s="1"/>
  <c r="E132" i="1"/>
  <c r="D132" i="1"/>
  <c r="E111" i="1"/>
  <c r="D111" i="1"/>
  <c r="D71" i="1"/>
  <c r="E97" i="1"/>
  <c r="D95" i="1"/>
  <c r="D96" i="1" s="1"/>
  <c r="D97" i="1" l="1"/>
  <c r="D99" i="1" s="1"/>
  <c r="E96" i="1"/>
  <c r="F94" i="1" s="1" a="1"/>
  <c r="E159" i="1"/>
  <c r="E158" i="1"/>
  <c r="E157" i="1"/>
  <c r="F154" i="1" s="1" a="1"/>
  <c r="F154" i="1" s="1"/>
  <c r="D157" i="1"/>
  <c r="D159" i="1" s="1"/>
  <c r="E174" i="1"/>
  <c r="E173" i="1"/>
  <c r="E168" i="1"/>
  <c r="E164" i="1"/>
  <c r="D171" i="1"/>
  <c r="F164" i="1" l="1" a="1"/>
  <c r="H168" i="1" s="1"/>
  <c r="O94" i="1"/>
  <c r="P93" i="1" s="1"/>
  <c r="H185" i="1"/>
  <c r="D174" i="1"/>
  <c r="G158" i="1"/>
  <c r="F94" i="1"/>
  <c r="G95" i="1"/>
  <c r="H95" i="1"/>
  <c r="D158" i="1"/>
  <c r="D172" i="1"/>
  <c r="D173" i="1"/>
  <c r="D141" i="1"/>
  <c r="D119" i="1"/>
  <c r="E120" i="1"/>
  <c r="E119" i="1"/>
  <c r="E115" i="1"/>
  <c r="E114" i="1"/>
  <c r="E112" i="1"/>
  <c r="E110" i="1"/>
  <c r="E104" i="1"/>
  <c r="E103" i="1"/>
  <c r="E82" i="1"/>
  <c r="D82" i="1"/>
  <c r="E85" i="1"/>
  <c r="E84" i="1"/>
  <c r="E83" i="1"/>
  <c r="E80" i="1"/>
  <c r="E79" i="1"/>
  <c r="E78" i="1"/>
  <c r="E77" i="1"/>
  <c r="E75" i="1"/>
  <c r="E74" i="1"/>
  <c r="E73" i="1"/>
  <c r="E72" i="1"/>
  <c r="E71" i="1"/>
  <c r="E70" i="1"/>
  <c r="D168" i="1"/>
  <c r="D164" i="1"/>
  <c r="D140" i="1"/>
  <c r="D139" i="1"/>
  <c r="D133" i="1"/>
  <c r="D131" i="1"/>
  <c r="D115" i="1"/>
  <c r="D114" i="1"/>
  <c r="D112" i="1"/>
  <c r="D110" i="1"/>
  <c r="D104" i="1"/>
  <c r="D103" i="1"/>
  <c r="D79" i="1"/>
  <c r="D78" i="1"/>
  <c r="D80" i="1"/>
  <c r="D77" i="1"/>
  <c r="D75" i="1"/>
  <c r="D74" i="1"/>
  <c r="D73" i="1"/>
  <c r="D72" i="1"/>
  <c r="D70" i="1"/>
  <c r="D16" i="3"/>
  <c r="D15" i="3"/>
  <c r="D14" i="3"/>
  <c r="P153" i="1" l="1"/>
  <c r="D161" i="1"/>
  <c r="F110" i="1" a="1"/>
  <c r="H169" i="1"/>
  <c r="H170" i="1"/>
  <c r="D120" i="1"/>
  <c r="D122" i="1"/>
  <c r="D121" i="1"/>
  <c r="H166" i="1"/>
  <c r="H165" i="1"/>
  <c r="F164" i="1"/>
  <c r="G164" i="1" s="1"/>
  <c r="H167" i="1"/>
  <c r="G166" i="1"/>
  <c r="G168" i="1"/>
  <c r="O164" i="1"/>
  <c r="G165" i="1"/>
  <c r="G170" i="1"/>
  <c r="G167" i="1"/>
  <c r="Q183" i="1" a="1"/>
  <c r="G187" i="1"/>
  <c r="G188" i="1" s="1"/>
  <c r="D85" i="1"/>
  <c r="F103" i="1" a="1"/>
  <c r="F103" i="1" s="1"/>
  <c r="G103" i="1" s="1"/>
  <c r="G169" i="1"/>
  <c r="D84" i="1"/>
  <c r="H184" i="1"/>
  <c r="D83" i="1"/>
  <c r="F131" i="1" a="1"/>
  <c r="D142" i="1"/>
  <c r="H157" i="1"/>
  <c r="H94" i="1"/>
  <c r="G94" i="1"/>
  <c r="F70" i="1" a="1"/>
  <c r="D143" i="1"/>
  <c r="H183" i="1"/>
  <c r="D150" i="1" l="1"/>
  <c r="H135" i="1"/>
  <c r="H134" i="1"/>
  <c r="G135" i="1"/>
  <c r="G134" i="1"/>
  <c r="H164" i="1"/>
  <c r="O175" i="1" s="1"/>
  <c r="O110" i="1"/>
  <c r="P109" i="1" s="1"/>
  <c r="F110" i="1"/>
  <c r="G118" i="1"/>
  <c r="G117" i="1"/>
  <c r="G115" i="1"/>
  <c r="H116" i="1"/>
  <c r="G116" i="1"/>
  <c r="G114" i="1"/>
  <c r="G113" i="1"/>
  <c r="H117" i="1"/>
  <c r="G112" i="1"/>
  <c r="G111" i="1"/>
  <c r="H118" i="1"/>
  <c r="D128" i="1"/>
  <c r="O131" i="1"/>
  <c r="P130" i="1" s="1"/>
  <c r="O187" i="1"/>
  <c r="Q164" i="1" a="1"/>
  <c r="Q164" i="1" s="1"/>
  <c r="G174" i="1"/>
  <c r="O70" i="1"/>
  <c r="P163" i="1"/>
  <c r="O174" i="1"/>
  <c r="H111" i="1"/>
  <c r="Q183" i="1"/>
  <c r="R183" i="1" s="1"/>
  <c r="R185" i="1"/>
  <c r="H137" i="1"/>
  <c r="G136" i="1"/>
  <c r="G137" i="1"/>
  <c r="G138" i="1"/>
  <c r="H136" i="1"/>
  <c r="M97" i="1"/>
  <c r="M96" i="1"/>
  <c r="M95" i="1"/>
  <c r="M94" i="1"/>
  <c r="G104" i="1"/>
  <c r="Q102" i="1" a="1"/>
  <c r="Q102" i="1" s="1"/>
  <c r="H71" i="1"/>
  <c r="G71" i="1"/>
  <c r="D91" i="1"/>
  <c r="H103" i="1"/>
  <c r="G160" i="1"/>
  <c r="O172" i="1"/>
  <c r="H132" i="1"/>
  <c r="G132" i="1"/>
  <c r="O186" i="1"/>
  <c r="H133" i="1"/>
  <c r="Q94" i="1" a="1"/>
  <c r="G96" i="1"/>
  <c r="G97" i="1" s="1"/>
  <c r="F131" i="1"/>
  <c r="H113" i="1"/>
  <c r="H112" i="1"/>
  <c r="H114" i="1"/>
  <c r="H115" i="1"/>
  <c r="F70" i="1"/>
  <c r="H79" i="1"/>
  <c r="O173" i="1"/>
  <c r="G175" i="1"/>
  <c r="O185" i="1"/>
  <c r="G133" i="1"/>
  <c r="G73" i="1"/>
  <c r="G79" i="1"/>
  <c r="H80" i="1"/>
  <c r="H72" i="1"/>
  <c r="G80" i="1"/>
  <c r="H73" i="1"/>
  <c r="H81" i="1"/>
  <c r="H74" i="1"/>
  <c r="G72" i="1"/>
  <c r="G76" i="1"/>
  <c r="H75" i="1"/>
  <c r="G74" i="1"/>
  <c r="H76" i="1"/>
  <c r="G75" i="1"/>
  <c r="H77" i="1"/>
  <c r="H78" i="1"/>
  <c r="G81" i="1"/>
  <c r="G77" i="1"/>
  <c r="G78" i="1"/>
  <c r="O102" i="1"/>
  <c r="R165" i="1" l="1"/>
  <c r="R166" i="1"/>
  <c r="R167" i="1"/>
  <c r="P101" i="1"/>
  <c r="G120" i="1"/>
  <c r="G121" i="1" s="1"/>
  <c r="T70" i="1"/>
  <c r="T72" i="1" s="1"/>
  <c r="P69" i="1"/>
  <c r="G131" i="1"/>
  <c r="H131" i="1"/>
  <c r="O143" i="1" s="1"/>
  <c r="M104" i="1"/>
  <c r="M103" i="1"/>
  <c r="M102" i="1"/>
  <c r="Q110" i="1" a="1"/>
  <c r="M161" i="1"/>
  <c r="R154" i="1"/>
  <c r="R164" i="1"/>
  <c r="R169" i="1"/>
  <c r="R170" i="1"/>
  <c r="R184" i="1"/>
  <c r="R194" i="1" s="1"/>
  <c r="O121" i="1"/>
  <c r="Q94" i="1"/>
  <c r="R94" i="1" s="1"/>
  <c r="R95" i="1"/>
  <c r="O119" i="1"/>
  <c r="O118" i="1"/>
  <c r="O120" i="1"/>
  <c r="G83" i="1"/>
  <c r="G84" i="1" s="1"/>
  <c r="R168" i="1"/>
  <c r="G105" i="1"/>
  <c r="R172" i="1"/>
  <c r="R171" i="1"/>
  <c r="Q70" i="1" a="1"/>
  <c r="O80" i="1"/>
  <c r="O83" i="1"/>
  <c r="O84" i="1"/>
  <c r="O81" i="1"/>
  <c r="O82" i="1"/>
  <c r="R102" i="1"/>
  <c r="E22" i="3"/>
  <c r="E21" i="3"/>
  <c r="E20" i="3"/>
  <c r="E19" i="3"/>
  <c r="E18" i="3"/>
  <c r="E15" i="3"/>
  <c r="D22" i="3"/>
  <c r="D21" i="3"/>
  <c r="D20" i="3"/>
  <c r="D19" i="3"/>
  <c r="D18" i="3"/>
  <c r="I14" i="3"/>
  <c r="J14" i="3" s="1"/>
  <c r="Q110" i="1" l="1"/>
  <c r="R110" i="1" s="1"/>
  <c r="R117" i="1"/>
  <c r="R116" i="1"/>
  <c r="R195" i="1"/>
  <c r="R178" i="1"/>
  <c r="G143" i="1"/>
  <c r="G144" i="1" s="1"/>
  <c r="Q131" i="1" a="1"/>
  <c r="R107" i="1"/>
  <c r="R106" i="1"/>
  <c r="R105" i="1"/>
  <c r="R104" i="1"/>
  <c r="R99" i="1"/>
  <c r="R98" i="1"/>
  <c r="R97" i="1"/>
  <c r="R96" i="1"/>
  <c r="R196" i="1"/>
  <c r="R193" i="1"/>
  <c r="O144" i="1"/>
  <c r="O141" i="1"/>
  <c r="O142" i="1"/>
  <c r="R157" i="1"/>
  <c r="R159" i="1" s="1"/>
  <c r="R180" i="1"/>
  <c r="R179" i="1"/>
  <c r="R177" i="1"/>
  <c r="R111" i="1"/>
  <c r="M98" i="1"/>
  <c r="I20" i="3"/>
  <c r="Q70" i="1"/>
  <c r="R70" i="1" s="1"/>
  <c r="R81" i="1"/>
  <c r="M106" i="1"/>
  <c r="R78" i="1"/>
  <c r="R79" i="1"/>
  <c r="R80" i="1"/>
  <c r="I16" i="3"/>
  <c r="I17" i="3"/>
  <c r="R71" i="1"/>
  <c r="R112" i="1"/>
  <c r="R113" i="1"/>
  <c r="R114" i="1"/>
  <c r="R115" i="1"/>
  <c r="R72" i="1"/>
  <c r="R75" i="1"/>
  <c r="R73" i="1"/>
  <c r="R74" i="1"/>
  <c r="R76" i="1"/>
  <c r="R77" i="1"/>
  <c r="R140" i="1" l="1"/>
  <c r="R136" i="1"/>
  <c r="R135" i="1"/>
  <c r="R134" i="1"/>
  <c r="R160" i="1"/>
  <c r="R161" i="1"/>
  <c r="R133" i="1"/>
  <c r="R126" i="1"/>
  <c r="R132" i="1"/>
  <c r="R139" i="1"/>
  <c r="Q131" i="1"/>
  <c r="R131" i="1" s="1"/>
  <c r="R138" i="1"/>
  <c r="R137" i="1"/>
  <c r="R158" i="1"/>
  <c r="R90" i="1"/>
  <c r="R88" i="1"/>
  <c r="R125" i="1"/>
  <c r="R128" i="1"/>
  <c r="R127" i="1"/>
  <c r="O189" i="1"/>
  <c r="O122" i="1"/>
  <c r="O145" i="1"/>
  <c r="R91" i="1"/>
  <c r="R89" i="1"/>
  <c r="O176" i="1"/>
  <c r="O85" i="1"/>
  <c r="R149" i="1" l="1"/>
  <c r="R150" i="1"/>
  <c r="R147" i="1"/>
  <c r="R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<sst xmlns="http://schemas.openxmlformats.org/spreadsheetml/2006/main" count="1011" uniqueCount="239">
  <si>
    <t>LUCIDII - Lucid Prime Fund LLC</t>
  </si>
  <si>
    <t>INVESTOR CAPITAL DETAIL FOR PARTNERSHIPS</t>
  </si>
  <si>
    <t/>
  </si>
  <si>
    <t>Investor Description</t>
  </si>
  <si>
    <t>Parent Investor</t>
  </si>
  <si>
    <t>Investor Type Code</t>
  </si>
  <si>
    <t>Beginning Capital</t>
  </si>
  <si>
    <t>Contributions</t>
  </si>
  <si>
    <t xml:space="preserve">Withdrawals  (BEG)  </t>
  </si>
  <si>
    <t>Assignments</t>
  </si>
  <si>
    <t>Intra Pool (BEG)</t>
  </si>
  <si>
    <t xml:space="preserve">Revised Beginning Capital </t>
  </si>
  <si>
    <t>Income Allocation</t>
  </si>
  <si>
    <t>Mgmt Fee</t>
  </si>
  <si>
    <t>Incentive Fee</t>
  </si>
  <si>
    <t>Withdrawals  (END)</t>
  </si>
  <si>
    <t>Intra Pool (END)</t>
  </si>
  <si>
    <t>Ending Net Capital</t>
  </si>
  <si>
    <t>Ending Shares</t>
  </si>
  <si>
    <t>NAV per  Share</t>
  </si>
  <si>
    <t>Gross RoR %</t>
  </si>
  <si>
    <t>Mgmt RoR %</t>
  </si>
  <si>
    <t>Net RoR %</t>
  </si>
  <si>
    <t>Lucid Prime Fund LLC</t>
  </si>
  <si>
    <t>Alfred I. duPont Charitable Trust</t>
  </si>
  <si>
    <t>LP</t>
  </si>
  <si>
    <t>Amica Retiree Medical Trust</t>
  </si>
  <si>
    <t>Children's Health System of Texas</t>
  </si>
  <si>
    <t>IRR K LLC</t>
  </si>
  <si>
    <t>Lucid Management and Capital Partners LP</t>
  </si>
  <si>
    <t>Prime Notes LLC Series M-1</t>
  </si>
  <si>
    <t>The Kresge Foundation</t>
  </si>
  <si>
    <t>The Nemours Foundation</t>
  </si>
  <si>
    <t>The Nemours Foundation - Intermediate Account</t>
  </si>
  <si>
    <t>The Nemours Foundation Pension Plan</t>
  </si>
  <si>
    <t>University of Virginia Investment Mgmt Company</t>
  </si>
  <si>
    <t>SubTotal for Lucid Prime Fund LLC</t>
  </si>
  <si>
    <t>Lucid Prime Fund LLC_C1</t>
  </si>
  <si>
    <t>Hudson East River Systems, LLC</t>
  </si>
  <si>
    <t>The New York and Presbyterian Hospital</t>
  </si>
  <si>
    <t>SubTotal for Lucid Prime Fund LLC_C1</t>
  </si>
  <si>
    <t>Lucid Prime Fund LLC_MIG</t>
  </si>
  <si>
    <t>Prime Notes Series MIG-1</t>
  </si>
  <si>
    <t>SubTotal for Lucid Prime Fund LLC_MIG</t>
  </si>
  <si>
    <t>Lucid Prime Fund LLC_Q1</t>
  </si>
  <si>
    <t>Prime Notes LLC Series Q1-1</t>
  </si>
  <si>
    <t>SubTotal for Lucid Prime Fund LLC_Q1</t>
  </si>
  <si>
    <t>Lucid Prime Fund LLC_QX</t>
  </si>
  <si>
    <t>In Touch Foundation, Inc.</t>
  </si>
  <si>
    <t>In Touch Ministries, Inc.</t>
  </si>
  <si>
    <t>International Mission Board of Southern Baptist Convention</t>
  </si>
  <si>
    <t>Prime Notes Series QX-1</t>
  </si>
  <si>
    <t>Word of God Fellowship, Inc.</t>
  </si>
  <si>
    <t>SubTotal for Lucid Prime Fund LLC_QX</t>
  </si>
  <si>
    <t>Lucid Prime Fund LLC_Q364</t>
  </si>
  <si>
    <t>Prime Notes Series Q364-1</t>
  </si>
  <si>
    <t>SubTotal for Lucid Prime Fund LLC_Q364</t>
  </si>
  <si>
    <t>Grand Total</t>
  </si>
  <si>
    <t>LUCID - Lucid Cash Fund USG LLC</t>
  </si>
  <si>
    <t>Lucid Cash Fund USG LLC</t>
  </si>
  <si>
    <t>Lucid Management and Capital Partners LLC</t>
  </si>
  <si>
    <t>SubTotal for Lucid Cash Fund USG LLC</t>
  </si>
  <si>
    <t>M-1</t>
  </si>
  <si>
    <t>Q1-1</t>
  </si>
  <si>
    <t>QX-1</t>
  </si>
  <si>
    <t>Q364-1</t>
  </si>
  <si>
    <t>MIG-1</t>
  </si>
  <si>
    <t>M-2</t>
  </si>
  <si>
    <t>M-3</t>
  </si>
  <si>
    <t>M-4</t>
  </si>
  <si>
    <t>M-5</t>
  </si>
  <si>
    <t>M-6</t>
  </si>
  <si>
    <t>74166WAF1</t>
  </si>
  <si>
    <t>Noteholders</t>
  </si>
  <si>
    <t>903340AA5</t>
  </si>
  <si>
    <t>90366JAA5</t>
  </si>
  <si>
    <t>90366JAB3</t>
  </si>
  <si>
    <t>90366JAC1</t>
  </si>
  <si>
    <t>90366JAD9</t>
  </si>
  <si>
    <t>90366JAE7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</si>
  <si>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</si>
  <si>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</si>
  <si>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</si>
  <si>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</si>
  <si>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</si>
  <si>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</si>
  <si>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</si>
  <si>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</si>
  <si>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</si>
  <si>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</si>
  <si>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</si>
  <si>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</si>
  <si>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</si>
  <si>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Nationwide - Cash</t>
  </si>
  <si>
    <t>Farmers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</si>
  <si>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</si>
  <si>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</si>
  <si>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</si>
  <si>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</si>
  <si>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</si>
  <si>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</si>
  <si>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</si>
  <si>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</si>
  <si>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</si>
  <si>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</si>
  <si>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</si>
  <si>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Total Outstanding</t>
  </si>
  <si>
    <t>Mercury - CAIC</t>
  </si>
  <si>
    <t>Mercury - MICGA</t>
  </si>
  <si>
    <t>Mercury - MICIL</t>
  </si>
  <si>
    <t>Series</t>
  </si>
  <si>
    <t>Cusip</t>
  </si>
  <si>
    <t>Amt. Outstanding</t>
  </si>
  <si>
    <t>Mercury - MNIC</t>
  </si>
  <si>
    <t>Omaha - Life</t>
  </si>
  <si>
    <t>Omaha - Mutual</t>
  </si>
  <si>
    <t>SWIB</t>
  </si>
  <si>
    <t>Total</t>
  </si>
  <si>
    <t>74166WAA2</t>
  </si>
  <si>
    <t>74166WAB0</t>
  </si>
  <si>
    <t>74166WAE4</t>
  </si>
  <si>
    <t>74166WAD6</t>
  </si>
  <si>
    <t>AMFAM</t>
  </si>
  <si>
    <t>AMICA</t>
  </si>
  <si>
    <t>FARMERS</t>
  </si>
  <si>
    <t>FORTITUDE</t>
  </si>
  <si>
    <t>GUIDESTONE</t>
  </si>
  <si>
    <t>MERCURY</t>
  </si>
  <si>
    <t>OMAHA</t>
  </si>
  <si>
    <t>WOODMEN</t>
  </si>
  <si>
    <t>TOTAL</t>
  </si>
  <si>
    <t>ANICO</t>
  </si>
  <si>
    <t>NATIONWIDE</t>
  </si>
  <si>
    <t xml:space="preserve">(a) Individuals that are United States persons (including their trusts) </t>
  </si>
  <si>
    <t xml:space="preserve">(b) Individuals that are not United States persons (including their trusts) </t>
  </si>
  <si>
    <t xml:space="preserve">(c) Broker-dealers </t>
  </si>
  <si>
    <t xml:space="preserve">(d) Insurance companies </t>
  </si>
  <si>
    <t xml:space="preserve">(e) Investment companies registered with the SEC </t>
  </si>
  <si>
    <t xml:space="preserve">(f) Private funds </t>
  </si>
  <si>
    <t>(g) Non-profits</t>
  </si>
  <si>
    <t xml:space="preserve">(h) Pension plans (excluding governmental pension plans) </t>
  </si>
  <si>
    <t xml:space="preserve">(i) Banking or thrift institutions (proprietary) </t>
  </si>
  <si>
    <t xml:space="preserve">(k) State or municipal governmental pension plans </t>
  </si>
  <si>
    <t xml:space="preserve">(l) Sovereign wealth funds and foreign official institutions </t>
  </si>
  <si>
    <t xml:space="preserve">(m) Investors that are not United States persons </t>
  </si>
  <si>
    <t>OUR CLASSIFICATION</t>
  </si>
  <si>
    <t>CATAGORIES</t>
  </si>
  <si>
    <t xml:space="preserve">(j) State or municipal government entities (excludingpension plans) </t>
  </si>
  <si>
    <t>(n) Other</t>
  </si>
  <si>
    <t>Family</t>
  </si>
  <si>
    <t>TOTAL NAV</t>
  </si>
  <si>
    <t>Top 5</t>
  </si>
  <si>
    <t>SERIES M</t>
  </si>
  <si>
    <t>SERIES C1</t>
  </si>
  <si>
    <t>Top 5- 100%</t>
  </si>
  <si>
    <t>SERIES Q1</t>
  </si>
  <si>
    <t>SERIES QX</t>
  </si>
  <si>
    <t>SERIES Q364</t>
  </si>
  <si>
    <t>Total NAV</t>
  </si>
  <si>
    <t>The Southern Baptist Theological Seminary</t>
  </si>
  <si>
    <t>In Touch Media, Inc.</t>
  </si>
  <si>
    <t>SERIES-MIG</t>
  </si>
  <si>
    <t>Largest</t>
  </si>
  <si>
    <t># over 5%</t>
  </si>
  <si>
    <t>Makena Capital Holdings B, LP</t>
  </si>
  <si>
    <t>MFIF Holdings Blue, L.P.</t>
  </si>
  <si>
    <t>M-7</t>
  </si>
  <si>
    <t>90366JAF4</t>
  </si>
  <si>
    <t>USG ASSETS LLC Series M-7</t>
  </si>
  <si>
    <t>FUND TOTAL NAV</t>
  </si>
  <si>
    <t>Parent Org</t>
  </si>
  <si>
    <t>Makena</t>
  </si>
  <si>
    <t>UVIMCO</t>
  </si>
  <si>
    <t>AMICA (Pension)</t>
  </si>
  <si>
    <t>Stifel</t>
  </si>
  <si>
    <t>Mercury</t>
  </si>
  <si>
    <t>Omaha</t>
  </si>
  <si>
    <t>Woodmen</t>
  </si>
  <si>
    <t>Amica</t>
  </si>
  <si>
    <t>Fortitude</t>
  </si>
  <si>
    <t>Physical</t>
  </si>
  <si>
    <t>Nationwide</t>
  </si>
  <si>
    <t>Stifel, Nicolaus &amp; Co. Inc</t>
  </si>
  <si>
    <t>Mercury Insurance Company</t>
  </si>
  <si>
    <t>AIS Management LLC</t>
  </si>
  <si>
    <t>American Mercury Insurance Company</t>
  </si>
  <si>
    <t>United of Omaha Life Insurance Company</t>
  </si>
  <si>
    <t>Woodmen of the World Life Insurance Society</t>
  </si>
  <si>
    <t>Mercury Casualty Company</t>
  </si>
  <si>
    <t>California Automobile Insurance Company</t>
  </si>
  <si>
    <t>Farmers Insurance Exchange</t>
  </si>
  <si>
    <t>Mid-Century Insurance Company</t>
  </si>
  <si>
    <t>Amica Mutual Insurance Company</t>
  </si>
  <si>
    <t>Amica Life Insurance Company</t>
  </si>
  <si>
    <t>Amica Companies Supplement Retirement Trust</t>
  </si>
  <si>
    <t>Amica Companies Foundation</t>
  </si>
  <si>
    <t>Amica Property and Casualty Insurance Company</t>
  </si>
  <si>
    <t>GuideStone Financial Resources of the Southern Baptist Convention</t>
  </si>
  <si>
    <t>GuideStone Financial Resources of the Southern Baptist Convention, As Nominee</t>
  </si>
  <si>
    <t>Fortitude Reinsurance Company Ltd.</t>
  </si>
  <si>
    <t>Mutual of Omaha Insurance Company</t>
  </si>
  <si>
    <t>Nationwide Cash Management Company</t>
  </si>
  <si>
    <t xml:space="preserve">Nationwide Mutual Insurance Company </t>
  </si>
  <si>
    <t>Mercury Insurance Company of Georgia</t>
  </si>
  <si>
    <t>Mercury Insurance Company of Illinois</t>
  </si>
  <si>
    <t>Mercury National Insurance Company</t>
  </si>
  <si>
    <t>American Family Mutual Insurance Company</t>
  </si>
  <si>
    <t>Legal Name</t>
  </si>
  <si>
    <t>Amica (Pension)</t>
  </si>
  <si>
    <t>Amica (Non-Profit)</t>
  </si>
  <si>
    <t>Southern Baptist Convention</t>
  </si>
  <si>
    <t>Alfred I. duPont Charitable Trust Pension</t>
  </si>
  <si>
    <t>In Touch Ministries</t>
  </si>
  <si>
    <t>(o) LMCP INTERNAL</t>
  </si>
  <si>
    <t>LMCP INTERNAL</t>
  </si>
  <si>
    <t>Check</t>
  </si>
  <si>
    <t>#&gt;5%</t>
  </si>
  <si>
    <t>A1-1</t>
  </si>
  <si>
    <t>MIG-2</t>
  </si>
  <si>
    <t>74166WAG9</t>
  </si>
  <si>
    <t>74166WAH7</t>
  </si>
  <si>
    <t>Lucid Prime Fund LLC_A1</t>
  </si>
  <si>
    <t>Prime Notes Series A1-1</t>
  </si>
  <si>
    <t>SubTotal for Lucid Prime Fund LLC_A1</t>
  </si>
  <si>
    <t>Prime Notes Series MIG-2</t>
  </si>
  <si>
    <t>Word of God Fellowship, Inc. Cash Reserves</t>
  </si>
  <si>
    <t>SERIES A1</t>
  </si>
  <si>
    <t>CHECK</t>
  </si>
  <si>
    <t>2YIG-1</t>
  </si>
  <si>
    <t>74166WAJ3</t>
  </si>
  <si>
    <t>Lucid Prime Fund LLC_2YIG</t>
  </si>
  <si>
    <t>Prime Notes Series 2YIG-1</t>
  </si>
  <si>
    <t>SubTotal for Lucid Prime Fund LLC_2YIG</t>
  </si>
  <si>
    <t>Executive Committee of the Baptist Convention of the State of Georgia (d/b/a Georgia Baptist Mission Board)</t>
  </si>
  <si>
    <t>New York City Ballet, Inc.</t>
  </si>
  <si>
    <t>SERIES-2YIG</t>
  </si>
  <si>
    <t>For the Period 12/1/2022 to 12/31/2022</t>
  </si>
  <si>
    <t>Dr. Otis S. Hawkins</t>
  </si>
  <si>
    <t>GuideStone Trust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</si>
</sst>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(#,##0.00\);&quot;-&quot;"/>
    <numFmt numFmtId="165" formatCode="[$-10409]#,##0.00;\(#,##0.00\);&quot;&quot;"/>
    <numFmt numFmtId="166" formatCode="[$-10409]#,##0.0000;\(#,##0.0000\);0.0000"/>
    <numFmt numFmtId="167" formatCode="[$-10409]#,##0;\(#,##0\);&quot;-&quot;"/>
    <numFmt numFmtId="168" formatCode="_(* #,##0_);_(* \(#,##0\);_(* &quot;-&quot;??_);_(@_)"/>
    <numFmt numFmtId="169" formatCode="_(* #,##0.0_);_(* \(#,##0.0\);_(* &quot;-&quot;??_);_(@_)"/>
  </numFmts>
  <fonts count="3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Tahoma"/>
      <family val="2"/>
    </font>
    <font>
      <sz val="7"/>
      <color rgb="FF000000"/>
      <name val="Tahoma"/>
      <family val="2"/>
    </font>
    <font>
      <sz val="10"/>
      <color rgb="FF000000"/>
      <name val="Arial"/>
      <family val="2"/>
    </font>
    <font>
      <sz val="6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rgb="FF000000"/>
      <name val="Tahoma"/>
      <family val="2"/>
    </font>
    <font>
      <b/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Tahoma"/>
      <family val="2"/>
    </font>
    <font>
      <sz val="6"/>
      <name val="Tahoma"/>
      <family val="2"/>
    </font>
    <font>
      <sz val="6"/>
      <color theme="1"/>
      <name val="Tahoma"/>
      <family val="2"/>
    </font>
    <font>
      <b/>
      <sz val="8"/>
      <name val="Tahoma"/>
      <family val="2"/>
    </font>
    <font>
      <b/>
      <sz val="11"/>
      <color rgb="FF000000"/>
      <name val="Calibri"/>
      <family val="2"/>
      <scheme val="minor"/>
    </font>
    <font>
      <b/>
      <sz val="6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u/>
      <sz val="7"/>
      <color rgb="FF000000"/>
      <name val="Tahoma"/>
      <family val="2"/>
    </font>
    <font>
      <sz val="10"/>
      <color rgb="FFFF0000"/>
      <name val="Arial"/>
      <family val="2"/>
    </font>
    <font>
      <sz val="11"/>
      <name val="Calibri"/>
    </font>
    <font>
      <sz val="9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sz val="7"/>
      <color rgb="FF000000"/>
      <name val="Tahoma"/>
    </font>
    <font>
      <u/>
      <sz val="7"/>
      <color rgb="FF000000"/>
      <name val="Tahoma"/>
    </font>
    <font>
      <sz val="10"/>
      <color rgb="FF000000"/>
      <name val="Arial"/>
    </font>
    <font>
      <sz val="10"/>
      <color rgb="FFFF0000"/>
      <name val="Arial"/>
    </font>
    <font>
      <sz val="6"/>
      <color rgb="FF000000"/>
      <name val="Tahoma"/>
    </font>
  </fonts>
  <fills count="22">
    <fill>
      <patternFill patternType="none"/>
    </fill>
    <fill>
      <patternFill patternType="gray125"/>
    </fill>
    <fill>
      <patternFill patternType="solid">
        <fgColor rgb="FFF8F6F3"/>
        <bgColor rgb="FFF8F6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rgb="FFF8F6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79998168889431442"/>
        <bgColor rgb="FFF8F6F3"/>
      </patternFill>
    </fill>
    <fill>
      <patternFill patternType="solid">
        <fgColor theme="7" tint="0.79998168889431442"/>
        <bgColor rgb="FFF8F6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F8F6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8F6F3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43" fontId="10" fillId="0" borderId="0" applyFont="0" applyFill="0" applyBorder="0" applyAlignment="0" applyProtection="0"/>
  </cellStyleXfs>
  <cellXfs count="373">
    <xf numFmtId="0" fontId="5" fillId="0" borderId="0" xfId="0" applyFont="1"/>
    <xf numFmtId="0" fontId="12" fillId="4" borderId="0" xfId="0" applyFont="1" applyFill="1" applyAlignment="1">
      <alignment horizontal="left" wrapText="1"/>
    </xf>
    <xf numFmtId="0" fontId="11" fillId="0" borderId="0" xfId="3" applyFont="1"/>
    <xf numFmtId="0" fontId="4" fillId="0" borderId="0" xfId="3"/>
    <xf numFmtId="0" fontId="11" fillId="5" borderId="2" xfId="3" applyFont="1" applyFill="1" applyBorder="1"/>
    <xf numFmtId="0" fontId="11" fillId="5" borderId="4" xfId="3" applyFont="1" applyFill="1" applyBorder="1"/>
    <xf numFmtId="0" fontId="5" fillId="6" borderId="11" xfId="3" applyFont="1" applyFill="1" applyBorder="1"/>
    <xf numFmtId="0" fontId="11" fillId="5" borderId="5" xfId="3" applyFont="1" applyFill="1" applyBorder="1"/>
    <xf numFmtId="0" fontId="11" fillId="5" borderId="6" xfId="3" applyFont="1" applyFill="1" applyBorder="1"/>
    <xf numFmtId="0" fontId="5" fillId="6" borderId="12" xfId="3" applyFont="1" applyFill="1" applyBorder="1"/>
    <xf numFmtId="0" fontId="5" fillId="6" borderId="13" xfId="3" applyFont="1" applyFill="1" applyBorder="1"/>
    <xf numFmtId="0" fontId="5" fillId="0" borderId="0" xfId="3" applyFont="1"/>
    <xf numFmtId="0" fontId="11" fillId="5" borderId="7" xfId="3" applyFont="1" applyFill="1" applyBorder="1"/>
    <xf numFmtId="0" fontId="11" fillId="5" borderId="9" xfId="3" applyFont="1" applyFill="1" applyBorder="1"/>
    <xf numFmtId="0" fontId="5" fillId="4" borderId="0" xfId="0" applyFont="1" applyFill="1"/>
    <xf numFmtId="0" fontId="0" fillId="4" borderId="0" xfId="0" applyFill="1"/>
    <xf numFmtId="0" fontId="9" fillId="7" borderId="14" xfId="0" applyFont="1" applyFill="1" applyBorder="1" applyAlignment="1">
      <alignment readingOrder="1"/>
    </xf>
    <xf numFmtId="164" fontId="9" fillId="7" borderId="15" xfId="0" applyNumberFormat="1" applyFont="1" applyFill="1" applyBorder="1" applyAlignment="1">
      <alignment horizontal="right" readingOrder="1"/>
    </xf>
    <xf numFmtId="0" fontId="9" fillId="7" borderId="15" xfId="0" applyFont="1" applyFill="1" applyBorder="1" applyAlignment="1">
      <alignment readingOrder="1"/>
    </xf>
    <xf numFmtId="0" fontId="9" fillId="9" borderId="17" xfId="0" applyFont="1" applyFill="1" applyBorder="1" applyAlignment="1">
      <alignment readingOrder="1"/>
    </xf>
    <xf numFmtId="164" fontId="9" fillId="9" borderId="0" xfId="0" applyNumberFormat="1" applyFont="1" applyFill="1" applyAlignment="1">
      <alignment horizontal="right" readingOrder="1"/>
    </xf>
    <xf numFmtId="0" fontId="9" fillId="7" borderId="0" xfId="0" applyFont="1" applyFill="1" applyAlignment="1">
      <alignment readingOrder="1"/>
    </xf>
    <xf numFmtId="0" fontId="9" fillId="7" borderId="17" xfId="0" applyFont="1" applyFill="1" applyBorder="1" applyAlignment="1">
      <alignment readingOrder="1"/>
    </xf>
    <xf numFmtId="164" fontId="9" fillId="7" borderId="0" xfId="0" applyNumberFormat="1" applyFont="1" applyFill="1" applyAlignment="1">
      <alignment horizontal="right" readingOrder="1"/>
    </xf>
    <xf numFmtId="0" fontId="9" fillId="7" borderId="0" xfId="0" applyFont="1" applyFill="1" applyAlignment="1">
      <alignment horizontal="right" readingOrder="1"/>
    </xf>
    <xf numFmtId="164" fontId="9" fillId="9" borderId="20" xfId="0" applyNumberFormat="1" applyFont="1" applyFill="1" applyBorder="1" applyAlignment="1">
      <alignment horizontal="right" readingOrder="1"/>
    </xf>
    <xf numFmtId="0" fontId="9" fillId="7" borderId="20" xfId="0" applyFont="1" applyFill="1" applyBorder="1" applyAlignment="1">
      <alignment readingOrder="1"/>
    </xf>
    <xf numFmtId="0" fontId="9" fillId="11" borderId="0" xfId="0" applyFont="1" applyFill="1" applyAlignment="1">
      <alignment readingOrder="1"/>
    </xf>
    <xf numFmtId="164" fontId="9" fillId="11" borderId="15" xfId="0" applyNumberFormat="1" applyFont="1" applyFill="1" applyBorder="1" applyAlignment="1">
      <alignment horizontal="right" readingOrder="1"/>
    </xf>
    <xf numFmtId="164" fontId="9" fillId="13" borderId="0" xfId="0" applyNumberFormat="1" applyFont="1" applyFill="1" applyAlignment="1">
      <alignment horizontal="right" readingOrder="1"/>
    </xf>
    <xf numFmtId="0" fontId="9" fillId="11" borderId="0" xfId="0" applyFont="1" applyFill="1" applyAlignment="1">
      <alignment horizontal="right" readingOrder="1"/>
    </xf>
    <xf numFmtId="164" fontId="9" fillId="11" borderId="0" xfId="0" applyNumberFormat="1" applyFont="1" applyFill="1" applyAlignment="1">
      <alignment horizontal="right" readingOrder="1"/>
    </xf>
    <xf numFmtId="0" fontId="9" fillId="11" borderId="15" xfId="0" applyFont="1" applyFill="1" applyBorder="1" applyAlignment="1">
      <alignment readingOrder="1"/>
    </xf>
    <xf numFmtId="164" fontId="9" fillId="13" borderId="15" xfId="0" applyNumberFormat="1" applyFont="1" applyFill="1" applyBorder="1" applyAlignment="1">
      <alignment horizontal="right" readingOrder="1"/>
    </xf>
    <xf numFmtId="164" fontId="9" fillId="13" borderId="20" xfId="0" applyNumberFormat="1" applyFont="1" applyFill="1" applyBorder="1" applyAlignment="1">
      <alignment horizontal="right" readingOrder="1"/>
    </xf>
    <xf numFmtId="0" fontId="9" fillId="11" borderId="20" xfId="0" applyFont="1" applyFill="1" applyBorder="1" applyAlignment="1">
      <alignment readingOrder="1"/>
    </xf>
    <xf numFmtId="0" fontId="5" fillId="8" borderId="15" xfId="0" applyFont="1" applyFill="1" applyBorder="1"/>
    <xf numFmtId="0" fontId="5" fillId="8" borderId="0" xfId="0" applyFont="1" applyFill="1"/>
    <xf numFmtId="9" fontId="5" fillId="8" borderId="18" xfId="0" applyNumberFormat="1" applyFont="1" applyFill="1" applyBorder="1"/>
    <xf numFmtId="0" fontId="5" fillId="8" borderId="18" xfId="0" applyFont="1" applyFill="1" applyBorder="1"/>
    <xf numFmtId="0" fontId="5" fillId="8" borderId="20" xfId="0" applyFont="1" applyFill="1" applyBorder="1"/>
    <xf numFmtId="0" fontId="0" fillId="0" borderId="0" xfId="0"/>
    <xf numFmtId="0" fontId="11" fillId="5" borderId="14" xfId="0" applyFont="1" applyFill="1" applyBorder="1"/>
    <xf numFmtId="0" fontId="14" fillId="5" borderId="15" xfId="3" applyFont="1" applyFill="1" applyBorder="1"/>
    <xf numFmtId="0" fontId="15" fillId="10" borderId="14" xfId="0" applyFont="1" applyFill="1" applyBorder="1" applyAlignment="1">
      <alignment horizontal="left" readingOrder="1"/>
    </xf>
    <xf numFmtId="9" fontId="13" fillId="10" borderId="15" xfId="2" applyFont="1" applyFill="1" applyBorder="1" applyAlignment="1">
      <alignment horizontal="center" readingOrder="1"/>
    </xf>
    <xf numFmtId="9" fontId="13" fillId="10" borderId="16" xfId="2" applyFont="1" applyFill="1" applyBorder="1" applyAlignment="1">
      <alignment horizontal="center" readingOrder="1"/>
    </xf>
    <xf numFmtId="0" fontId="11" fillId="5" borderId="17" xfId="0" applyFont="1" applyFill="1" applyBorder="1"/>
    <xf numFmtId="0" fontId="14" fillId="5" borderId="0" xfId="3" applyFont="1" applyFill="1"/>
    <xf numFmtId="0" fontId="15" fillId="10" borderId="17" xfId="0" applyFont="1" applyFill="1" applyBorder="1" applyAlignment="1">
      <alignment horizontal="left" readingOrder="1"/>
    </xf>
    <xf numFmtId="9" fontId="13" fillId="10" borderId="0" xfId="2" applyFont="1" applyFill="1" applyBorder="1" applyAlignment="1">
      <alignment horizontal="center" readingOrder="1"/>
    </xf>
    <xf numFmtId="9" fontId="13" fillId="10" borderId="18" xfId="2" applyFont="1" applyFill="1" applyBorder="1" applyAlignment="1">
      <alignment horizontal="center" readingOrder="1"/>
    </xf>
    <xf numFmtId="0" fontId="14" fillId="5" borderId="18" xfId="3" applyFont="1" applyFill="1" applyBorder="1"/>
    <xf numFmtId="0" fontId="15" fillId="10" borderId="19" xfId="0" applyFont="1" applyFill="1" applyBorder="1" applyAlignment="1">
      <alignment horizontal="left" readingOrder="1"/>
    </xf>
    <xf numFmtId="9" fontId="13" fillId="10" borderId="20" xfId="2" applyFont="1" applyFill="1" applyBorder="1" applyAlignment="1">
      <alignment horizontal="center" readingOrder="1"/>
    </xf>
    <xf numFmtId="9" fontId="13" fillId="10" borderId="21" xfId="2" applyFont="1" applyFill="1" applyBorder="1" applyAlignment="1">
      <alignment horizontal="center" readingOrder="1"/>
    </xf>
    <xf numFmtId="0" fontId="11" fillId="5" borderId="19" xfId="0" applyFont="1" applyFill="1" applyBorder="1"/>
    <xf numFmtId="0" fontId="14" fillId="5" borderId="20" xfId="3" applyFont="1" applyFill="1" applyBorder="1"/>
    <xf numFmtId="0" fontId="14" fillId="5" borderId="21" xfId="3" applyFont="1" applyFill="1" applyBorder="1"/>
    <xf numFmtId="0" fontId="9" fillId="11" borderId="14" xfId="0" applyFont="1" applyFill="1" applyBorder="1" applyAlignment="1">
      <alignment readingOrder="1"/>
    </xf>
    <xf numFmtId="0" fontId="5" fillId="12" borderId="15" xfId="0" applyFont="1" applyFill="1" applyBorder="1"/>
    <xf numFmtId="9" fontId="5" fillId="12" borderId="16" xfId="0" applyNumberFormat="1" applyFont="1" applyFill="1" applyBorder="1"/>
    <xf numFmtId="0" fontId="9" fillId="13" borderId="17" xfId="0" applyFont="1" applyFill="1" applyBorder="1" applyAlignment="1">
      <alignment readingOrder="1"/>
    </xf>
    <xf numFmtId="0" fontId="5" fillId="12" borderId="0" xfId="0" applyFont="1" applyFill="1"/>
    <xf numFmtId="9" fontId="5" fillId="12" borderId="18" xfId="0" applyNumberFormat="1" applyFont="1" applyFill="1" applyBorder="1"/>
    <xf numFmtId="0" fontId="9" fillId="11" borderId="17" xfId="0" applyFont="1" applyFill="1" applyBorder="1" applyAlignment="1">
      <alignment readingOrder="1"/>
    </xf>
    <xf numFmtId="0" fontId="9" fillId="11" borderId="19" xfId="0" applyFont="1" applyFill="1" applyBorder="1" applyAlignment="1">
      <alignment readingOrder="1"/>
    </xf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15" xfId="0" applyFont="1" applyFill="1" applyBorder="1" applyAlignment="1">
      <alignment horizontal="right"/>
    </xf>
    <xf numFmtId="0" fontId="5" fillId="12" borderId="18" xfId="0" applyFont="1" applyFill="1" applyBorder="1"/>
    <xf numFmtId="0" fontId="14" fillId="12" borderId="0" xfId="3" applyFont="1" applyFill="1"/>
    <xf numFmtId="0" fontId="9" fillId="13" borderId="19" xfId="0" applyFont="1" applyFill="1" applyBorder="1" applyAlignment="1">
      <alignment readingOrder="1"/>
    </xf>
    <xf numFmtId="0" fontId="9" fillId="11" borderId="14" xfId="0" applyFont="1" applyFill="1" applyBorder="1" applyAlignment="1">
      <alignment wrapText="1" readingOrder="1"/>
    </xf>
    <xf numFmtId="167" fontId="9" fillId="11" borderId="15" xfId="0" applyNumberFormat="1" applyFont="1" applyFill="1" applyBorder="1" applyAlignment="1">
      <alignment horizontal="right" wrapText="1" readingOrder="1"/>
    </xf>
    <xf numFmtId="167" fontId="16" fillId="11" borderId="16" xfId="0" applyNumberFormat="1" applyFont="1" applyFill="1" applyBorder="1" applyAlignment="1">
      <alignment horizontal="right" wrapText="1" readingOrder="1"/>
    </xf>
    <xf numFmtId="0" fontId="9" fillId="11" borderId="17" xfId="0" applyFont="1" applyFill="1" applyBorder="1" applyAlignment="1">
      <alignment wrapText="1" readingOrder="1"/>
    </xf>
    <xf numFmtId="9" fontId="5" fillId="12" borderId="18" xfId="2" applyFont="1" applyFill="1" applyBorder="1" applyAlignment="1"/>
    <xf numFmtId="0" fontId="9" fillId="11" borderId="22" xfId="0" applyFont="1" applyFill="1" applyBorder="1" applyAlignment="1">
      <alignment wrapText="1" readingOrder="1"/>
    </xf>
    <xf numFmtId="0" fontId="9" fillId="11" borderId="19" xfId="0" applyFont="1" applyFill="1" applyBorder="1" applyAlignment="1">
      <alignment wrapText="1" readingOrder="1"/>
    </xf>
    <xf numFmtId="167" fontId="9" fillId="13" borderId="20" xfId="0" applyNumberFormat="1" applyFont="1" applyFill="1" applyBorder="1" applyAlignment="1">
      <alignment horizontal="right" wrapText="1" readingOrder="1"/>
    </xf>
    <xf numFmtId="164" fontId="13" fillId="11" borderId="0" xfId="0" applyNumberFormat="1" applyFont="1" applyFill="1" applyAlignment="1">
      <alignment horizontal="right" readingOrder="1"/>
    </xf>
    <xf numFmtId="0" fontId="5" fillId="12" borderId="0" xfId="0" applyFont="1" applyFill="1" applyAlignment="1">
      <alignment horizontal="right"/>
    </xf>
    <xf numFmtId="0" fontId="17" fillId="12" borderId="15" xfId="0" applyFont="1" applyFill="1" applyBorder="1"/>
    <xf numFmtId="0" fontId="18" fillId="5" borderId="17" xfId="0" applyFont="1" applyFill="1" applyBorder="1"/>
    <xf numFmtId="0" fontId="17" fillId="5" borderId="0" xfId="3" applyFont="1" applyFill="1"/>
    <xf numFmtId="43" fontId="17" fillId="5" borderId="0" xfId="4" applyFont="1" applyFill="1" applyBorder="1" applyAlignment="1"/>
    <xf numFmtId="164" fontId="16" fillId="7" borderId="10" xfId="0" applyNumberFormat="1" applyFont="1" applyFill="1" applyBorder="1" applyAlignment="1">
      <alignment horizontal="right" readingOrder="1"/>
    </xf>
    <xf numFmtId="168" fontId="5" fillId="12" borderId="0" xfId="4" applyNumberFormat="1" applyFont="1" applyFill="1" applyBorder="1" applyAlignment="1"/>
    <xf numFmtId="9" fontId="5" fillId="12" borderId="15" xfId="2" applyFont="1" applyFill="1" applyBorder="1" applyAlignment="1"/>
    <xf numFmtId="9" fontId="5" fillId="12" borderId="0" xfId="2" applyFont="1" applyFill="1" applyBorder="1" applyAlignment="1"/>
    <xf numFmtId="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2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8" xfId="0" applyNumberFormat="1" applyBorder="1" applyAlignment="1">
      <alignment horizontal="right"/>
    </xf>
    <xf numFmtId="3" fontId="11" fillId="0" borderId="0" xfId="0" applyNumberFormat="1" applyFont="1" applyAlignment="1">
      <alignment horizontal="right"/>
    </xf>
    <xf numFmtId="164" fontId="9" fillId="9" borderId="10" xfId="0" applyNumberFormat="1" applyFont="1" applyFill="1" applyBorder="1" applyAlignment="1">
      <alignment horizontal="right" readingOrder="1"/>
    </xf>
    <xf numFmtId="164" fontId="9" fillId="7" borderId="10" xfId="0" applyNumberFormat="1" applyFont="1" applyFill="1" applyBorder="1" applyAlignment="1">
      <alignment horizontal="right" readingOrder="1"/>
    </xf>
    <xf numFmtId="164" fontId="9" fillId="13" borderId="10" xfId="0" applyNumberFormat="1" applyFont="1" applyFill="1" applyBorder="1" applyAlignment="1">
      <alignment horizontal="right" readingOrder="1"/>
    </xf>
    <xf numFmtId="164" fontId="9" fillId="11" borderId="20" xfId="0" applyNumberFormat="1" applyFont="1" applyFill="1" applyBorder="1" applyAlignment="1">
      <alignment horizontal="right" readingOrder="1"/>
    </xf>
    <xf numFmtId="0" fontId="9" fillId="7" borderId="19" xfId="0" applyFont="1" applyFill="1" applyBorder="1" applyAlignment="1">
      <alignment readingOrder="1"/>
    </xf>
    <xf numFmtId="164" fontId="9" fillId="7" borderId="20" xfId="0" applyNumberFormat="1" applyFont="1" applyFill="1" applyBorder="1" applyAlignment="1">
      <alignment horizontal="right" readingOrder="1"/>
    </xf>
    <xf numFmtId="0" fontId="9" fillId="13" borderId="14" xfId="0" applyFont="1" applyFill="1" applyBorder="1" applyAlignment="1">
      <alignment readingOrder="1"/>
    </xf>
    <xf numFmtId="43" fontId="17" fillId="12" borderId="15" xfId="4" applyFont="1" applyFill="1" applyBorder="1" applyAlignment="1"/>
    <xf numFmtId="43" fontId="17" fillId="12" borderId="0" xfId="4" applyFont="1" applyFill="1" applyBorder="1" applyAlignment="1"/>
    <xf numFmtId="164" fontId="16" fillId="11" borderId="10" xfId="0" applyNumberFormat="1" applyFont="1" applyFill="1" applyBorder="1" applyAlignment="1">
      <alignment horizontal="right" readingOrder="1"/>
    </xf>
    <xf numFmtId="0" fontId="9" fillId="11" borderId="15" xfId="0" applyFont="1" applyFill="1" applyBorder="1" applyAlignment="1">
      <alignment horizontal="right" readingOrder="1"/>
    </xf>
    <xf numFmtId="9" fontId="6" fillId="11" borderId="16" xfId="2" applyFont="1" applyFill="1" applyBorder="1" applyAlignment="1">
      <alignment horizontal="right" readingOrder="1"/>
    </xf>
    <xf numFmtId="9" fontId="6" fillId="11" borderId="18" xfId="2" applyFont="1" applyFill="1" applyBorder="1" applyAlignment="1">
      <alignment horizontal="right" readingOrder="1"/>
    </xf>
    <xf numFmtId="0" fontId="9" fillId="11" borderId="20" xfId="0" applyFont="1" applyFill="1" applyBorder="1" applyAlignment="1">
      <alignment horizontal="right" readingOrder="1"/>
    </xf>
    <xf numFmtId="9" fontId="6" fillId="11" borderId="21" xfId="2" applyFont="1" applyFill="1" applyBorder="1" applyAlignment="1">
      <alignment horizontal="right" readingOrder="1"/>
    </xf>
    <xf numFmtId="0" fontId="9" fillId="7" borderId="15" xfId="0" applyFont="1" applyFill="1" applyBorder="1" applyAlignment="1">
      <alignment horizontal="right" readingOrder="1"/>
    </xf>
    <xf numFmtId="9" fontId="6" fillId="7" borderId="16" xfId="2" applyFont="1" applyFill="1" applyBorder="1" applyAlignment="1">
      <alignment horizontal="right" readingOrder="1"/>
    </xf>
    <xf numFmtId="9" fontId="6" fillId="7" borderId="18" xfId="2" applyFont="1" applyFill="1" applyBorder="1" applyAlignment="1">
      <alignment horizontal="right" readingOrder="1"/>
    </xf>
    <xf numFmtId="0" fontId="9" fillId="7" borderId="20" xfId="0" applyFont="1" applyFill="1" applyBorder="1" applyAlignment="1">
      <alignment horizontal="right" readingOrder="1"/>
    </xf>
    <xf numFmtId="9" fontId="6" fillId="7" borderId="21" xfId="2" applyFont="1" applyFill="1" applyBorder="1" applyAlignment="1">
      <alignment horizontal="right" readingOrder="1"/>
    </xf>
    <xf numFmtId="164" fontId="9" fillId="9" borderId="15" xfId="0" applyNumberFormat="1" applyFont="1" applyFill="1" applyBorder="1" applyAlignment="1">
      <alignment horizontal="right" readingOrder="1"/>
    </xf>
    <xf numFmtId="9" fontId="5" fillId="8" borderId="16" xfId="0" applyNumberFormat="1" applyFont="1" applyFill="1" applyBorder="1"/>
    <xf numFmtId="164" fontId="19" fillId="5" borderId="10" xfId="3" applyNumberFormat="1" applyFont="1" applyFill="1" applyBorder="1"/>
    <xf numFmtId="0" fontId="17" fillId="5" borderId="15" xfId="3" applyFont="1" applyFill="1" applyBorder="1" applyAlignment="1">
      <alignment horizontal="right"/>
    </xf>
    <xf numFmtId="9" fontId="9" fillId="10" borderId="15" xfId="2" applyFont="1" applyFill="1" applyBorder="1" applyAlignment="1">
      <alignment horizontal="center" readingOrder="1"/>
    </xf>
    <xf numFmtId="9" fontId="9" fillId="10" borderId="0" xfId="2" applyFont="1" applyFill="1" applyBorder="1" applyAlignment="1">
      <alignment horizontal="center" readingOrder="1"/>
    </xf>
    <xf numFmtId="9" fontId="9" fillId="10" borderId="20" xfId="2" applyFont="1" applyFill="1" applyBorder="1" applyAlignment="1">
      <alignment horizontal="center" readingOrder="1"/>
    </xf>
    <xf numFmtId="43" fontId="19" fillId="5" borderId="10" xfId="3" applyNumberFormat="1" applyFont="1" applyFill="1" applyBorder="1"/>
    <xf numFmtId="43" fontId="5" fillId="0" borderId="0" xfId="0" applyNumberFormat="1" applyFont="1"/>
    <xf numFmtId="0" fontId="9" fillId="15" borderId="14" xfId="0" applyFont="1" applyFill="1" applyBorder="1" applyAlignment="1">
      <alignment readingOrder="1"/>
    </xf>
    <xf numFmtId="164" fontId="9" fillId="16" borderId="15" xfId="0" applyNumberFormat="1" applyFont="1" applyFill="1" applyBorder="1" applyAlignment="1">
      <alignment horizontal="right" readingOrder="1"/>
    </xf>
    <xf numFmtId="0" fontId="17" fillId="17" borderId="15" xfId="0" applyFont="1" applyFill="1" applyBorder="1"/>
    <xf numFmtId="0" fontId="5" fillId="17" borderId="15" xfId="0" applyFont="1" applyFill="1" applyBorder="1"/>
    <xf numFmtId="164" fontId="16" fillId="16" borderId="10" xfId="0" applyNumberFormat="1" applyFont="1" applyFill="1" applyBorder="1" applyAlignment="1">
      <alignment horizontal="right" readingOrder="1"/>
    </xf>
    <xf numFmtId="9" fontId="5" fillId="17" borderId="15" xfId="2" applyFont="1" applyFill="1" applyBorder="1" applyAlignment="1"/>
    <xf numFmtId="43" fontId="17" fillId="17" borderId="15" xfId="4" applyFont="1" applyFill="1" applyBorder="1" applyAlignment="1"/>
    <xf numFmtId="9" fontId="5" fillId="17" borderId="16" xfId="0" applyNumberFormat="1" applyFont="1" applyFill="1" applyBorder="1"/>
    <xf numFmtId="0" fontId="9" fillId="15" borderId="17" xfId="0" applyFont="1" applyFill="1" applyBorder="1" applyAlignment="1">
      <alignment readingOrder="1"/>
    </xf>
    <xf numFmtId="164" fontId="9" fillId="16" borderId="0" xfId="0" applyNumberFormat="1" applyFont="1" applyFill="1" applyAlignment="1">
      <alignment horizontal="right" readingOrder="1"/>
    </xf>
    <xf numFmtId="0" fontId="17" fillId="17" borderId="0" xfId="0" applyFont="1" applyFill="1"/>
    <xf numFmtId="0" fontId="5" fillId="17" borderId="0" xfId="0" applyFont="1" applyFill="1"/>
    <xf numFmtId="0" fontId="5" fillId="17" borderId="0" xfId="0" applyFont="1" applyFill="1" applyAlignment="1">
      <alignment horizontal="right"/>
    </xf>
    <xf numFmtId="168" fontId="5" fillId="17" borderId="0" xfId="4" applyNumberFormat="1" applyFont="1" applyFill="1" applyBorder="1" applyAlignment="1"/>
    <xf numFmtId="9" fontId="5" fillId="17" borderId="0" xfId="2" applyFont="1" applyFill="1" applyBorder="1" applyAlignment="1"/>
    <xf numFmtId="43" fontId="17" fillId="17" borderId="0" xfId="4" applyFont="1" applyFill="1" applyBorder="1" applyAlignment="1"/>
    <xf numFmtId="9" fontId="5" fillId="17" borderId="18" xfId="0" applyNumberFormat="1" applyFont="1" applyFill="1" applyBorder="1"/>
    <xf numFmtId="0" fontId="9" fillId="15" borderId="19" xfId="0" applyFont="1" applyFill="1" applyBorder="1" applyAlignment="1">
      <alignment readingOrder="1"/>
    </xf>
    <xf numFmtId="164" fontId="9" fillId="16" borderId="20" xfId="0" applyNumberFormat="1" applyFont="1" applyFill="1" applyBorder="1" applyAlignment="1">
      <alignment horizontal="right" readingOrder="1"/>
    </xf>
    <xf numFmtId="164" fontId="9" fillId="15" borderId="0" xfId="0" applyNumberFormat="1" applyFont="1" applyFill="1" applyAlignment="1">
      <alignment horizontal="right" readingOrder="1"/>
    </xf>
    <xf numFmtId="0" fontId="9" fillId="16" borderId="0" xfId="0" applyFont="1" applyFill="1" applyAlignment="1">
      <alignment readingOrder="1"/>
    </xf>
    <xf numFmtId="0" fontId="17" fillId="17" borderId="14" xfId="0" applyFont="1" applyFill="1" applyBorder="1"/>
    <xf numFmtId="0" fontId="9" fillId="16" borderId="15" xfId="0" applyFont="1" applyFill="1" applyBorder="1" applyAlignment="1">
      <alignment horizontal="right" readingOrder="1"/>
    </xf>
    <xf numFmtId="9" fontId="6" fillId="16" borderId="16" xfId="2" applyFont="1" applyFill="1" applyBorder="1" applyAlignment="1">
      <alignment horizontal="right" readingOrder="1"/>
    </xf>
    <xf numFmtId="0" fontId="17" fillId="17" borderId="17" xfId="0" applyFont="1" applyFill="1" applyBorder="1"/>
    <xf numFmtId="0" fontId="9" fillId="16" borderId="0" xfId="0" applyFont="1" applyFill="1" applyAlignment="1">
      <alignment horizontal="right" readingOrder="1"/>
    </xf>
    <xf numFmtId="9" fontId="6" fillId="16" borderId="18" xfId="2" applyFont="1" applyFill="1" applyBorder="1" applyAlignment="1">
      <alignment horizontal="right" readingOrder="1"/>
    </xf>
    <xf numFmtId="0" fontId="17" fillId="17" borderId="19" xfId="0" applyFont="1" applyFill="1" applyBorder="1"/>
    <xf numFmtId="0" fontId="5" fillId="17" borderId="20" xfId="0" applyFont="1" applyFill="1" applyBorder="1"/>
    <xf numFmtId="0" fontId="9" fillId="16" borderId="20" xfId="0" applyFont="1" applyFill="1" applyBorder="1" applyAlignment="1">
      <alignment horizontal="right" readingOrder="1"/>
    </xf>
    <xf numFmtId="9" fontId="6" fillId="16" borderId="21" xfId="2" applyFont="1" applyFill="1" applyBorder="1" applyAlignment="1">
      <alignment horizontal="right" readingOrder="1"/>
    </xf>
    <xf numFmtId="0" fontId="14" fillId="17" borderId="0" xfId="3" applyFont="1" applyFill="1"/>
    <xf numFmtId="0" fontId="5" fillId="17" borderId="18" xfId="0" applyFont="1" applyFill="1" applyBorder="1"/>
    <xf numFmtId="164" fontId="9" fillId="15" borderId="20" xfId="0" applyNumberFormat="1" applyFont="1" applyFill="1" applyBorder="1" applyAlignment="1">
      <alignment horizontal="right" readingOrder="1"/>
    </xf>
    <xf numFmtId="0" fontId="9" fillId="16" borderId="20" xfId="0" applyFont="1" applyFill="1" applyBorder="1" applyAlignment="1">
      <alignment readingOrder="1"/>
    </xf>
    <xf numFmtId="9" fontId="9" fillId="10" borderId="15" xfId="2" applyFont="1" applyFill="1" applyBorder="1" applyAlignment="1">
      <alignment horizontal="right" readingOrder="1"/>
    </xf>
    <xf numFmtId="9" fontId="9" fillId="10" borderId="0" xfId="2" applyFont="1" applyFill="1" applyBorder="1" applyAlignment="1">
      <alignment horizontal="right" readingOrder="1"/>
    </xf>
    <xf numFmtId="9" fontId="9" fillId="10" borderId="20" xfId="2" applyFont="1" applyFill="1" applyBorder="1" applyAlignment="1">
      <alignment horizontal="right" readingOrder="1"/>
    </xf>
    <xf numFmtId="164" fontId="9" fillId="14" borderId="15" xfId="0" applyNumberFormat="1" applyFont="1" applyFill="1" applyBorder="1" applyAlignment="1">
      <alignment horizontal="right" readingOrder="1"/>
    </xf>
    <xf numFmtId="9" fontId="5" fillId="5" borderId="16" xfId="0" applyNumberFormat="1" applyFont="1" applyFill="1" applyBorder="1"/>
    <xf numFmtId="164" fontId="9" fillId="14" borderId="0" xfId="0" applyNumberFormat="1" applyFont="1" applyFill="1" applyAlignment="1">
      <alignment horizontal="right" readingOrder="1"/>
    </xf>
    <xf numFmtId="9" fontId="5" fillId="5" borderId="18" xfId="0" applyNumberFormat="1" applyFont="1" applyFill="1" applyBorder="1"/>
    <xf numFmtId="0" fontId="14" fillId="8" borderId="0" xfId="0" applyFont="1" applyFill="1" applyAlignment="1">
      <alignment horizontal="right"/>
    </xf>
    <xf numFmtId="9" fontId="14" fillId="8" borderId="18" xfId="0" applyNumberFormat="1" applyFont="1" applyFill="1" applyBorder="1"/>
    <xf numFmtId="164" fontId="20" fillId="9" borderId="20" xfId="0" applyNumberFormat="1" applyFont="1" applyFill="1" applyBorder="1" applyAlignment="1">
      <alignment horizontal="right" readingOrder="1"/>
    </xf>
    <xf numFmtId="0" fontId="14" fillId="12" borderId="0" xfId="0" applyFont="1" applyFill="1" applyAlignment="1">
      <alignment horizontal="right"/>
    </xf>
    <xf numFmtId="9" fontId="14" fillId="12" borderId="18" xfId="0" applyNumberFormat="1" applyFont="1" applyFill="1" applyBorder="1"/>
    <xf numFmtId="0" fontId="14" fillId="12" borderId="20" xfId="0" applyFont="1" applyFill="1" applyBorder="1" applyAlignment="1">
      <alignment horizontal="right"/>
    </xf>
    <xf numFmtId="0" fontId="14" fillId="17" borderId="0" xfId="0" applyFont="1" applyFill="1" applyAlignment="1">
      <alignment horizontal="right"/>
    </xf>
    <xf numFmtId="9" fontId="14" fillId="17" borderId="18" xfId="0" applyNumberFormat="1" applyFont="1" applyFill="1" applyBorder="1"/>
    <xf numFmtId="0" fontId="14" fillId="17" borderId="20" xfId="0" applyFont="1" applyFill="1" applyBorder="1" applyAlignment="1">
      <alignment horizontal="right"/>
    </xf>
    <xf numFmtId="0" fontId="3" fillId="0" borderId="0" xfId="3" applyFont="1"/>
    <xf numFmtId="0" fontId="11" fillId="18" borderId="2" xfId="3" applyFont="1" applyFill="1" applyBorder="1"/>
    <xf numFmtId="0" fontId="11" fillId="18" borderId="4" xfId="3" applyFont="1" applyFill="1" applyBorder="1"/>
    <xf numFmtId="0" fontId="11" fillId="18" borderId="5" xfId="3" applyFont="1" applyFill="1" applyBorder="1"/>
    <xf numFmtId="0" fontId="11" fillId="18" borderId="6" xfId="3" applyFont="1" applyFill="1" applyBorder="1"/>
    <xf numFmtId="0" fontId="11" fillId="18" borderId="7" xfId="3" applyFont="1" applyFill="1" applyBorder="1"/>
    <xf numFmtId="0" fontId="11" fillId="18" borderId="9" xfId="3" applyFont="1" applyFill="1" applyBorder="1"/>
    <xf numFmtId="0" fontId="2" fillId="0" borderId="0" xfId="3" applyFont="1"/>
    <xf numFmtId="0" fontId="17" fillId="0" borderId="0" xfId="0" applyFont="1"/>
    <xf numFmtId="169" fontId="9" fillId="7" borderId="15" xfId="4" applyNumberFormat="1" applyFont="1" applyFill="1" applyBorder="1" applyAlignment="1">
      <alignment horizontal="right" readingOrder="1"/>
    </xf>
    <xf numFmtId="169" fontId="9" fillId="9" borderId="0" xfId="4" applyNumberFormat="1" applyFont="1" applyFill="1" applyBorder="1" applyAlignment="1">
      <alignment horizontal="right" readingOrder="1"/>
    </xf>
    <xf numFmtId="169" fontId="9" fillId="9" borderId="20" xfId="4" applyNumberFormat="1" applyFont="1" applyFill="1" applyBorder="1" applyAlignment="1">
      <alignment horizontal="right" readingOrder="1"/>
    </xf>
    <xf numFmtId="0" fontId="1" fillId="0" borderId="0" xfId="3" applyFont="1"/>
    <xf numFmtId="43" fontId="14" fillId="5" borderId="0" xfId="3" applyNumberFormat="1" applyFont="1" applyFill="1"/>
    <xf numFmtId="43" fontId="17" fillId="5" borderId="0" xfId="4" applyFont="1" applyFill="1" applyBorder="1" applyAlignment="1">
      <alignment horizontal="right"/>
    </xf>
    <xf numFmtId="0" fontId="9" fillId="14" borderId="17" xfId="0" applyFont="1" applyFill="1" applyBorder="1" applyAlignment="1">
      <alignment readingOrder="1"/>
    </xf>
    <xf numFmtId="0" fontId="11" fillId="5" borderId="23" xfId="0" applyFont="1" applyFill="1" applyBorder="1"/>
    <xf numFmtId="164" fontId="9" fillId="16" borderId="10" xfId="0" applyNumberFormat="1" applyFont="1" applyFill="1" applyBorder="1" applyAlignment="1">
      <alignment horizontal="right" readingOrder="1"/>
    </xf>
    <xf numFmtId="169" fontId="13" fillId="9" borderId="10" xfId="4" applyNumberFormat="1" applyFont="1" applyFill="1" applyBorder="1" applyAlignment="1">
      <alignment horizontal="right" readingOrder="1"/>
    </xf>
    <xf numFmtId="164" fontId="13" fillId="7" borderId="10" xfId="0" applyNumberFormat="1" applyFont="1" applyFill="1" applyBorder="1" applyAlignment="1">
      <alignment horizontal="right" readingOrder="1"/>
    </xf>
    <xf numFmtId="164" fontId="13" fillId="13" borderId="10" xfId="0" applyNumberFormat="1" applyFont="1" applyFill="1" applyBorder="1" applyAlignment="1">
      <alignment horizontal="right" readingOrder="1"/>
    </xf>
    <xf numFmtId="43" fontId="21" fillId="5" borderId="10" xfId="4" applyFont="1" applyFill="1" applyBorder="1" applyAlignment="1"/>
    <xf numFmtId="164" fontId="13" fillId="16" borderId="10" xfId="0" applyNumberFormat="1" applyFont="1" applyFill="1" applyBorder="1" applyAlignment="1">
      <alignment horizontal="right" readingOrder="1"/>
    </xf>
    <xf numFmtId="164" fontId="9" fillId="7" borderId="14" xfId="0" applyNumberFormat="1" applyFont="1" applyFill="1" applyBorder="1" applyAlignment="1">
      <alignment horizontal="right" readingOrder="1"/>
    </xf>
    <xf numFmtId="0" fontId="5" fillId="8" borderId="16" xfId="0" applyFont="1" applyFill="1" applyBorder="1"/>
    <xf numFmtId="164" fontId="9" fillId="9" borderId="17" xfId="0" applyNumberFormat="1" applyFont="1" applyFill="1" applyBorder="1" applyAlignment="1">
      <alignment horizontal="right" readingOrder="1"/>
    </xf>
    <xf numFmtId="164" fontId="9" fillId="7" borderId="17" xfId="0" applyNumberFormat="1" applyFont="1" applyFill="1" applyBorder="1" applyAlignment="1">
      <alignment horizontal="right" readingOrder="1"/>
    </xf>
    <xf numFmtId="164" fontId="13" fillId="9" borderId="17" xfId="0" applyNumberFormat="1" applyFont="1" applyFill="1" applyBorder="1" applyAlignment="1">
      <alignment horizontal="right" readingOrder="1"/>
    </xf>
    <xf numFmtId="164" fontId="13" fillId="9" borderId="19" xfId="0" applyNumberFormat="1" applyFont="1" applyFill="1" applyBorder="1" applyAlignment="1">
      <alignment horizontal="right" readingOrder="1"/>
    </xf>
    <xf numFmtId="0" fontId="5" fillId="8" borderId="21" xfId="0" applyFont="1" applyFill="1" applyBorder="1"/>
    <xf numFmtId="0" fontId="14" fillId="5" borderId="14" xfId="3" applyFont="1" applyFill="1" applyBorder="1"/>
    <xf numFmtId="0" fontId="14" fillId="5" borderId="16" xfId="3" applyFont="1" applyFill="1" applyBorder="1"/>
    <xf numFmtId="43" fontId="17" fillId="5" borderId="17" xfId="4" applyFont="1" applyFill="1" applyBorder="1" applyAlignment="1"/>
    <xf numFmtId="164" fontId="13" fillId="14" borderId="17" xfId="0" applyNumberFormat="1" applyFont="1" applyFill="1" applyBorder="1" applyAlignment="1">
      <alignment horizontal="right" readingOrder="1"/>
    </xf>
    <xf numFmtId="169" fontId="13" fillId="14" borderId="10" xfId="4" applyNumberFormat="1" applyFont="1" applyFill="1" applyBorder="1" applyAlignment="1">
      <alignment horizontal="right" readingOrder="1"/>
    </xf>
    <xf numFmtId="164" fontId="13" fillId="14" borderId="19" xfId="0" applyNumberFormat="1" applyFont="1" applyFill="1" applyBorder="1" applyAlignment="1">
      <alignment horizontal="right" readingOrder="1"/>
    </xf>
    <xf numFmtId="164" fontId="13" fillId="7" borderId="17" xfId="0" applyNumberFormat="1" applyFont="1" applyFill="1" applyBorder="1" applyAlignment="1">
      <alignment horizontal="right" readingOrder="1"/>
    </xf>
    <xf numFmtId="164" fontId="13" fillId="7" borderId="19" xfId="0" applyNumberFormat="1" applyFont="1" applyFill="1" applyBorder="1" applyAlignment="1">
      <alignment horizontal="right" readingOrder="1"/>
    </xf>
    <xf numFmtId="164" fontId="9" fillId="11" borderId="14" xfId="0" applyNumberFormat="1" applyFont="1" applyFill="1" applyBorder="1" applyAlignment="1">
      <alignment horizontal="right" readingOrder="1"/>
    </xf>
    <xf numFmtId="0" fontId="5" fillId="12" borderId="16" xfId="0" applyFont="1" applyFill="1" applyBorder="1"/>
    <xf numFmtId="164" fontId="9" fillId="11" borderId="17" xfId="0" applyNumberFormat="1" applyFont="1" applyFill="1" applyBorder="1" applyAlignment="1">
      <alignment horizontal="right" readingOrder="1"/>
    </xf>
    <xf numFmtId="164" fontId="9" fillId="13" borderId="17" xfId="0" applyNumberFormat="1" applyFont="1" applyFill="1" applyBorder="1" applyAlignment="1">
      <alignment horizontal="right" readingOrder="1"/>
    </xf>
    <xf numFmtId="164" fontId="13" fillId="13" borderId="17" xfId="0" applyNumberFormat="1" applyFont="1" applyFill="1" applyBorder="1" applyAlignment="1">
      <alignment horizontal="right" readingOrder="1"/>
    </xf>
    <xf numFmtId="164" fontId="13" fillId="13" borderId="19" xfId="0" applyNumberFormat="1" applyFont="1" applyFill="1" applyBorder="1" applyAlignment="1">
      <alignment horizontal="right" readingOrder="1"/>
    </xf>
    <xf numFmtId="164" fontId="9" fillId="14" borderId="17" xfId="0" applyNumberFormat="1" applyFont="1" applyFill="1" applyBorder="1" applyAlignment="1">
      <alignment horizontal="right" readingOrder="1"/>
    </xf>
    <xf numFmtId="43" fontId="17" fillId="5" borderId="17" xfId="4" applyFont="1" applyFill="1" applyBorder="1" applyAlignment="1">
      <alignment horizontal="right"/>
    </xf>
    <xf numFmtId="43" fontId="21" fillId="5" borderId="17" xfId="4" applyFont="1" applyFill="1" applyBorder="1" applyAlignment="1">
      <alignment horizontal="right"/>
    </xf>
    <xf numFmtId="0" fontId="17" fillId="12" borderId="0" xfId="0" applyFont="1" applyFill="1"/>
    <xf numFmtId="0" fontId="17" fillId="12" borderId="20" xfId="0" applyFont="1" applyFill="1" applyBorder="1"/>
    <xf numFmtId="164" fontId="9" fillId="16" borderId="14" xfId="0" applyNumberFormat="1" applyFont="1" applyFill="1" applyBorder="1" applyAlignment="1">
      <alignment horizontal="right" readingOrder="1"/>
    </xf>
    <xf numFmtId="0" fontId="5" fillId="17" borderId="16" xfId="0" applyFont="1" applyFill="1" applyBorder="1"/>
    <xf numFmtId="164" fontId="9" fillId="16" borderId="17" xfId="0" applyNumberFormat="1" applyFont="1" applyFill="1" applyBorder="1" applyAlignment="1">
      <alignment horizontal="right" readingOrder="1"/>
    </xf>
    <xf numFmtId="164" fontId="13" fillId="16" borderId="17" xfId="0" applyNumberFormat="1" applyFont="1" applyFill="1" applyBorder="1" applyAlignment="1">
      <alignment horizontal="right" readingOrder="1"/>
    </xf>
    <xf numFmtId="164" fontId="13" fillId="16" borderId="19" xfId="0" applyNumberFormat="1" applyFont="1" applyFill="1" applyBorder="1" applyAlignment="1">
      <alignment horizontal="right" readingOrder="1"/>
    </xf>
    <xf numFmtId="0" fontId="17" fillId="17" borderId="20" xfId="0" applyFont="1" applyFill="1" applyBorder="1"/>
    <xf numFmtId="0" fontId="5" fillId="17" borderId="21" xfId="0" applyFont="1" applyFill="1" applyBorder="1"/>
    <xf numFmtId="168" fontId="14" fillId="8" borderId="18" xfId="4" applyNumberFormat="1" applyFont="1" applyFill="1" applyBorder="1" applyAlignment="1"/>
    <xf numFmtId="168" fontId="14" fillId="12" borderId="18" xfId="4" applyNumberFormat="1" applyFont="1" applyFill="1" applyBorder="1" applyAlignment="1"/>
    <xf numFmtId="0" fontId="25" fillId="0" borderId="0" xfId="0" applyFont="1" applyAlignment="1">
      <alignment horizontal="center" vertical="top" wrapText="1" readingOrder="1"/>
    </xf>
    <xf numFmtId="0" fontId="0" fillId="0" borderId="11" xfId="0" applyBorder="1"/>
    <xf numFmtId="0" fontId="0" fillId="0" borderId="12" xfId="0" applyBorder="1"/>
    <xf numFmtId="0" fontId="0" fillId="4" borderId="12" xfId="1" applyNumberFormat="1" applyFont="1" applyFill="1" applyBorder="1" applyAlignment="1">
      <alignment horizontal="left"/>
    </xf>
    <xf numFmtId="0" fontId="0" fillId="0" borderId="13" xfId="0" applyBorder="1"/>
    <xf numFmtId="4" fontId="11" fillId="0" borderId="0" xfId="0" applyNumberFormat="1" applyFont="1"/>
    <xf numFmtId="3" fontId="11" fillId="0" borderId="10" xfId="0" applyNumberFormat="1" applyFont="1" applyBorder="1" applyAlignment="1">
      <alignment horizontal="center"/>
    </xf>
    <xf numFmtId="0" fontId="0" fillId="0" borderId="8" xfId="0" applyBorder="1"/>
    <xf numFmtId="9" fontId="5" fillId="0" borderId="0" xfId="2" applyFont="1"/>
    <xf numFmtId="0" fontId="9" fillId="0" borderId="0" xfId="0" applyFont="1" applyAlignment="1">
      <alignment readingOrder="1"/>
    </xf>
    <xf numFmtId="164" fontId="9" fillId="0" borderId="0" xfId="0" applyNumberFormat="1" applyFont="1" applyAlignment="1">
      <alignment horizontal="right" readingOrder="1"/>
    </xf>
    <xf numFmtId="169" fontId="9" fillId="0" borderId="0" xfId="4" applyNumberFormat="1" applyFont="1" applyFill="1" applyBorder="1" applyAlignment="1">
      <alignment horizontal="right" readingOrder="1"/>
    </xf>
    <xf numFmtId="164" fontId="20" fillId="0" borderId="0" xfId="0" applyNumberFormat="1" applyFont="1" applyAlignment="1">
      <alignment horizontal="right" readingOrder="1"/>
    </xf>
    <xf numFmtId="9" fontId="14" fillId="0" borderId="0" xfId="0" applyNumberFormat="1" applyFont="1"/>
    <xf numFmtId="0" fontId="14" fillId="5" borderId="24" xfId="3" applyFont="1" applyFill="1" applyBorder="1"/>
    <xf numFmtId="43" fontId="17" fillId="5" borderId="10" xfId="4" applyFont="1" applyFill="1" applyBorder="1" applyAlignment="1"/>
    <xf numFmtId="0" fontId="17" fillId="5" borderId="14" xfId="3" applyFont="1" applyFill="1" applyBorder="1"/>
    <xf numFmtId="0" fontId="17" fillId="5" borderId="15" xfId="3" applyFont="1" applyFill="1" applyBorder="1"/>
    <xf numFmtId="164" fontId="16" fillId="7" borderId="0" xfId="0" applyNumberFormat="1" applyFont="1" applyFill="1" applyAlignment="1">
      <alignment horizontal="right" readingOrder="1"/>
    </xf>
    <xf numFmtId="164" fontId="16" fillId="11" borderId="0" xfId="0" applyNumberFormat="1" applyFont="1" applyFill="1" applyAlignment="1">
      <alignment horizontal="right" readingOrder="1"/>
    </xf>
    <xf numFmtId="43" fontId="17" fillId="12" borderId="25" xfId="4" applyFont="1" applyFill="1" applyBorder="1" applyAlignment="1"/>
    <xf numFmtId="0" fontId="7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8" fillId="0" borderId="0" xfId="0" applyFont="1" applyAlignment="1">
      <alignment vertical="top" wrapText="1" readingOrder="1"/>
    </xf>
    <xf numFmtId="0" fontId="7" fillId="2" borderId="0" xfId="0" applyFont="1" applyFill="1" applyAlignment="1">
      <alignment vertical="top" wrapText="1" readingOrder="1"/>
    </xf>
    <xf numFmtId="0" fontId="9" fillId="2" borderId="0" xfId="0" applyFont="1" applyFill="1" applyAlignment="1">
      <alignment vertical="top" wrapText="1" readingOrder="1"/>
    </xf>
    <xf numFmtId="164" fontId="9" fillId="2" borderId="0" xfId="0" applyNumberFormat="1" applyFont="1" applyFill="1" applyAlignment="1">
      <alignment horizontal="right" vertical="top" wrapText="1" readingOrder="1"/>
    </xf>
    <xf numFmtId="165" fontId="9" fillId="2" borderId="0" xfId="0" applyNumberFormat="1" applyFont="1" applyFill="1" applyAlignment="1">
      <alignment horizontal="right" vertical="top" wrapText="1" readingOrder="1"/>
    </xf>
    <xf numFmtId="166" fontId="9" fillId="2" borderId="0" xfId="0" applyNumberFormat="1" applyFont="1" applyFill="1" applyAlignment="1">
      <alignment horizontal="right" vertical="top" wrapText="1" readingOrder="1"/>
    </xf>
    <xf numFmtId="0" fontId="7" fillId="3" borderId="0" xfId="0" applyFont="1" applyFill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164" fontId="9" fillId="3" borderId="0" xfId="0" applyNumberFormat="1" applyFont="1" applyFill="1" applyAlignment="1">
      <alignment horizontal="right" vertical="top" wrapText="1" readingOrder="1"/>
    </xf>
    <xf numFmtId="165" fontId="9" fillId="3" borderId="0" xfId="0" applyNumberFormat="1" applyFont="1" applyFill="1" applyAlignment="1">
      <alignment horizontal="right" vertical="top" wrapText="1" readingOrder="1"/>
    </xf>
    <xf numFmtId="166" fontId="9" fillId="3" borderId="0" xfId="0" applyNumberFormat="1" applyFont="1" applyFill="1" applyAlignment="1">
      <alignment horizontal="right" vertical="top" wrapText="1" readingOrder="1"/>
    </xf>
    <xf numFmtId="164" fontId="9" fillId="2" borderId="1" xfId="0" applyNumberFormat="1" applyFont="1" applyFill="1" applyBorder="1" applyAlignment="1">
      <alignment horizontal="right" vertical="top" wrapText="1" readingOrder="1"/>
    </xf>
    <xf numFmtId="165" fontId="9" fillId="2" borderId="1" xfId="0" applyNumberFormat="1" applyFont="1" applyFill="1" applyBorder="1" applyAlignment="1">
      <alignment horizontal="right" vertical="top" wrapText="1" readingOrder="1"/>
    </xf>
    <xf numFmtId="166" fontId="9" fillId="2" borderId="1" xfId="0" applyNumberFormat="1" applyFont="1" applyFill="1" applyBorder="1" applyAlignment="1">
      <alignment horizontal="right" vertical="top" wrapText="1" readingOrder="1"/>
    </xf>
    <xf numFmtId="0" fontId="8" fillId="0" borderId="1" xfId="0" applyFont="1" applyBorder="1" applyAlignment="1">
      <alignment vertical="top" wrapText="1" readingOrder="1"/>
    </xf>
    <xf numFmtId="0" fontId="8" fillId="2" borderId="1" xfId="0" applyFont="1" applyFill="1" applyBorder="1" applyAlignment="1">
      <alignment vertical="top" wrapText="1" readingOrder="1"/>
    </xf>
    <xf numFmtId="166" fontId="9" fillId="2" borderId="1" xfId="0" applyNumberFormat="1" applyFont="1" applyFill="1" applyBorder="1" applyAlignment="1">
      <alignment vertical="top" wrapText="1" readingOrder="1"/>
    </xf>
    <xf numFmtId="39" fontId="5" fillId="0" borderId="0" xfId="0" applyNumberFormat="1" applyFont="1"/>
    <xf numFmtId="3" fontId="11" fillId="0" borderId="0" xfId="0" applyNumberFormat="1" applyFont="1"/>
    <xf numFmtId="167" fontId="9" fillId="13" borderId="8" xfId="0" applyNumberFormat="1" applyFont="1" applyFill="1" applyBorder="1" applyAlignment="1">
      <alignment horizontal="right" wrapText="1" readingOrder="1"/>
    </xf>
    <xf numFmtId="0" fontId="11" fillId="8" borderId="19" xfId="0" applyFont="1" applyFill="1" applyBorder="1"/>
    <xf numFmtId="0" fontId="4" fillId="19" borderId="0" xfId="3" applyFill="1"/>
    <xf numFmtId="43" fontId="5" fillId="0" borderId="0" xfId="4" applyFont="1" applyFill="1" applyBorder="1"/>
    <xf numFmtId="0" fontId="14" fillId="19" borderId="26" xfId="0" applyFont="1" applyFill="1" applyBorder="1"/>
    <xf numFmtId="168" fontId="14" fillId="17" borderId="18" xfId="4" applyNumberFormat="1" applyFont="1" applyFill="1" applyBorder="1" applyAlignment="1"/>
    <xf numFmtId="0" fontId="14" fillId="5" borderId="0" xfId="0" applyFont="1" applyFill="1" applyAlignment="1">
      <alignment horizontal="right"/>
    </xf>
    <xf numFmtId="9" fontId="14" fillId="5" borderId="18" xfId="0" applyNumberFormat="1" applyFont="1" applyFill="1" applyBorder="1"/>
    <xf numFmtId="168" fontId="14" fillId="5" borderId="18" xfId="4" applyNumberFormat="1" applyFont="1" applyFill="1" applyBorder="1" applyAlignment="1"/>
    <xf numFmtId="0" fontId="14" fillId="5" borderId="20" xfId="0" applyFont="1" applyFill="1" applyBorder="1" applyAlignment="1">
      <alignment horizontal="right"/>
    </xf>
    <xf numFmtId="0" fontId="9" fillId="10" borderId="14" xfId="0" applyFont="1" applyFill="1" applyBorder="1" applyAlignment="1">
      <alignment horizontal="right" readingOrder="1"/>
    </xf>
    <xf numFmtId="0" fontId="9" fillId="10" borderId="17" xfId="0" applyFont="1" applyFill="1" applyBorder="1" applyAlignment="1">
      <alignment horizontal="right" readingOrder="1"/>
    </xf>
    <xf numFmtId="0" fontId="9" fillId="10" borderId="19" xfId="0" applyFont="1" applyFill="1" applyBorder="1" applyAlignment="1">
      <alignment horizontal="right" readingOrder="1"/>
    </xf>
    <xf numFmtId="0" fontId="14" fillId="5" borderId="20" xfId="3" applyFont="1" applyFill="1" applyBorder="1" applyAlignment="1">
      <alignment horizontal="right"/>
    </xf>
    <xf numFmtId="0" fontId="20" fillId="0" borderId="0" xfId="0" applyFont="1"/>
    <xf numFmtId="3" fontId="20" fillId="0" borderId="10" xfId="0" applyNumberFormat="1" applyFont="1" applyBorder="1" applyAlignment="1">
      <alignment horizontal="center"/>
    </xf>
    <xf numFmtId="0" fontId="14" fillId="4" borderId="0" xfId="0" applyFont="1" applyFill="1"/>
    <xf numFmtId="0" fontId="20" fillId="4" borderId="0" xfId="0" applyFont="1" applyFill="1"/>
    <xf numFmtId="167" fontId="9" fillId="13" borderId="0" xfId="0" applyNumberFormat="1" applyFont="1" applyFill="1" applyAlignment="1">
      <alignment horizontal="right" wrapText="1" readingOrder="1"/>
    </xf>
    <xf numFmtId="0" fontId="26" fillId="0" borderId="0" xfId="0" applyFont="1"/>
    <xf numFmtId="0" fontId="30" fillId="0" borderId="1" xfId="0" applyFont="1" applyBorder="1" applyAlignment="1">
      <alignment vertical="top" wrapText="1" readingOrder="1"/>
    </xf>
    <xf numFmtId="0" fontId="30" fillId="0" borderId="1" xfId="0" applyFont="1" applyBorder="1" applyAlignment="1">
      <alignment horizontal="center" vertical="top" wrapText="1" readingOrder="1"/>
    </xf>
    <xf numFmtId="0" fontId="32" fillId="0" borderId="0" xfId="0" applyFont="1" applyAlignment="1">
      <alignment vertical="top" wrapText="1" readingOrder="1"/>
    </xf>
    <xf numFmtId="0" fontId="33" fillId="0" borderId="0" xfId="0" applyFont="1" applyAlignment="1">
      <alignment horizontal="center" vertical="top" wrapText="1" readingOrder="1"/>
    </xf>
    <xf numFmtId="0" fontId="30" fillId="2" borderId="0" xfId="0" applyFont="1" applyFill="1" applyAlignment="1">
      <alignment vertical="top" wrapText="1" readingOrder="1"/>
    </xf>
    <xf numFmtId="0" fontId="34" fillId="2" borderId="0" xfId="0" applyFont="1" applyFill="1" applyAlignment="1">
      <alignment vertical="top" wrapText="1" readingOrder="1"/>
    </xf>
    <xf numFmtId="164" fontId="34" fillId="2" borderId="0" xfId="0" applyNumberFormat="1" applyFont="1" applyFill="1" applyAlignment="1">
      <alignment horizontal="right" vertical="top" wrapText="1" readingOrder="1"/>
    </xf>
    <xf numFmtId="165" fontId="34" fillId="2" borderId="0" xfId="0" applyNumberFormat="1" applyFont="1" applyFill="1" applyAlignment="1">
      <alignment horizontal="right" vertical="top" wrapText="1" readingOrder="1"/>
    </xf>
    <xf numFmtId="166" fontId="34" fillId="2" borderId="0" xfId="0" applyNumberFormat="1" applyFont="1" applyFill="1" applyAlignment="1">
      <alignment horizontal="right" vertical="top" wrapText="1" readingOrder="1"/>
    </xf>
    <xf numFmtId="0" fontId="30" fillId="3" borderId="0" xfId="0" applyFont="1" applyFill="1" applyAlignment="1">
      <alignment vertical="top" wrapText="1" readingOrder="1"/>
    </xf>
    <xf numFmtId="0" fontId="34" fillId="3" borderId="0" xfId="0" applyFont="1" applyFill="1" applyAlignment="1">
      <alignment vertical="top" wrapText="1" readingOrder="1"/>
    </xf>
    <xf numFmtId="164" fontId="34" fillId="3" borderId="0" xfId="0" applyNumberFormat="1" applyFont="1" applyFill="1" applyAlignment="1">
      <alignment horizontal="right" vertical="top" wrapText="1" readingOrder="1"/>
    </xf>
    <xf numFmtId="165" fontId="34" fillId="3" borderId="0" xfId="0" applyNumberFormat="1" applyFont="1" applyFill="1" applyAlignment="1">
      <alignment horizontal="right" vertical="top" wrapText="1" readingOrder="1"/>
    </xf>
    <xf numFmtId="166" fontId="34" fillId="3" borderId="0" xfId="0" applyNumberFormat="1" applyFont="1" applyFill="1" applyAlignment="1">
      <alignment horizontal="right" vertical="top" wrapText="1" readingOrder="1"/>
    </xf>
    <xf numFmtId="164" fontId="34" fillId="2" borderId="1" xfId="0" applyNumberFormat="1" applyFont="1" applyFill="1" applyBorder="1" applyAlignment="1">
      <alignment horizontal="right" vertical="top" wrapText="1" readingOrder="1"/>
    </xf>
    <xf numFmtId="165" fontId="34" fillId="2" borderId="1" xfId="0" applyNumberFormat="1" applyFont="1" applyFill="1" applyBorder="1" applyAlignment="1">
      <alignment horizontal="right" vertical="top" wrapText="1" readingOrder="1"/>
    </xf>
    <xf numFmtId="166" fontId="34" fillId="2" borderId="1" xfId="0" applyNumberFormat="1" applyFont="1" applyFill="1" applyBorder="1" applyAlignment="1">
      <alignment horizontal="right" vertical="top" wrapText="1" readingOrder="1"/>
    </xf>
    <xf numFmtId="0" fontId="32" fillId="0" borderId="1" xfId="0" applyFont="1" applyBorder="1" applyAlignment="1">
      <alignment vertical="top" wrapText="1" readingOrder="1"/>
    </xf>
    <xf numFmtId="0" fontId="32" fillId="2" borderId="1" xfId="0" applyFont="1" applyFill="1" applyBorder="1" applyAlignment="1">
      <alignment vertical="top" wrapText="1" readingOrder="1"/>
    </xf>
    <xf numFmtId="166" fontId="34" fillId="2" borderId="1" xfId="0" applyNumberFormat="1" applyFont="1" applyFill="1" applyBorder="1" applyAlignment="1">
      <alignment vertical="top" wrapText="1" readingOrder="1"/>
    </xf>
    <xf numFmtId="164" fontId="9" fillId="20" borderId="20" xfId="0" applyNumberFormat="1" applyFont="1" applyFill="1" applyBorder="1" applyAlignment="1">
      <alignment horizontal="right" readingOrder="1"/>
    </xf>
    <xf numFmtId="169" fontId="9" fillId="20" borderId="20" xfId="4" applyNumberFormat="1" applyFont="1" applyFill="1" applyBorder="1" applyAlignment="1">
      <alignment horizontal="right" readingOrder="1"/>
    </xf>
    <xf numFmtId="43" fontId="5" fillId="19" borderId="0" xfId="0" applyNumberFormat="1" applyFont="1" applyFill="1"/>
    <xf numFmtId="43" fontId="14" fillId="19" borderId="20" xfId="3" applyNumberFormat="1" applyFont="1" applyFill="1" applyBorder="1"/>
    <xf numFmtId="9" fontId="14" fillId="19" borderId="0" xfId="0" applyNumberFormat="1" applyFont="1" applyFill="1"/>
    <xf numFmtId="9" fontId="14" fillId="19" borderId="21" xfId="0" applyNumberFormat="1" applyFont="1" applyFill="1" applyBorder="1"/>
    <xf numFmtId="9" fontId="14" fillId="19" borderId="0" xfId="3" applyNumberFormat="1" applyFont="1" applyFill="1"/>
    <xf numFmtId="164" fontId="9" fillId="21" borderId="20" xfId="0" applyNumberFormat="1" applyFont="1" applyFill="1" applyBorder="1" applyAlignment="1">
      <alignment horizontal="right" readingOrder="1"/>
    </xf>
    <xf numFmtId="0" fontId="11" fillId="12" borderId="19" xfId="0" applyFont="1" applyFill="1" applyBorder="1"/>
    <xf numFmtId="9" fontId="14" fillId="19" borderId="20" xfId="3" applyNumberFormat="1" applyFont="1" applyFill="1" applyBorder="1"/>
    <xf numFmtId="0" fontId="17" fillId="5" borderId="0" xfId="3" applyFont="1" applyFill="1" applyAlignment="1">
      <alignment horizontal="right"/>
    </xf>
    <xf numFmtId="164" fontId="19" fillId="5" borderId="0" xfId="3" applyNumberFormat="1" applyFont="1" applyFill="1"/>
    <xf numFmtId="164" fontId="9" fillId="14" borderId="25" xfId="0" applyNumberFormat="1" applyFont="1" applyFill="1" applyBorder="1" applyAlignment="1">
      <alignment horizontal="right" readingOrder="1"/>
    </xf>
    <xf numFmtId="164" fontId="9" fillId="14" borderId="0" xfId="0" applyNumberFormat="1" applyFont="1" applyFill="1" applyAlignment="1">
      <alignment horizontal="left" readingOrder="1"/>
    </xf>
    <xf numFmtId="0" fontId="17" fillId="5" borderId="0" xfId="3" applyFont="1" applyFill="1" applyAlignment="1">
      <alignment horizontal="left"/>
    </xf>
    <xf numFmtId="0" fontId="9" fillId="10" borderId="14" xfId="0" applyFont="1" applyFill="1" applyBorder="1" applyAlignment="1">
      <alignment readingOrder="1"/>
    </xf>
    <xf numFmtId="164" fontId="9" fillId="10" borderId="15" xfId="0" applyNumberFormat="1" applyFont="1" applyFill="1" applyBorder="1" applyAlignment="1">
      <alignment horizontal="right" readingOrder="1"/>
    </xf>
    <xf numFmtId="0" fontId="9" fillId="10" borderId="17" xfId="0" applyFont="1" applyFill="1" applyBorder="1" applyAlignment="1">
      <alignment readingOrder="1"/>
    </xf>
    <xf numFmtId="164" fontId="9" fillId="10" borderId="0" xfId="0" applyNumberFormat="1" applyFont="1" applyFill="1" applyAlignment="1">
      <alignment horizontal="right" readingOrder="1"/>
    </xf>
    <xf numFmtId="0" fontId="11" fillId="17" borderId="19" xfId="0" applyFont="1" applyFill="1" applyBorder="1"/>
    <xf numFmtId="0" fontId="7" fillId="2" borderId="0" xfId="0" applyFont="1" applyFill="1" applyAlignment="1">
      <alignment vertical="top" wrapText="1" readingOrder="1"/>
    </xf>
    <xf numFmtId="0" fontId="5" fillId="0" borderId="0" xfId="0" applyFont="1"/>
    <xf numFmtId="0" fontId="24" fillId="0" borderId="0" xfId="0" applyFont="1" applyAlignment="1">
      <alignment vertical="top" wrapText="1" readingOrder="1"/>
    </xf>
    <xf numFmtId="0" fontId="9" fillId="2" borderId="0" xfId="0" applyFont="1" applyFill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 readingOrder="1"/>
    </xf>
    <xf numFmtId="0" fontId="22" fillId="0" borderId="0" xfId="0" applyFont="1" applyAlignment="1">
      <alignment horizontal="center" vertical="top" wrapText="1" readingOrder="1"/>
    </xf>
    <xf numFmtId="0" fontId="23" fillId="0" borderId="0" xfId="0" applyFont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26" fillId="0" borderId="0" xfId="0" applyFont="1"/>
    <xf numFmtId="0" fontId="27" fillId="0" borderId="0" xfId="0" applyFont="1" applyAlignment="1">
      <alignment horizontal="center" vertical="top" wrapText="1" readingOrder="1"/>
    </xf>
    <xf numFmtId="0" fontId="28" fillId="0" borderId="0" xfId="0" applyFont="1" applyAlignment="1">
      <alignment horizontal="center" vertical="top" wrapText="1" readingOrder="1"/>
    </xf>
    <xf numFmtId="0" fontId="29" fillId="0" borderId="0" xfId="0" applyFont="1" applyAlignment="1">
      <alignment horizontal="center" vertical="top" wrapText="1" readingOrder="1"/>
    </xf>
    <xf numFmtId="0" fontId="30" fillId="0" borderId="1" xfId="0" applyFont="1" applyBorder="1" applyAlignment="1">
      <alignment horizontal="center" vertical="top" wrapText="1" readingOrder="1"/>
    </xf>
    <xf numFmtId="0" fontId="26" fillId="0" borderId="1" xfId="0" applyFont="1" applyBorder="1" applyAlignment="1">
      <alignment vertical="top" wrapText="1"/>
    </xf>
    <xf numFmtId="0" fontId="31" fillId="0" borderId="0" xfId="0" applyFont="1" applyAlignment="1">
      <alignment vertical="top" wrapText="1" readingOrder="1"/>
    </xf>
    <xf numFmtId="0" fontId="34" fillId="2" borderId="0" xfId="0" applyFont="1" applyFill="1" applyAlignment="1">
      <alignment vertical="top" wrapText="1" readingOrder="1"/>
    </xf>
    <xf numFmtId="0" fontId="34" fillId="3" borderId="0" xfId="0" applyFont="1" applyFill="1" applyAlignment="1">
      <alignment vertical="top" wrapText="1" readingOrder="1"/>
    </xf>
    <xf numFmtId="0" fontId="30" fillId="0" borderId="1" xfId="0" applyFont="1" applyBorder="1" applyAlignment="1">
      <alignment vertical="top" wrapText="1" readingOrder="1"/>
    </xf>
    <xf numFmtId="0" fontId="30" fillId="2" borderId="0" xfId="0" applyFont="1" applyFill="1" applyAlignment="1">
      <alignment vertical="top" wrapText="1" readingOrder="1"/>
    </xf>
  </cellXfs>
  <cellStyles count="5">
    <cellStyle name="Comma" xfId="4" builtinId="3"/>
    <cellStyle name="Currency" xfId="1" builtinId="4"/>
    <cellStyle name="Normal" xfId="0" builtinId="0"/>
    <cellStyle name="Normal 2" xfId="3" xr:uid="{BE5D03CD-B7CA-4893-A8BB-257C3F7840C3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8F6F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4EC4FE-687E-4060-95D9-94A5288F4C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40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7081A-BE9F-46DC-8033-7E6CAE2A71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07360-E826-46E8-B155-7F3BEBBCF0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930CE3-07C7-45D7-AAAD-0F3AEFED98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E0BEAE-90FC-4C64-BAAE-0940E68A52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7660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D10CB-74FF-43B0-97C0-4F012448446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4C9D05-02E0-405B-BBF1-65332DF14F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E59E36-664E-441B-9347-EA7BFFA4B07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8C15DA-DB29-499A-983A-B2741B253C9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A3DC-AA90-4CEC-A033-FA5C93B936A1}">
  <dimension ref="A1:V22"/>
  <sheetViews>
    <sheetView showGridLines="0" zoomScaleNormal="100" workbookViewId="0">
      <pane ySplit="1" topLeftCell="A2" activePane="bottomLeft" state="frozen"/>
      <selection pane="bottomLeft" activeCell="D22" sqref="D22"/>
    </sheetView>
  </sheetViews>
  <sheetFormatPr defaultColWidth="9.1796875" defaultRowHeight="14.5"/>
  <cols>
    <col min="1" max="1" width="1.453125" customWidth="1"/>
    <col min="2" max="2" width="27.453125" customWidth="1"/>
    <col min="3" max="3" width="19.1796875" customWidth="1"/>
    <col min="4" max="4" width="14.26953125" bestFit="1" customWidth="1"/>
    <col min="5" max="5" width="6.81640625" customWidth="1"/>
    <col min="6" max="6" width="11" customWidth="1"/>
    <col min="7" max="8" width="8.81640625" customWidth="1"/>
    <col min="9" max="9" width="11.7265625" customWidth="1"/>
    <col min="10" max="10" width="8.81640625" customWidth="1"/>
    <col min="11" max="12" width="11" customWidth="1"/>
    <col min="13" max="14" width="7.54296875" customWidth="1"/>
    <col min="15" max="16" width="8.26953125" customWidth="1"/>
    <col min="17" max="17" width="11" customWidth="1"/>
    <col min="18" max="19" width="8.26953125" customWidth="1"/>
    <col min="20" max="22" width="6.81640625" customWidth="1"/>
    <col min="23" max="23" width="8.26953125" customWidth="1"/>
  </cols>
  <sheetData>
    <row r="1" spans="1:22" ht="57.65" customHeight="1">
      <c r="A1" s="352"/>
      <c r="B1" s="352"/>
      <c r="C1" s="352"/>
    </row>
    <row r="2" spans="1:22" ht="13" customHeight="1">
      <c r="A2" s="358" t="s">
        <v>58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</row>
    <row r="3" spans="1:22" ht="14.5" customHeight="1">
      <c r="A3" s="359" t="s">
        <v>1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</row>
    <row r="4" spans="1:22" ht="12.25" customHeight="1">
      <c r="A4" s="360" t="s">
        <v>236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</row>
    <row r="5" spans="1:22" ht="29" customHeight="1">
      <c r="A5" s="270" t="s">
        <v>2</v>
      </c>
      <c r="B5" s="271" t="s">
        <v>3</v>
      </c>
      <c r="C5" s="361" t="s">
        <v>4</v>
      </c>
      <c r="D5" s="357"/>
      <c r="E5" s="271" t="s">
        <v>5</v>
      </c>
      <c r="F5" s="271" t="s">
        <v>6</v>
      </c>
      <c r="G5" s="271" t="s">
        <v>7</v>
      </c>
      <c r="H5" s="271" t="s">
        <v>8</v>
      </c>
      <c r="I5" s="271" t="s">
        <v>9</v>
      </c>
      <c r="J5" s="271" t="s">
        <v>10</v>
      </c>
      <c r="K5" s="271" t="s">
        <v>11</v>
      </c>
      <c r="L5" s="271" t="s">
        <v>12</v>
      </c>
      <c r="M5" s="271" t="s">
        <v>13</v>
      </c>
      <c r="N5" s="271" t="s">
        <v>14</v>
      </c>
      <c r="O5" s="271" t="s">
        <v>15</v>
      </c>
      <c r="P5" s="271" t="s">
        <v>16</v>
      </c>
      <c r="Q5" s="271" t="s">
        <v>17</v>
      </c>
      <c r="R5" s="271" t="s">
        <v>18</v>
      </c>
      <c r="S5" s="271" t="s">
        <v>19</v>
      </c>
      <c r="T5" s="271" t="s">
        <v>20</v>
      </c>
      <c r="U5" s="271" t="s">
        <v>21</v>
      </c>
      <c r="V5" s="271" t="s">
        <v>22</v>
      </c>
    </row>
    <row r="6" spans="1:22" ht="14.5" customHeight="1">
      <c r="A6" s="353" t="s">
        <v>59</v>
      </c>
      <c r="B6" s="352"/>
      <c r="C6" s="352"/>
      <c r="D6" s="352"/>
      <c r="E6" s="352"/>
      <c r="F6" s="272" t="s">
        <v>2</v>
      </c>
      <c r="G6" s="272" t="s">
        <v>2</v>
      </c>
      <c r="H6" s="272" t="s">
        <v>2</v>
      </c>
      <c r="I6" s="272" t="s">
        <v>2</v>
      </c>
      <c r="J6" s="272" t="s">
        <v>2</v>
      </c>
      <c r="K6" s="249" t="s">
        <v>2</v>
      </c>
      <c r="L6" s="272" t="s">
        <v>2</v>
      </c>
      <c r="M6" s="249" t="s">
        <v>2</v>
      </c>
      <c r="N6" s="272" t="s">
        <v>2</v>
      </c>
      <c r="O6" s="272" t="s">
        <v>2</v>
      </c>
      <c r="P6" s="272" t="s">
        <v>2</v>
      </c>
      <c r="Q6" s="272" t="s">
        <v>2</v>
      </c>
      <c r="R6" s="272" t="s">
        <v>2</v>
      </c>
      <c r="S6" s="272" t="s">
        <v>2</v>
      </c>
      <c r="T6" s="272" t="s">
        <v>2</v>
      </c>
      <c r="U6" s="272" t="s">
        <v>2</v>
      </c>
      <c r="V6" s="272" t="s">
        <v>2</v>
      </c>
    </row>
    <row r="7" spans="1:22" ht="14.5" customHeight="1">
      <c r="A7" s="273" t="s">
        <v>2</v>
      </c>
      <c r="B7" s="274" t="s">
        <v>60</v>
      </c>
      <c r="C7" s="354" t="s">
        <v>60</v>
      </c>
      <c r="D7" s="352"/>
      <c r="E7" s="274" t="s">
        <v>25</v>
      </c>
      <c r="F7" s="275">
        <v>25698.073</v>
      </c>
      <c r="G7" s="276">
        <v>150000</v>
      </c>
      <c r="H7" s="276">
        <v>0</v>
      </c>
      <c r="I7" s="276">
        <v>0</v>
      </c>
      <c r="J7" s="276">
        <v>0</v>
      </c>
      <c r="K7" s="275">
        <v>175698.073</v>
      </c>
      <c r="L7" s="275">
        <v>498.52</v>
      </c>
      <c r="M7" s="275">
        <v>-23</v>
      </c>
      <c r="N7" s="275">
        <v>17.45</v>
      </c>
      <c r="O7" s="276">
        <v>0</v>
      </c>
      <c r="P7" s="276">
        <v>0</v>
      </c>
      <c r="Q7" s="275">
        <v>176191.04300000001</v>
      </c>
      <c r="R7" s="277">
        <v>0</v>
      </c>
      <c r="S7" s="276">
        <v>0</v>
      </c>
      <c r="T7" s="277">
        <v>0.28373674878039201</v>
      </c>
      <c r="U7" s="277">
        <v>0.27064611004583999</v>
      </c>
      <c r="V7" s="277">
        <v>0.28057792073792398</v>
      </c>
    </row>
    <row r="8" spans="1:22">
      <c r="A8" s="278" t="s">
        <v>2</v>
      </c>
      <c r="B8" s="279" t="s">
        <v>31</v>
      </c>
      <c r="C8" s="355" t="s">
        <v>31</v>
      </c>
      <c r="D8" s="352"/>
      <c r="E8" s="279" t="s">
        <v>25</v>
      </c>
      <c r="F8" s="280">
        <v>23291278.91</v>
      </c>
      <c r="G8" s="281">
        <v>0</v>
      </c>
      <c r="H8" s="281">
        <v>0</v>
      </c>
      <c r="I8" s="281">
        <v>0</v>
      </c>
      <c r="J8" s="281">
        <v>0</v>
      </c>
      <c r="K8" s="280">
        <v>23291278.91</v>
      </c>
      <c r="L8" s="280">
        <v>82370.740000000005</v>
      </c>
      <c r="M8" s="280">
        <v>-3911.26</v>
      </c>
      <c r="N8" s="280">
        <v>3371.8</v>
      </c>
      <c r="O8" s="281">
        <v>0</v>
      </c>
      <c r="P8" s="281">
        <v>0</v>
      </c>
      <c r="Q8" s="280">
        <v>23373110.190000001</v>
      </c>
      <c r="R8" s="282">
        <v>0</v>
      </c>
      <c r="S8" s="281">
        <v>0</v>
      </c>
      <c r="T8" s="282">
        <v>0.35365486076693903</v>
      </c>
      <c r="U8" s="282">
        <v>0.33686205168542199</v>
      </c>
      <c r="V8" s="282">
        <v>0.35133871487351498</v>
      </c>
    </row>
    <row r="9" spans="1:22">
      <c r="A9" s="273" t="s">
        <v>2</v>
      </c>
      <c r="B9" s="274" t="s">
        <v>168</v>
      </c>
      <c r="C9" s="354" t="s">
        <v>168</v>
      </c>
      <c r="D9" s="352"/>
      <c r="E9" s="274" t="s">
        <v>25</v>
      </c>
      <c r="F9" s="275">
        <v>20743192.359999999</v>
      </c>
      <c r="G9" s="276">
        <v>0</v>
      </c>
      <c r="H9" s="276">
        <v>-60341.919999999998</v>
      </c>
      <c r="I9" s="276">
        <v>0</v>
      </c>
      <c r="J9" s="276">
        <v>0</v>
      </c>
      <c r="K9" s="275">
        <v>20682850.440000001</v>
      </c>
      <c r="L9" s="275">
        <v>73195.350000000006</v>
      </c>
      <c r="M9" s="275">
        <v>-3475.84</v>
      </c>
      <c r="N9" s="275">
        <v>2997.39</v>
      </c>
      <c r="O9" s="276">
        <v>0</v>
      </c>
      <c r="P9" s="276">
        <v>0</v>
      </c>
      <c r="Q9" s="275">
        <v>20755567.34</v>
      </c>
      <c r="R9" s="277">
        <v>0</v>
      </c>
      <c r="S9" s="276">
        <v>0</v>
      </c>
      <c r="T9" s="277">
        <v>0.35389391908207402</v>
      </c>
      <c r="U9" s="277">
        <v>0.33708849852322398</v>
      </c>
      <c r="V9" s="277">
        <v>0.35158064992515597</v>
      </c>
    </row>
    <row r="10" spans="1:22" ht="14.5" customHeight="1">
      <c r="A10" s="356" t="s">
        <v>61</v>
      </c>
      <c r="B10" s="357"/>
      <c r="C10" s="357"/>
      <c r="D10" s="357"/>
      <c r="E10" s="357"/>
      <c r="F10" s="283">
        <v>44060169.343000002</v>
      </c>
      <c r="G10" s="284">
        <v>150000</v>
      </c>
      <c r="H10" s="284">
        <v>-60341.919999999998</v>
      </c>
      <c r="I10" s="284">
        <v>0</v>
      </c>
      <c r="J10" s="284">
        <v>0</v>
      </c>
      <c r="K10" s="283">
        <v>44149827.423</v>
      </c>
      <c r="L10" s="283">
        <v>156064.60999999999</v>
      </c>
      <c r="M10" s="283">
        <v>-7410.1</v>
      </c>
      <c r="N10" s="283">
        <v>6386.64</v>
      </c>
      <c r="O10" s="284">
        <v>0</v>
      </c>
      <c r="P10" s="284">
        <v>0</v>
      </c>
      <c r="Q10" s="283">
        <v>44304868.572999999</v>
      </c>
      <c r="R10" s="285">
        <v>0</v>
      </c>
      <c r="S10" s="286" t="s">
        <v>2</v>
      </c>
      <c r="T10" s="286" t="s">
        <v>2</v>
      </c>
      <c r="U10" s="286" t="s">
        <v>2</v>
      </c>
      <c r="V10" s="286" t="s">
        <v>2</v>
      </c>
    </row>
    <row r="11" spans="1:22" ht="14.5" customHeight="1">
      <c r="A11" s="273" t="s">
        <v>2</v>
      </c>
      <c r="B11" s="351" t="s">
        <v>57</v>
      </c>
      <c r="C11" s="352"/>
      <c r="D11" s="352"/>
      <c r="E11" s="352"/>
      <c r="F11" s="283">
        <v>44060169.343000002</v>
      </c>
      <c r="G11" s="284">
        <v>150000</v>
      </c>
      <c r="H11" s="284">
        <v>-60341.919999999998</v>
      </c>
      <c r="I11" s="284">
        <v>0</v>
      </c>
      <c r="J11" s="284">
        <v>0</v>
      </c>
      <c r="K11" s="283">
        <v>44149827.423</v>
      </c>
      <c r="L11" s="283">
        <v>156064.60999999999</v>
      </c>
      <c r="M11" s="283">
        <v>-7410.1</v>
      </c>
      <c r="N11" s="283">
        <v>6386.64</v>
      </c>
      <c r="O11" s="284">
        <v>0</v>
      </c>
      <c r="P11" s="284">
        <v>0</v>
      </c>
      <c r="Q11" s="283">
        <v>44304868.572999999</v>
      </c>
      <c r="R11" s="285">
        <v>0</v>
      </c>
      <c r="S11" s="287" t="s">
        <v>2</v>
      </c>
      <c r="T11" s="288">
        <v>0.35348860711219399</v>
      </c>
      <c r="U11" s="288">
        <v>0.33670462304583798</v>
      </c>
      <c r="V11" s="288">
        <v>0.35117045535546298</v>
      </c>
    </row>
    <row r="12" spans="1:22" ht="8.15" customHeight="1"/>
    <row r="13" spans="1:22" ht="15" thickBot="1">
      <c r="Q13" s="257"/>
    </row>
    <row r="14" spans="1:22" ht="17">
      <c r="C14" s="73" t="s">
        <v>60</v>
      </c>
      <c r="D14" s="74">
        <f>VLOOKUP(C14,$B$7:$Q$10,16,FALSE)</f>
        <v>176191.04300000001</v>
      </c>
      <c r="E14" s="32"/>
      <c r="F14" s="60"/>
      <c r="G14" s="60"/>
      <c r="H14" s="69" t="s">
        <v>158</v>
      </c>
      <c r="I14" s="75">
        <f>SUM(D14:D17)</f>
        <v>44304868.572999999</v>
      </c>
      <c r="J14" s="289">
        <f>I14-Q11</f>
        <v>0</v>
      </c>
    </row>
    <row r="15" spans="1:22">
      <c r="C15" s="76" t="s">
        <v>31</v>
      </c>
      <c r="D15" s="309">
        <f t="shared" ref="D15:D16" si="0">VLOOKUP(C15,$B$7:$Q$10,16,FALSE)</f>
        <v>23373110.190000001</v>
      </c>
      <c r="E15" s="27" t="str">
        <f>VLOOKUP(C15,InvestorCategories,2,FALSE)</f>
        <v>(g) Non-profits</v>
      </c>
      <c r="F15" s="63"/>
      <c r="G15" s="63"/>
      <c r="H15" s="63"/>
      <c r="I15" s="70"/>
    </row>
    <row r="16" spans="1:22">
      <c r="C16" s="76" t="s">
        <v>168</v>
      </c>
      <c r="D16" s="309">
        <f t="shared" si="0"/>
        <v>20755567.34</v>
      </c>
      <c r="E16" s="27"/>
      <c r="F16" s="63"/>
      <c r="G16" s="63"/>
      <c r="H16" s="30" t="s">
        <v>139</v>
      </c>
      <c r="I16" s="77">
        <f>SUMIFS($D$14:$D$22,$E$14:$E$22,H16)/$I$14</f>
        <v>0.52755173286404689</v>
      </c>
    </row>
    <row r="17" spans="3:9">
      <c r="C17" s="78"/>
      <c r="D17" s="291"/>
      <c r="E17" s="27"/>
      <c r="F17" s="63"/>
      <c r="G17" s="63"/>
      <c r="H17" s="30" t="s">
        <v>136</v>
      </c>
      <c r="I17" s="77">
        <f>SUMIFS($D$14:$D$22,$E$14:$E$22,H17)/$I$14</f>
        <v>0.46847147973820491</v>
      </c>
    </row>
    <row r="18" spans="3:9">
      <c r="C18" s="76" t="s">
        <v>131</v>
      </c>
      <c r="D18" s="309">
        <f>(SUMIFS(USG_M7,USGNoteHolders,USG_InvestorCapitalPerf!C18)+SUMIFS(USG_M6,USGNoteHolders,USG_InvestorCapitalPerf!C18))/SUM(USG_M7,USG_M6)*SUM($D$16:$D$17)</f>
        <v>20755567.34</v>
      </c>
      <c r="E18" s="27" t="str">
        <f>VLOOKUP(C18,InvestorCategories,2,FALSE)</f>
        <v xml:space="preserve">(d) Insurance companies </v>
      </c>
      <c r="F18" s="63"/>
      <c r="G18" s="63"/>
      <c r="H18" s="63"/>
      <c r="I18" s="70"/>
    </row>
    <row r="19" spans="3:9">
      <c r="C19" s="76" t="s">
        <v>132</v>
      </c>
      <c r="D19" s="309">
        <f>(SUMIFS(USG_M7,USGNoteHolders,USG_InvestorCapitalPerf!C19)+SUMIFS(USG_M6,USGNoteHolders,USG_InvestorCapitalPerf!C19))/SUM(USG_M7,USG_M6)*SUM($D$16:$D$17)</f>
        <v>0</v>
      </c>
      <c r="E19" s="27" t="str">
        <f>VLOOKUP(C19,InvestorCategories,2,FALSE)</f>
        <v xml:space="preserve">(d) Insurance companies </v>
      </c>
      <c r="F19" s="63"/>
      <c r="G19" s="63"/>
      <c r="H19" s="63" t="s">
        <v>154</v>
      </c>
      <c r="I19" s="70"/>
    </row>
    <row r="20" spans="3:9">
      <c r="C20" s="76" t="s">
        <v>124</v>
      </c>
      <c r="D20" s="309">
        <f>(SUMIFS(USG_M7,USGNoteHolders,USG_InvestorCapitalPerf!C20)+SUMIFS(USG_M6,USGNoteHolders,USG_InvestorCapitalPerf!C20))/SUM(USG_M7,USG_M6)*SUM($D$16:$D$17)</f>
        <v>0</v>
      </c>
      <c r="E20" s="27" t="str">
        <f>VLOOKUP(C20,InvestorCategories,2,FALSE)</f>
        <v xml:space="preserve">(d) Insurance companies </v>
      </c>
      <c r="F20" s="63"/>
      <c r="G20" s="63"/>
      <c r="H20" s="63" t="s">
        <v>162</v>
      </c>
      <c r="I20" s="64">
        <f>MAX(D14:D15,D18:D22)/Q11</f>
        <v>0.52755173286404689</v>
      </c>
    </row>
    <row r="21" spans="3:9">
      <c r="C21" s="76" t="s">
        <v>129</v>
      </c>
      <c r="D21" s="309">
        <f>(SUMIFS(USG_M7,USGNoteHolders,USG_InvestorCapitalPerf!C21)+SUMIFS(USG_M6,USGNoteHolders,USG_InvestorCapitalPerf!C21))/SUM(USG_M7,USG_M6)*SUM($D$16:$D$17)</f>
        <v>0</v>
      </c>
      <c r="E21" s="27" t="str">
        <f>VLOOKUP(C21,InvestorCategories,2,FALSE)</f>
        <v xml:space="preserve">(d) Insurance companies </v>
      </c>
      <c r="F21" s="63"/>
      <c r="G21" s="63"/>
      <c r="H21" s="63" t="s">
        <v>163</v>
      </c>
      <c r="I21" s="70">
        <v>2</v>
      </c>
    </row>
    <row r="22" spans="3:9" ht="15" thickBot="1">
      <c r="C22" s="79" t="s">
        <v>127</v>
      </c>
      <c r="D22" s="80">
        <f>(SUMIFS(USG_M7,USGNoteHolders,USG_InvestorCapitalPerf!C22)+SUMIFS(USG_M6,USGNoteHolders,USG_InvestorCapitalPerf!C22))/SUM(USG_M7,USG_M6)*SUM($D$16:$D$17)</f>
        <v>0</v>
      </c>
      <c r="E22" s="35" t="str">
        <f>VLOOKUP(C22,InvestorCategories,2,FALSE)</f>
        <v xml:space="preserve">(d) Insurance companies </v>
      </c>
      <c r="F22" s="67"/>
      <c r="G22" s="67"/>
      <c r="H22" s="67"/>
      <c r="I22" s="68"/>
    </row>
  </sheetData>
  <mergeCells count="11">
    <mergeCell ref="A1:C1"/>
    <mergeCell ref="A2:V2"/>
    <mergeCell ref="A3:V3"/>
    <mergeCell ref="A4:V4"/>
    <mergeCell ref="C5:D5"/>
    <mergeCell ref="B11:E11"/>
    <mergeCell ref="A6:E6"/>
    <mergeCell ref="C7:D7"/>
    <mergeCell ref="C8:D8"/>
    <mergeCell ref="C9:D9"/>
    <mergeCell ref="A10:E10"/>
  </mergeCells>
  <pageMargins left="0.15" right="0.15" top="0.2" bottom="0.35365000000000002" header="0.2" footer="0.2"/>
  <pageSetup paperSize="0" orientation="landscape" horizontalDpi="300" verticalDpi="300"/>
  <headerFooter alignWithMargins="0">
    <oddFooter>&amp;L&amp;"Tahoma,Regular"&amp;8 Created on 10/1/2021 12:13:23 PM &amp;C&amp;"Tahoma,Regular"&amp;8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showGridLines="0" tabSelected="1" topLeftCell="B1" zoomScaleNormal="100" workbookViewId="0">
      <pane ySplit="1" topLeftCell="A83" activePane="bottomLeft" state="frozen"/>
      <selection pane="bottomLeft" activeCell="T147" sqref="T147:T158"/>
    </sheetView>
  </sheetViews>
  <sheetFormatPr defaultRowHeight="14.5"/>
  <cols>
    <col min="1" max="1" width="1.453125" customWidth="1"/>
    <col min="2" max="2" width="22.54296875" customWidth="1"/>
    <col min="3" max="3" width="26" customWidth="1"/>
    <col min="4" max="4" width="9.08984375" bestFit="1" customWidth="1"/>
    <col min="5" max="5" width="19.26953125" customWidth="1"/>
    <col min="6" max="6" width="19.453125" customWidth="1"/>
    <col min="7" max="7" width="11.453125" bestFit="1" customWidth="1"/>
    <col min="8" max="8" width="23.26953125" customWidth="1"/>
    <col min="9" max="11" width="7.7265625" customWidth="1"/>
    <col min="12" max="12" width="19.1796875" customWidth="1"/>
    <col min="13" max="13" width="7.36328125" bestFit="1" customWidth="1"/>
    <col min="14" max="14" width="17" customWidth="1"/>
    <col min="15" max="15" width="14.6328125" bestFit="1" customWidth="1"/>
    <col min="16" max="16" width="10.36328125" bestFit="1" customWidth="1"/>
    <col min="17" max="17" width="10.7265625" bestFit="1" customWidth="1"/>
    <col min="18" max="18" width="5.26953125" bestFit="1" customWidth="1"/>
    <col min="19" max="19" width="8.26953125" customWidth="1"/>
    <col min="20" max="20" width="17.26953125" bestFit="1" customWidth="1"/>
    <col min="21" max="22" width="6.81640625" customWidth="1"/>
    <col min="23" max="23" width="8.26953125" customWidth="1"/>
  </cols>
  <sheetData>
    <row r="1" spans="1:22" ht="57.65" customHeight="1">
      <c r="A1" s="362"/>
      <c r="B1" s="362"/>
      <c r="C1" s="362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</row>
    <row r="2" spans="1:22" ht="13" customHeight="1">
      <c r="A2" s="363" t="s">
        <v>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</row>
    <row r="3" spans="1:22" ht="14.5" customHeight="1">
      <c r="A3" s="364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</row>
    <row r="4" spans="1:22" ht="12.25" customHeight="1">
      <c r="A4" s="365" t="s">
        <v>236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</row>
    <row r="5" spans="1:22" ht="29" customHeight="1">
      <c r="A5" s="311" t="s">
        <v>2</v>
      </c>
      <c r="B5" s="312" t="s">
        <v>3</v>
      </c>
      <c r="C5" s="366" t="s">
        <v>4</v>
      </c>
      <c r="D5" s="367"/>
      <c r="E5" s="312" t="s">
        <v>5</v>
      </c>
      <c r="F5" s="312" t="s">
        <v>6</v>
      </c>
      <c r="G5" s="312" t="s">
        <v>7</v>
      </c>
      <c r="H5" s="312" t="s">
        <v>8</v>
      </c>
      <c r="I5" s="312" t="s">
        <v>9</v>
      </c>
      <c r="J5" s="312" t="s">
        <v>10</v>
      </c>
      <c r="K5" s="312" t="s">
        <v>11</v>
      </c>
      <c r="L5" s="312" t="s">
        <v>12</v>
      </c>
      <c r="M5" s="312" t="s">
        <v>13</v>
      </c>
      <c r="N5" s="312" t="s">
        <v>14</v>
      </c>
      <c r="O5" s="312" t="s">
        <v>15</v>
      </c>
      <c r="P5" s="312" t="s">
        <v>16</v>
      </c>
      <c r="Q5" s="312" t="s">
        <v>17</v>
      </c>
      <c r="R5" s="312" t="s">
        <v>18</v>
      </c>
      <c r="S5" s="312" t="s">
        <v>19</v>
      </c>
      <c r="T5" s="312" t="s">
        <v>20</v>
      </c>
      <c r="U5" s="312" t="s">
        <v>21</v>
      </c>
      <c r="V5" s="312" t="s">
        <v>22</v>
      </c>
    </row>
    <row r="6" spans="1:22" ht="15" customHeight="1">
      <c r="A6" s="368" t="s">
        <v>23</v>
      </c>
      <c r="B6" s="362"/>
      <c r="C6" s="362"/>
      <c r="D6" s="362"/>
      <c r="E6" s="362"/>
      <c r="F6" s="313" t="s">
        <v>2</v>
      </c>
      <c r="G6" s="313" t="s">
        <v>2</v>
      </c>
      <c r="H6" s="313" t="s">
        <v>2</v>
      </c>
      <c r="I6" s="313" t="s">
        <v>2</v>
      </c>
      <c r="J6" s="313" t="s">
        <v>2</v>
      </c>
      <c r="K6" s="314" t="s">
        <v>2</v>
      </c>
      <c r="L6" s="313" t="s">
        <v>2</v>
      </c>
      <c r="M6" s="314" t="s">
        <v>2</v>
      </c>
      <c r="N6" s="313" t="s">
        <v>2</v>
      </c>
      <c r="O6" s="313" t="s">
        <v>2</v>
      </c>
      <c r="P6" s="313" t="s">
        <v>2</v>
      </c>
      <c r="Q6" s="313" t="s">
        <v>2</v>
      </c>
      <c r="R6" s="313" t="s">
        <v>2</v>
      </c>
      <c r="S6" s="313" t="s">
        <v>2</v>
      </c>
      <c r="T6" s="313" t="s">
        <v>2</v>
      </c>
      <c r="U6" s="313" t="s">
        <v>2</v>
      </c>
      <c r="V6" s="313" t="s">
        <v>2</v>
      </c>
    </row>
    <row r="7" spans="1:22">
      <c r="A7" s="315" t="s">
        <v>2</v>
      </c>
      <c r="B7" s="316" t="s">
        <v>24</v>
      </c>
      <c r="C7" s="369" t="s">
        <v>24</v>
      </c>
      <c r="D7" s="362"/>
      <c r="E7" s="316" t="s">
        <v>25</v>
      </c>
      <c r="F7" s="317">
        <v>5061059.0088999998</v>
      </c>
      <c r="G7" s="318">
        <v>0</v>
      </c>
      <c r="H7" s="318">
        <v>0</v>
      </c>
      <c r="I7" s="318">
        <v>0</v>
      </c>
      <c r="J7" s="318">
        <v>0</v>
      </c>
      <c r="K7" s="317">
        <v>5061059.0088999998</v>
      </c>
      <c r="L7" s="317">
        <v>21135.25</v>
      </c>
      <c r="M7" s="317">
        <v>-1198.6099999999999</v>
      </c>
      <c r="N7" s="317">
        <v>259.01</v>
      </c>
      <c r="O7" s="318">
        <v>0</v>
      </c>
      <c r="P7" s="318">
        <v>0</v>
      </c>
      <c r="Q7" s="317">
        <v>5081254.6589000002</v>
      </c>
      <c r="R7" s="319">
        <v>0</v>
      </c>
      <c r="S7" s="318">
        <v>0</v>
      </c>
      <c r="T7" s="319">
        <v>0.41760528701272098</v>
      </c>
      <c r="U7" s="319">
        <v>0.39392229896827802</v>
      </c>
      <c r="V7" s="319">
        <v>0.39904000258612798</v>
      </c>
    </row>
    <row r="8" spans="1:22">
      <c r="A8" s="320" t="s">
        <v>2</v>
      </c>
      <c r="B8" s="321" t="s">
        <v>27</v>
      </c>
      <c r="C8" s="370" t="s">
        <v>27</v>
      </c>
      <c r="D8" s="362"/>
      <c r="E8" s="321" t="s">
        <v>25</v>
      </c>
      <c r="F8" s="322">
        <v>51214869.9877</v>
      </c>
      <c r="G8" s="323">
        <v>0</v>
      </c>
      <c r="H8" s="323">
        <v>0</v>
      </c>
      <c r="I8" s="323">
        <v>0</v>
      </c>
      <c r="J8" s="323">
        <v>0</v>
      </c>
      <c r="K8" s="322">
        <v>51214869.9877</v>
      </c>
      <c r="L8" s="322">
        <v>213875.99</v>
      </c>
      <c r="M8" s="322">
        <v>-12129.18</v>
      </c>
      <c r="N8" s="322">
        <v>2621.04</v>
      </c>
      <c r="O8" s="323">
        <v>0</v>
      </c>
      <c r="P8" s="323">
        <v>0</v>
      </c>
      <c r="Q8" s="322">
        <v>51419237.837700002</v>
      </c>
      <c r="R8" s="324">
        <v>0</v>
      </c>
      <c r="S8" s="323">
        <v>0</v>
      </c>
      <c r="T8" s="324">
        <v>0.41760525810446297</v>
      </c>
      <c r="U8" s="324">
        <v>0.39392233163620699</v>
      </c>
      <c r="V8" s="324">
        <v>0.399040064046012</v>
      </c>
    </row>
    <row r="9" spans="1:22">
      <c r="A9" s="315" t="s">
        <v>2</v>
      </c>
      <c r="B9" s="316" t="s">
        <v>28</v>
      </c>
      <c r="C9" s="369" t="s">
        <v>28</v>
      </c>
      <c r="D9" s="362"/>
      <c r="E9" s="316" t="s">
        <v>25</v>
      </c>
      <c r="F9" s="317">
        <v>61178578.015600003</v>
      </c>
      <c r="G9" s="318">
        <v>0</v>
      </c>
      <c r="H9" s="318">
        <v>-30000000</v>
      </c>
      <c r="I9" s="318">
        <v>0</v>
      </c>
      <c r="J9" s="318">
        <v>0</v>
      </c>
      <c r="K9" s="317">
        <v>31178578.0156</v>
      </c>
      <c r="L9" s="317">
        <v>161098.13</v>
      </c>
      <c r="M9" s="317">
        <v>-9218.07</v>
      </c>
      <c r="N9" s="317">
        <v>1597.12</v>
      </c>
      <c r="O9" s="318">
        <v>0</v>
      </c>
      <c r="P9" s="318">
        <v>0</v>
      </c>
      <c r="Q9" s="317">
        <v>31332055.195599999</v>
      </c>
      <c r="R9" s="319">
        <v>0</v>
      </c>
      <c r="S9" s="318">
        <v>0</v>
      </c>
      <c r="T9" s="319">
        <v>0.51669492405777995</v>
      </c>
      <c r="U9" s="319">
        <v>0.48712952824214001</v>
      </c>
      <c r="V9" s="319">
        <v>0.49225201971433302</v>
      </c>
    </row>
    <row r="10" spans="1:22">
      <c r="A10" s="320" t="s">
        <v>2</v>
      </c>
      <c r="B10" s="321" t="s">
        <v>29</v>
      </c>
      <c r="C10" s="370" t="s">
        <v>29</v>
      </c>
      <c r="D10" s="362"/>
      <c r="E10" s="321" t="s">
        <v>25</v>
      </c>
      <c r="F10" s="322">
        <v>28381.725900000001</v>
      </c>
      <c r="G10" s="323">
        <v>0</v>
      </c>
      <c r="H10" s="323">
        <v>0</v>
      </c>
      <c r="I10" s="323">
        <v>0</v>
      </c>
      <c r="J10" s="323">
        <v>0</v>
      </c>
      <c r="K10" s="322">
        <v>28381.725900000001</v>
      </c>
      <c r="L10" s="322">
        <v>118.52</v>
      </c>
      <c r="M10" s="322">
        <v>-6.72</v>
      </c>
      <c r="N10" s="322">
        <v>1.45</v>
      </c>
      <c r="O10" s="323">
        <v>0</v>
      </c>
      <c r="P10" s="323">
        <v>0</v>
      </c>
      <c r="Q10" s="322">
        <v>28494.975900000001</v>
      </c>
      <c r="R10" s="324">
        <v>0</v>
      </c>
      <c r="S10" s="323">
        <v>0</v>
      </c>
      <c r="T10" s="324">
        <v>0.41759264541413899</v>
      </c>
      <c r="U10" s="324">
        <v>0.39391543838424598</v>
      </c>
      <c r="V10" s="324">
        <v>0.39902435954396998</v>
      </c>
    </row>
    <row r="11" spans="1:22">
      <c r="A11" s="315" t="s">
        <v>2</v>
      </c>
      <c r="B11" s="316" t="s">
        <v>164</v>
      </c>
      <c r="C11" s="369" t="s">
        <v>164</v>
      </c>
      <c r="D11" s="362"/>
      <c r="E11" s="316" t="s">
        <v>25</v>
      </c>
      <c r="F11" s="317">
        <v>91417786.845400006</v>
      </c>
      <c r="G11" s="318">
        <v>0</v>
      </c>
      <c r="H11" s="318">
        <v>0</v>
      </c>
      <c r="I11" s="318">
        <v>0</v>
      </c>
      <c r="J11" s="318">
        <v>0</v>
      </c>
      <c r="K11" s="317">
        <v>91417786.845400006</v>
      </c>
      <c r="L11" s="317">
        <v>381765.49</v>
      </c>
      <c r="M11" s="317">
        <v>-21650.42</v>
      </c>
      <c r="N11" s="317">
        <v>4678.5200000000004</v>
      </c>
      <c r="O11" s="318">
        <v>0</v>
      </c>
      <c r="P11" s="318">
        <v>0</v>
      </c>
      <c r="Q11" s="317">
        <v>91782580.435399994</v>
      </c>
      <c r="R11" s="319">
        <v>0</v>
      </c>
      <c r="S11" s="318">
        <v>0</v>
      </c>
      <c r="T11" s="319">
        <v>0.417605263892045</v>
      </c>
      <c r="U11" s="319">
        <v>0.39392232346316097</v>
      </c>
      <c r="V11" s="319">
        <v>0.39904005838263801</v>
      </c>
    </row>
    <row r="12" spans="1:22">
      <c r="A12" s="320" t="s">
        <v>2</v>
      </c>
      <c r="B12" s="321" t="s">
        <v>165</v>
      </c>
      <c r="C12" s="370" t="s">
        <v>165</v>
      </c>
      <c r="D12" s="362"/>
      <c r="E12" s="321" t="s">
        <v>25</v>
      </c>
      <c r="F12" s="322">
        <v>24367694.340599999</v>
      </c>
      <c r="G12" s="323">
        <v>0</v>
      </c>
      <c r="H12" s="323">
        <v>0</v>
      </c>
      <c r="I12" s="323">
        <v>0</v>
      </c>
      <c r="J12" s="323">
        <v>0</v>
      </c>
      <c r="K12" s="322">
        <v>24367694.340599999</v>
      </c>
      <c r="L12" s="322">
        <v>101760.76</v>
      </c>
      <c r="M12" s="322">
        <v>-5770.99</v>
      </c>
      <c r="N12" s="322">
        <v>1247.07</v>
      </c>
      <c r="O12" s="323">
        <v>0</v>
      </c>
      <c r="P12" s="323">
        <v>0</v>
      </c>
      <c r="Q12" s="322">
        <v>24464931.180599999</v>
      </c>
      <c r="R12" s="324">
        <v>0</v>
      </c>
      <c r="S12" s="323">
        <v>0</v>
      </c>
      <c r="T12" s="324">
        <v>0.41760520539053297</v>
      </c>
      <c r="U12" s="324">
        <v>0.39392225074026599</v>
      </c>
      <c r="V12" s="324">
        <v>0.39903996923496299</v>
      </c>
    </row>
    <row r="13" spans="1:22">
      <c r="A13" s="315" t="s">
        <v>2</v>
      </c>
      <c r="B13" s="316" t="s">
        <v>30</v>
      </c>
      <c r="C13" s="369" t="s">
        <v>30</v>
      </c>
      <c r="D13" s="362"/>
      <c r="E13" s="316" t="s">
        <v>25</v>
      </c>
      <c r="F13" s="317">
        <v>77665781.618799999</v>
      </c>
      <c r="G13" s="318">
        <v>0</v>
      </c>
      <c r="H13" s="318">
        <v>-260793.23</v>
      </c>
      <c r="I13" s="318">
        <v>0</v>
      </c>
      <c r="J13" s="318">
        <v>0</v>
      </c>
      <c r="K13" s="317">
        <v>77404988.388799995</v>
      </c>
      <c r="L13" s="317">
        <v>323515.92</v>
      </c>
      <c r="M13" s="317">
        <v>-18347.3</v>
      </c>
      <c r="N13" s="317">
        <v>3961.42</v>
      </c>
      <c r="O13" s="318">
        <v>0</v>
      </c>
      <c r="P13" s="318">
        <v>0</v>
      </c>
      <c r="Q13" s="317">
        <v>77714118.428800002</v>
      </c>
      <c r="R13" s="319">
        <v>0</v>
      </c>
      <c r="S13" s="318">
        <v>0</v>
      </c>
      <c r="T13" s="319">
        <v>0.41795228800371598</v>
      </c>
      <c r="U13" s="319">
        <v>0.39424929368525802</v>
      </c>
      <c r="V13" s="319">
        <v>0.39936707754190298</v>
      </c>
    </row>
    <row r="14" spans="1:22">
      <c r="A14" s="320" t="s">
        <v>2</v>
      </c>
      <c r="B14" s="321" t="s">
        <v>31</v>
      </c>
      <c r="C14" s="370" t="s">
        <v>31</v>
      </c>
      <c r="D14" s="362"/>
      <c r="E14" s="321" t="s">
        <v>25</v>
      </c>
      <c r="F14" s="322">
        <v>32024520.199499998</v>
      </c>
      <c r="G14" s="323">
        <v>0</v>
      </c>
      <c r="H14" s="323">
        <v>0</v>
      </c>
      <c r="I14" s="323">
        <v>0</v>
      </c>
      <c r="J14" s="323">
        <v>0</v>
      </c>
      <c r="K14" s="322">
        <v>32024520.199499998</v>
      </c>
      <c r="L14" s="322">
        <v>133736.10999999999</v>
      </c>
      <c r="M14" s="322">
        <v>-7584.35</v>
      </c>
      <c r="N14" s="322">
        <v>1638.93</v>
      </c>
      <c r="O14" s="323">
        <v>0</v>
      </c>
      <c r="P14" s="323">
        <v>0</v>
      </c>
      <c r="Q14" s="322">
        <v>32152310.8895</v>
      </c>
      <c r="R14" s="324">
        <v>0</v>
      </c>
      <c r="S14" s="323">
        <v>0</v>
      </c>
      <c r="T14" s="324">
        <v>0.41760535104625202</v>
      </c>
      <c r="U14" s="324">
        <v>0.39392240450169103</v>
      </c>
      <c r="V14" s="324">
        <v>0.39904013925553</v>
      </c>
    </row>
    <row r="15" spans="1:22">
      <c r="A15" s="315" t="s">
        <v>2</v>
      </c>
      <c r="B15" s="316" t="s">
        <v>32</v>
      </c>
      <c r="C15" s="369" t="s">
        <v>32</v>
      </c>
      <c r="D15" s="362"/>
      <c r="E15" s="316" t="s">
        <v>25</v>
      </c>
      <c r="F15" s="317">
        <v>182198.14180000001</v>
      </c>
      <c r="G15" s="318">
        <v>0</v>
      </c>
      <c r="H15" s="318">
        <v>0</v>
      </c>
      <c r="I15" s="318">
        <v>0</v>
      </c>
      <c r="J15" s="318">
        <v>0</v>
      </c>
      <c r="K15" s="317">
        <v>182198.14180000001</v>
      </c>
      <c r="L15" s="317">
        <v>760.86</v>
      </c>
      <c r="M15" s="317">
        <v>-43.15</v>
      </c>
      <c r="N15" s="317">
        <v>9.32</v>
      </c>
      <c r="O15" s="318">
        <v>0</v>
      </c>
      <c r="P15" s="318">
        <v>0</v>
      </c>
      <c r="Q15" s="317">
        <v>182925.17180000001</v>
      </c>
      <c r="R15" s="319">
        <v>0</v>
      </c>
      <c r="S15" s="318">
        <v>0</v>
      </c>
      <c r="T15" s="319">
        <v>0.41760030727163</v>
      </c>
      <c r="U15" s="319">
        <v>0.39391729954514798</v>
      </c>
      <c r="V15" s="319">
        <v>0.39903260967286103</v>
      </c>
    </row>
    <row r="16" spans="1:22">
      <c r="A16" s="320" t="s">
        <v>2</v>
      </c>
      <c r="B16" s="321" t="s">
        <v>33</v>
      </c>
      <c r="C16" s="370" t="s">
        <v>33</v>
      </c>
      <c r="D16" s="362"/>
      <c r="E16" s="321" t="s">
        <v>25</v>
      </c>
      <c r="F16" s="322">
        <v>28050347.1536</v>
      </c>
      <c r="G16" s="323">
        <v>0</v>
      </c>
      <c r="H16" s="323">
        <v>0</v>
      </c>
      <c r="I16" s="323">
        <v>0</v>
      </c>
      <c r="J16" s="323">
        <v>0</v>
      </c>
      <c r="K16" s="322">
        <v>28050347.1536</v>
      </c>
      <c r="L16" s="322">
        <v>117139.74</v>
      </c>
      <c r="M16" s="322">
        <v>-6643.15</v>
      </c>
      <c r="N16" s="322">
        <v>1435.54</v>
      </c>
      <c r="O16" s="323">
        <v>0</v>
      </c>
      <c r="P16" s="323">
        <v>0</v>
      </c>
      <c r="Q16" s="322">
        <v>28162279.283599999</v>
      </c>
      <c r="R16" s="324">
        <v>0</v>
      </c>
      <c r="S16" s="323">
        <v>0</v>
      </c>
      <c r="T16" s="324">
        <v>0.41760531289883202</v>
      </c>
      <c r="U16" s="324">
        <v>0.393922361798003</v>
      </c>
      <c r="V16" s="324">
        <v>0.39904008812109998</v>
      </c>
    </row>
    <row r="17" spans="1:22">
      <c r="A17" s="315" t="s">
        <v>2</v>
      </c>
      <c r="B17" s="316" t="s">
        <v>34</v>
      </c>
      <c r="C17" s="369" t="s">
        <v>34</v>
      </c>
      <c r="D17" s="362"/>
      <c r="E17" s="316" t="s">
        <v>25</v>
      </c>
      <c r="F17" s="317">
        <v>364396.2536</v>
      </c>
      <c r="G17" s="318">
        <v>0</v>
      </c>
      <c r="H17" s="318">
        <v>0</v>
      </c>
      <c r="I17" s="318">
        <v>0</v>
      </c>
      <c r="J17" s="318">
        <v>0</v>
      </c>
      <c r="K17" s="317">
        <v>364396.2536</v>
      </c>
      <c r="L17" s="317">
        <v>1521.74</v>
      </c>
      <c r="M17" s="317">
        <v>-86.3</v>
      </c>
      <c r="N17" s="317">
        <v>18.649999999999999</v>
      </c>
      <c r="O17" s="318">
        <v>0</v>
      </c>
      <c r="P17" s="318">
        <v>0</v>
      </c>
      <c r="Q17" s="317">
        <v>365850.34360000002</v>
      </c>
      <c r="R17" s="319">
        <v>0</v>
      </c>
      <c r="S17" s="318">
        <v>0</v>
      </c>
      <c r="T17" s="319">
        <v>0.41760583018244302</v>
      </c>
      <c r="U17" s="319">
        <v>0.39392282050618799</v>
      </c>
      <c r="V17" s="319">
        <v>0.39904087532034899</v>
      </c>
    </row>
    <row r="18" spans="1:22">
      <c r="A18" s="320" t="s">
        <v>2</v>
      </c>
      <c r="B18" s="321" t="s">
        <v>35</v>
      </c>
      <c r="C18" s="370" t="s">
        <v>35</v>
      </c>
      <c r="D18" s="362"/>
      <c r="E18" s="321" t="s">
        <v>25</v>
      </c>
      <c r="F18" s="322">
        <v>199900445.77500001</v>
      </c>
      <c r="G18" s="323">
        <v>0</v>
      </c>
      <c r="H18" s="323">
        <v>0</v>
      </c>
      <c r="I18" s="323">
        <v>0</v>
      </c>
      <c r="J18" s="323">
        <v>0</v>
      </c>
      <c r="K18" s="322">
        <v>199900445.77500001</v>
      </c>
      <c r="L18" s="322">
        <v>834794.84</v>
      </c>
      <c r="M18" s="322">
        <v>-47342.3</v>
      </c>
      <c r="N18" s="322">
        <v>10230.379999999999</v>
      </c>
      <c r="O18" s="323">
        <v>0</v>
      </c>
      <c r="P18" s="323">
        <v>0</v>
      </c>
      <c r="Q18" s="322">
        <v>200698128.69499999</v>
      </c>
      <c r="R18" s="324">
        <v>0</v>
      </c>
      <c r="S18" s="323">
        <v>0</v>
      </c>
      <c r="T18" s="324">
        <v>0.41760529185593298</v>
      </c>
      <c r="U18" s="324">
        <v>0.39392235317290197</v>
      </c>
      <c r="V18" s="324">
        <v>0.39904009063483498</v>
      </c>
    </row>
    <row r="19" spans="1:22" ht="14.5" customHeight="1">
      <c r="A19" s="371" t="s">
        <v>36</v>
      </c>
      <c r="B19" s="367"/>
      <c r="C19" s="367"/>
      <c r="D19" s="367"/>
      <c r="E19" s="367"/>
      <c r="F19" s="325">
        <v>571456059.06640005</v>
      </c>
      <c r="G19" s="326">
        <v>0</v>
      </c>
      <c r="H19" s="326">
        <v>-30260793.23</v>
      </c>
      <c r="I19" s="326">
        <v>0</v>
      </c>
      <c r="J19" s="326">
        <v>0</v>
      </c>
      <c r="K19" s="325">
        <v>541195265.83640003</v>
      </c>
      <c r="L19" s="325">
        <v>2291223.35</v>
      </c>
      <c r="M19" s="325">
        <v>-130020.54</v>
      </c>
      <c r="N19" s="325">
        <v>27698.45</v>
      </c>
      <c r="O19" s="326">
        <v>0</v>
      </c>
      <c r="P19" s="326">
        <v>0</v>
      </c>
      <c r="Q19" s="325">
        <v>543384167.09640002</v>
      </c>
      <c r="R19" s="327">
        <v>0</v>
      </c>
      <c r="S19" s="328" t="s">
        <v>2</v>
      </c>
      <c r="T19" s="328" t="s">
        <v>2</v>
      </c>
      <c r="U19" s="328" t="s">
        <v>2</v>
      </c>
      <c r="V19" s="328" t="s">
        <v>2</v>
      </c>
    </row>
    <row r="20" spans="1:22" ht="14.5" customHeight="1">
      <c r="A20" s="368" t="s">
        <v>230</v>
      </c>
      <c r="B20" s="362"/>
      <c r="C20" s="362"/>
      <c r="D20" s="362"/>
      <c r="E20" s="362"/>
      <c r="F20" s="313" t="s">
        <v>2</v>
      </c>
      <c r="G20" s="313" t="s">
        <v>2</v>
      </c>
      <c r="H20" s="313" t="s">
        <v>2</v>
      </c>
      <c r="I20" s="313" t="s">
        <v>2</v>
      </c>
      <c r="J20" s="313" t="s">
        <v>2</v>
      </c>
      <c r="K20" s="314" t="s">
        <v>2</v>
      </c>
      <c r="L20" s="313" t="s">
        <v>2</v>
      </c>
      <c r="M20" s="314" t="s">
        <v>2</v>
      </c>
      <c r="N20" s="313" t="s">
        <v>2</v>
      </c>
      <c r="O20" s="313" t="s">
        <v>2</v>
      </c>
      <c r="P20" s="313" t="s">
        <v>2</v>
      </c>
      <c r="Q20" s="313" t="s">
        <v>2</v>
      </c>
      <c r="R20" s="313" t="s">
        <v>2</v>
      </c>
      <c r="S20" s="313" t="s">
        <v>2</v>
      </c>
      <c r="T20" s="313" t="s">
        <v>2</v>
      </c>
      <c r="U20" s="313" t="s">
        <v>2</v>
      </c>
      <c r="V20" s="313" t="s">
        <v>2</v>
      </c>
    </row>
    <row r="21" spans="1:22" ht="14.5" customHeight="1">
      <c r="A21" s="315" t="s">
        <v>2</v>
      </c>
      <c r="B21" s="316" t="s">
        <v>231</v>
      </c>
      <c r="C21" s="369" t="s">
        <v>231</v>
      </c>
      <c r="D21" s="362"/>
      <c r="E21" s="316" t="s">
        <v>25</v>
      </c>
      <c r="F21" s="317">
        <v>86830613.530000001</v>
      </c>
      <c r="G21" s="318">
        <v>0</v>
      </c>
      <c r="H21" s="318">
        <v>0</v>
      </c>
      <c r="I21" s="318">
        <v>0</v>
      </c>
      <c r="J21" s="318">
        <v>0</v>
      </c>
      <c r="K21" s="317">
        <v>86830613.530000001</v>
      </c>
      <c r="L21" s="317">
        <v>253032.63</v>
      </c>
      <c r="M21" s="317">
        <v>-33561.22</v>
      </c>
      <c r="N21" s="317">
        <v>3290.22</v>
      </c>
      <c r="O21" s="318">
        <v>0</v>
      </c>
      <c r="P21" s="318">
        <v>0</v>
      </c>
      <c r="Q21" s="317">
        <v>87053375.159999996</v>
      </c>
      <c r="R21" s="319">
        <v>0</v>
      </c>
      <c r="S21" s="318">
        <v>0</v>
      </c>
      <c r="T21" s="319">
        <v>0.29140946921050698</v>
      </c>
      <c r="U21" s="319">
        <v>0.25275810117842001</v>
      </c>
      <c r="V21" s="319">
        <v>0.25654734078670999</v>
      </c>
    </row>
    <row r="22" spans="1:22" ht="14.5" customHeight="1">
      <c r="A22" s="371" t="s">
        <v>232</v>
      </c>
      <c r="B22" s="367"/>
      <c r="C22" s="367"/>
      <c r="D22" s="367"/>
      <c r="E22" s="367"/>
      <c r="F22" s="325">
        <v>86830613.530000001</v>
      </c>
      <c r="G22" s="326">
        <v>0</v>
      </c>
      <c r="H22" s="326">
        <v>0</v>
      </c>
      <c r="I22" s="326">
        <v>0</v>
      </c>
      <c r="J22" s="326">
        <v>0</v>
      </c>
      <c r="K22" s="325">
        <v>86830613.530000001</v>
      </c>
      <c r="L22" s="325">
        <v>253032.63</v>
      </c>
      <c r="M22" s="325">
        <v>-33561.22</v>
      </c>
      <c r="N22" s="325">
        <v>3290.22</v>
      </c>
      <c r="O22" s="326">
        <v>0</v>
      </c>
      <c r="P22" s="326">
        <v>0</v>
      </c>
      <c r="Q22" s="325">
        <v>87053375.159999996</v>
      </c>
      <c r="R22" s="327">
        <v>0</v>
      </c>
      <c r="S22" s="328" t="s">
        <v>2</v>
      </c>
      <c r="T22" s="328" t="s">
        <v>2</v>
      </c>
      <c r="U22" s="328" t="s">
        <v>2</v>
      </c>
      <c r="V22" s="328" t="s">
        <v>2</v>
      </c>
    </row>
    <row r="23" spans="1:22" ht="14.5" customHeight="1">
      <c r="A23" s="368" t="s">
        <v>221</v>
      </c>
      <c r="B23" s="362"/>
      <c r="C23" s="362"/>
      <c r="D23" s="362"/>
      <c r="E23" s="362"/>
      <c r="F23" s="313" t="s">
        <v>2</v>
      </c>
      <c r="G23" s="313" t="s">
        <v>2</v>
      </c>
      <c r="H23" s="313" t="s">
        <v>2</v>
      </c>
      <c r="I23" s="313" t="s">
        <v>2</v>
      </c>
      <c r="J23" s="313" t="s">
        <v>2</v>
      </c>
      <c r="K23" s="314" t="s">
        <v>2</v>
      </c>
      <c r="L23" s="313" t="s">
        <v>2</v>
      </c>
      <c r="M23" s="314" t="s">
        <v>2</v>
      </c>
      <c r="N23" s="313" t="s">
        <v>2</v>
      </c>
      <c r="O23" s="313" t="s">
        <v>2</v>
      </c>
      <c r="P23" s="313" t="s">
        <v>2</v>
      </c>
      <c r="Q23" s="313" t="s">
        <v>2</v>
      </c>
      <c r="R23" s="313" t="s">
        <v>2</v>
      </c>
      <c r="S23" s="313" t="s">
        <v>2</v>
      </c>
      <c r="T23" s="313" t="s">
        <v>2</v>
      </c>
      <c r="U23" s="313" t="s">
        <v>2</v>
      </c>
      <c r="V23" s="313" t="s">
        <v>2</v>
      </c>
    </row>
    <row r="24" spans="1:22" ht="14.5" customHeight="1">
      <c r="A24" s="320" t="s">
        <v>2</v>
      </c>
      <c r="B24" s="321" t="s">
        <v>222</v>
      </c>
      <c r="C24" s="370" t="s">
        <v>222</v>
      </c>
      <c r="D24" s="362"/>
      <c r="E24" s="321" t="s">
        <v>25</v>
      </c>
      <c r="F24" s="322">
        <v>75673948.329999998</v>
      </c>
      <c r="G24" s="323">
        <v>0</v>
      </c>
      <c r="H24" s="323">
        <v>0</v>
      </c>
      <c r="I24" s="323">
        <v>0</v>
      </c>
      <c r="J24" s="323">
        <v>0</v>
      </c>
      <c r="K24" s="322">
        <v>75673948.329999998</v>
      </c>
      <c r="L24" s="322">
        <v>376767.68</v>
      </c>
      <c r="M24" s="322">
        <v>-32129.95</v>
      </c>
      <c r="N24" s="322">
        <v>0</v>
      </c>
      <c r="O24" s="323">
        <v>-1005398.34</v>
      </c>
      <c r="P24" s="323">
        <v>0</v>
      </c>
      <c r="Q24" s="322">
        <v>75013187.719999999</v>
      </c>
      <c r="R24" s="324">
        <v>0</v>
      </c>
      <c r="S24" s="323">
        <v>0</v>
      </c>
      <c r="T24" s="324">
        <v>0.49788294163928898</v>
      </c>
      <c r="U24" s="324">
        <v>0.45542453857052501</v>
      </c>
      <c r="V24" s="324">
        <v>0.45542453857052501</v>
      </c>
    </row>
    <row r="25" spans="1:22" ht="14.5" customHeight="1">
      <c r="A25" s="371" t="s">
        <v>223</v>
      </c>
      <c r="B25" s="367"/>
      <c r="C25" s="367"/>
      <c r="D25" s="367"/>
      <c r="E25" s="367"/>
      <c r="F25" s="325">
        <v>75673948.329999998</v>
      </c>
      <c r="G25" s="326">
        <v>0</v>
      </c>
      <c r="H25" s="326">
        <v>0</v>
      </c>
      <c r="I25" s="326">
        <v>0</v>
      </c>
      <c r="J25" s="326">
        <v>0</v>
      </c>
      <c r="K25" s="325">
        <v>75673948.329999998</v>
      </c>
      <c r="L25" s="325">
        <v>376767.68</v>
      </c>
      <c r="M25" s="325">
        <v>-32129.95</v>
      </c>
      <c r="N25" s="325">
        <v>0</v>
      </c>
      <c r="O25" s="326">
        <v>-1005398.34</v>
      </c>
      <c r="P25" s="326">
        <v>0</v>
      </c>
      <c r="Q25" s="325">
        <v>75013187.719999999</v>
      </c>
      <c r="R25" s="327">
        <v>0</v>
      </c>
      <c r="S25" s="328" t="s">
        <v>2</v>
      </c>
      <c r="T25" s="328" t="s">
        <v>2</v>
      </c>
      <c r="U25" s="328" t="s">
        <v>2</v>
      </c>
      <c r="V25" s="328" t="s">
        <v>2</v>
      </c>
    </row>
    <row r="26" spans="1:22" ht="14.5" customHeight="1">
      <c r="A26" s="368" t="s">
        <v>37</v>
      </c>
      <c r="B26" s="362"/>
      <c r="C26" s="362"/>
      <c r="D26" s="362"/>
      <c r="E26" s="362"/>
      <c r="F26" s="313" t="s">
        <v>2</v>
      </c>
      <c r="G26" s="313" t="s">
        <v>2</v>
      </c>
      <c r="H26" s="313" t="s">
        <v>2</v>
      </c>
      <c r="I26" s="313" t="s">
        <v>2</v>
      </c>
      <c r="J26" s="313" t="s">
        <v>2</v>
      </c>
      <c r="K26" s="314" t="s">
        <v>2</v>
      </c>
      <c r="L26" s="313" t="s">
        <v>2</v>
      </c>
      <c r="M26" s="314" t="s">
        <v>2</v>
      </c>
      <c r="N26" s="313" t="s">
        <v>2</v>
      </c>
      <c r="O26" s="313" t="s">
        <v>2</v>
      </c>
      <c r="P26" s="313" t="s">
        <v>2</v>
      </c>
      <c r="Q26" s="313" t="s">
        <v>2</v>
      </c>
      <c r="R26" s="313" t="s">
        <v>2</v>
      </c>
      <c r="S26" s="313" t="s">
        <v>2</v>
      </c>
      <c r="T26" s="313" t="s">
        <v>2</v>
      </c>
      <c r="U26" s="313" t="s">
        <v>2</v>
      </c>
      <c r="V26" s="313" t="s">
        <v>2</v>
      </c>
    </row>
    <row r="27" spans="1:22">
      <c r="A27" s="315" t="s">
        <v>2</v>
      </c>
      <c r="B27" s="316" t="s">
        <v>38</v>
      </c>
      <c r="C27" s="369" t="s">
        <v>38</v>
      </c>
      <c r="D27" s="362"/>
      <c r="E27" s="316" t="s">
        <v>25</v>
      </c>
      <c r="F27" s="317">
        <v>31522680.532299999</v>
      </c>
      <c r="G27" s="318">
        <v>0</v>
      </c>
      <c r="H27" s="318">
        <v>0</v>
      </c>
      <c r="I27" s="318">
        <v>0</v>
      </c>
      <c r="J27" s="318">
        <v>0</v>
      </c>
      <c r="K27" s="317">
        <v>31522680.532299999</v>
      </c>
      <c r="L27" s="317">
        <v>130930.34</v>
      </c>
      <c r="M27" s="317">
        <v>-7465.45</v>
      </c>
      <c r="N27" s="317">
        <v>2021.16</v>
      </c>
      <c r="O27" s="318">
        <v>0</v>
      </c>
      <c r="P27" s="318">
        <v>0</v>
      </c>
      <c r="Q27" s="317">
        <v>31648166.5823</v>
      </c>
      <c r="R27" s="319">
        <v>0</v>
      </c>
      <c r="S27" s="318">
        <v>0</v>
      </c>
      <c r="T27" s="319">
        <v>0.41535281197245</v>
      </c>
      <c r="U27" s="319">
        <v>0.39167002271107798</v>
      </c>
      <c r="V27" s="319">
        <v>0.398081787084761</v>
      </c>
    </row>
    <row r="28" spans="1:22">
      <c r="A28" s="320" t="s">
        <v>2</v>
      </c>
      <c r="B28" s="321" t="s">
        <v>39</v>
      </c>
      <c r="C28" s="370" t="s">
        <v>39</v>
      </c>
      <c r="D28" s="362"/>
      <c r="E28" s="321" t="s">
        <v>25</v>
      </c>
      <c r="F28" s="322">
        <v>41336121.697700001</v>
      </c>
      <c r="G28" s="323">
        <v>0</v>
      </c>
      <c r="H28" s="323">
        <v>0</v>
      </c>
      <c r="I28" s="323">
        <v>0</v>
      </c>
      <c r="J28" s="323">
        <v>0</v>
      </c>
      <c r="K28" s="322">
        <v>41336121.697700001</v>
      </c>
      <c r="L28" s="322">
        <v>171690.76</v>
      </c>
      <c r="M28" s="322">
        <v>-9789.5400000000009</v>
      </c>
      <c r="N28" s="322">
        <v>2650.37</v>
      </c>
      <c r="O28" s="323">
        <v>0</v>
      </c>
      <c r="P28" s="323">
        <v>0</v>
      </c>
      <c r="Q28" s="322">
        <v>41500673.287699997</v>
      </c>
      <c r="R28" s="324">
        <v>0</v>
      </c>
      <c r="S28" s="323">
        <v>0</v>
      </c>
      <c r="T28" s="324">
        <v>0.41535285108654302</v>
      </c>
      <c r="U28" s="324">
        <v>0.39167007776883001</v>
      </c>
      <c r="V28" s="324">
        <v>0.39808183071310199</v>
      </c>
    </row>
    <row r="29" spans="1:22" ht="14.5" customHeight="1">
      <c r="A29" s="371" t="s">
        <v>40</v>
      </c>
      <c r="B29" s="367"/>
      <c r="C29" s="367"/>
      <c r="D29" s="367"/>
      <c r="E29" s="367"/>
      <c r="F29" s="325">
        <v>72858802.230000004</v>
      </c>
      <c r="G29" s="326">
        <v>0</v>
      </c>
      <c r="H29" s="326">
        <v>0</v>
      </c>
      <c r="I29" s="326">
        <v>0</v>
      </c>
      <c r="J29" s="326">
        <v>0</v>
      </c>
      <c r="K29" s="325">
        <v>72858802.230000004</v>
      </c>
      <c r="L29" s="325">
        <v>302621.09999999998</v>
      </c>
      <c r="M29" s="325">
        <v>-17254.990000000002</v>
      </c>
      <c r="N29" s="325">
        <v>4671.53</v>
      </c>
      <c r="O29" s="326">
        <v>0</v>
      </c>
      <c r="P29" s="326">
        <v>0</v>
      </c>
      <c r="Q29" s="325">
        <v>73148839.870000005</v>
      </c>
      <c r="R29" s="327">
        <v>0</v>
      </c>
      <c r="S29" s="328" t="s">
        <v>2</v>
      </c>
      <c r="T29" s="328" t="s">
        <v>2</v>
      </c>
      <c r="U29" s="328" t="s">
        <v>2</v>
      </c>
      <c r="V29" s="328" t="s">
        <v>2</v>
      </c>
    </row>
    <row r="30" spans="1:22" ht="14.5" customHeight="1">
      <c r="A30" s="368" t="s">
        <v>41</v>
      </c>
      <c r="B30" s="362"/>
      <c r="C30" s="362"/>
      <c r="D30" s="362"/>
      <c r="E30" s="362"/>
      <c r="F30" s="313" t="s">
        <v>2</v>
      </c>
      <c r="G30" s="313" t="s">
        <v>2</v>
      </c>
      <c r="H30" s="313" t="s">
        <v>2</v>
      </c>
      <c r="I30" s="313" t="s">
        <v>2</v>
      </c>
      <c r="J30" s="313" t="s">
        <v>2</v>
      </c>
      <c r="K30" s="314" t="s">
        <v>2</v>
      </c>
      <c r="L30" s="313" t="s">
        <v>2</v>
      </c>
      <c r="M30" s="314" t="s">
        <v>2</v>
      </c>
      <c r="N30" s="313" t="s">
        <v>2</v>
      </c>
      <c r="O30" s="313" t="s">
        <v>2</v>
      </c>
      <c r="P30" s="313" t="s">
        <v>2</v>
      </c>
      <c r="Q30" s="313" t="s">
        <v>2</v>
      </c>
      <c r="R30" s="313" t="s">
        <v>2</v>
      </c>
      <c r="S30" s="313" t="s">
        <v>2</v>
      </c>
      <c r="T30" s="313" t="s">
        <v>2</v>
      </c>
      <c r="U30" s="313" t="s">
        <v>2</v>
      </c>
      <c r="V30" s="313" t="s">
        <v>2</v>
      </c>
    </row>
    <row r="31" spans="1:22" ht="22.5">
      <c r="A31" s="315" t="s">
        <v>2</v>
      </c>
      <c r="B31" s="316" t="s">
        <v>233</v>
      </c>
      <c r="C31" s="369" t="s">
        <v>233</v>
      </c>
      <c r="D31" s="362"/>
      <c r="E31" s="316" t="s">
        <v>25</v>
      </c>
      <c r="F31" s="317">
        <v>2543549.5883999998</v>
      </c>
      <c r="G31" s="318">
        <v>0</v>
      </c>
      <c r="H31" s="318">
        <v>0</v>
      </c>
      <c r="I31" s="318">
        <v>0</v>
      </c>
      <c r="J31" s="318">
        <v>0</v>
      </c>
      <c r="K31" s="317">
        <v>2543549.5883999998</v>
      </c>
      <c r="L31" s="317">
        <v>10991.58</v>
      </c>
      <c r="M31" s="317">
        <v>-759.5</v>
      </c>
      <c r="N31" s="317">
        <v>176.21</v>
      </c>
      <c r="O31" s="318">
        <v>0</v>
      </c>
      <c r="P31" s="318">
        <v>0</v>
      </c>
      <c r="Q31" s="317">
        <v>2553957.8783999998</v>
      </c>
      <c r="R31" s="319">
        <v>0</v>
      </c>
      <c r="S31" s="318">
        <v>0</v>
      </c>
      <c r="T31" s="319">
        <v>0.43213547123782098</v>
      </c>
      <c r="U31" s="319">
        <v>0.402275624845844</v>
      </c>
      <c r="V31" s="319">
        <v>0.40920334509960399</v>
      </c>
    </row>
    <row r="32" spans="1:22">
      <c r="A32" s="320" t="s">
        <v>2</v>
      </c>
      <c r="B32" s="321" t="s">
        <v>29</v>
      </c>
      <c r="C32" s="370" t="s">
        <v>29</v>
      </c>
      <c r="D32" s="362"/>
      <c r="E32" s="321" t="s">
        <v>25</v>
      </c>
      <c r="F32" s="322">
        <v>1186060.51</v>
      </c>
      <c r="G32" s="323">
        <v>0</v>
      </c>
      <c r="H32" s="323">
        <v>0</v>
      </c>
      <c r="I32" s="323">
        <v>0</v>
      </c>
      <c r="J32" s="323">
        <v>0</v>
      </c>
      <c r="K32" s="322">
        <v>1186060.51</v>
      </c>
      <c r="L32" s="322">
        <v>5125.38</v>
      </c>
      <c r="M32" s="322">
        <v>-354.15</v>
      </c>
      <c r="N32" s="322">
        <v>82.16</v>
      </c>
      <c r="O32" s="323">
        <v>0</v>
      </c>
      <c r="P32" s="323">
        <v>0</v>
      </c>
      <c r="Q32" s="322">
        <v>1190913.8999999999</v>
      </c>
      <c r="R32" s="324">
        <v>0</v>
      </c>
      <c r="S32" s="323">
        <v>0</v>
      </c>
      <c r="T32" s="324">
        <v>0.43213478206099298</v>
      </c>
      <c r="U32" s="324">
        <v>0.402275428595123</v>
      </c>
      <c r="V32" s="324">
        <v>0.40920256252356002</v>
      </c>
    </row>
    <row r="33" spans="1:22">
      <c r="A33" s="315" t="s">
        <v>2</v>
      </c>
      <c r="B33" s="316" t="s">
        <v>164</v>
      </c>
      <c r="C33" s="369" t="s">
        <v>164</v>
      </c>
      <c r="D33" s="362"/>
      <c r="E33" s="316" t="s">
        <v>25</v>
      </c>
      <c r="F33" s="317">
        <v>60986602.460000001</v>
      </c>
      <c r="G33" s="318">
        <v>0</v>
      </c>
      <c r="H33" s="318">
        <v>0</v>
      </c>
      <c r="I33" s="318">
        <v>0</v>
      </c>
      <c r="J33" s="318">
        <v>0</v>
      </c>
      <c r="K33" s="317">
        <v>60986602.460000001</v>
      </c>
      <c r="L33" s="317">
        <v>263544.28000000003</v>
      </c>
      <c r="M33" s="317">
        <v>-18210.38</v>
      </c>
      <c r="N33" s="317">
        <v>4224.88</v>
      </c>
      <c r="O33" s="318">
        <v>0</v>
      </c>
      <c r="P33" s="318">
        <v>0</v>
      </c>
      <c r="Q33" s="317">
        <v>61236161.240000002</v>
      </c>
      <c r="R33" s="319">
        <v>0</v>
      </c>
      <c r="S33" s="318">
        <v>0</v>
      </c>
      <c r="T33" s="319">
        <v>0.43213471380514101</v>
      </c>
      <c r="U33" s="319">
        <v>0.40227507371132898</v>
      </c>
      <c r="V33" s="319">
        <v>0.409202628009457</v>
      </c>
    </row>
    <row r="34" spans="1:22">
      <c r="A34" s="320" t="s">
        <v>2</v>
      </c>
      <c r="B34" s="321" t="s">
        <v>165</v>
      </c>
      <c r="C34" s="370" t="s">
        <v>165</v>
      </c>
      <c r="D34" s="362"/>
      <c r="E34" s="321" t="s">
        <v>25</v>
      </c>
      <c r="F34" s="322">
        <v>16255273.539999999</v>
      </c>
      <c r="G34" s="323">
        <v>0</v>
      </c>
      <c r="H34" s="323">
        <v>0</v>
      </c>
      <c r="I34" s="323">
        <v>0</v>
      </c>
      <c r="J34" s="323">
        <v>0</v>
      </c>
      <c r="K34" s="322">
        <v>16255273.539999999</v>
      </c>
      <c r="L34" s="322">
        <v>70244.67</v>
      </c>
      <c r="M34" s="322">
        <v>-4853.76</v>
      </c>
      <c r="N34" s="322">
        <v>1126.0899999999999</v>
      </c>
      <c r="O34" s="323">
        <v>0</v>
      </c>
      <c r="P34" s="323">
        <v>0</v>
      </c>
      <c r="Q34" s="322">
        <v>16321790.539999999</v>
      </c>
      <c r="R34" s="324">
        <v>0</v>
      </c>
      <c r="S34" s="323">
        <v>0</v>
      </c>
      <c r="T34" s="324">
        <v>0.43213465357655301</v>
      </c>
      <c r="U34" s="324">
        <v>0.40227505147231102</v>
      </c>
      <c r="V34" s="324">
        <v>0.40920258792519798</v>
      </c>
    </row>
    <row r="35" spans="1:22">
      <c r="A35" s="315" t="s">
        <v>2</v>
      </c>
      <c r="B35" s="316" t="s">
        <v>42</v>
      </c>
      <c r="C35" s="369" t="s">
        <v>42</v>
      </c>
      <c r="D35" s="362"/>
      <c r="E35" s="316" t="s">
        <v>25</v>
      </c>
      <c r="F35" s="317">
        <v>58062283.229999997</v>
      </c>
      <c r="G35" s="318">
        <v>0</v>
      </c>
      <c r="H35" s="318">
        <v>-199319.44</v>
      </c>
      <c r="I35" s="318">
        <v>0</v>
      </c>
      <c r="J35" s="318">
        <v>0</v>
      </c>
      <c r="K35" s="317">
        <v>57862963.789999999</v>
      </c>
      <c r="L35" s="317">
        <v>250257.65</v>
      </c>
      <c r="M35" s="317">
        <v>-17397.8</v>
      </c>
      <c r="N35" s="317">
        <v>4008.49</v>
      </c>
      <c r="O35" s="318">
        <v>0</v>
      </c>
      <c r="P35" s="318">
        <v>0</v>
      </c>
      <c r="Q35" s="317">
        <v>58099832.130000003</v>
      </c>
      <c r="R35" s="319">
        <v>0</v>
      </c>
      <c r="S35" s="318">
        <v>0</v>
      </c>
      <c r="T35" s="319">
        <v>0.43250057309240397</v>
      </c>
      <c r="U35" s="319">
        <v>0.402433326514539</v>
      </c>
      <c r="V35" s="319">
        <v>0.409360883862876</v>
      </c>
    </row>
    <row r="36" spans="1:22">
      <c r="A36" s="320" t="s">
        <v>2</v>
      </c>
      <c r="B36" s="321" t="s">
        <v>224</v>
      </c>
      <c r="C36" s="370" t="s">
        <v>224</v>
      </c>
      <c r="D36" s="362"/>
      <c r="E36" s="321" t="s">
        <v>25</v>
      </c>
      <c r="F36" s="322">
        <v>50122770.380000003</v>
      </c>
      <c r="G36" s="323">
        <v>0</v>
      </c>
      <c r="H36" s="323">
        <v>-172064.44</v>
      </c>
      <c r="I36" s="323">
        <v>0</v>
      </c>
      <c r="J36" s="323">
        <v>0</v>
      </c>
      <c r="K36" s="322">
        <v>49950705.939999998</v>
      </c>
      <c r="L36" s="322">
        <v>216037.27</v>
      </c>
      <c r="M36" s="322">
        <v>-14961.77</v>
      </c>
      <c r="N36" s="322">
        <v>3460.37</v>
      </c>
      <c r="O36" s="323">
        <v>0</v>
      </c>
      <c r="P36" s="323">
        <v>0</v>
      </c>
      <c r="Q36" s="322">
        <v>50155241.810000002</v>
      </c>
      <c r="R36" s="324">
        <v>0</v>
      </c>
      <c r="S36" s="323">
        <v>0</v>
      </c>
      <c r="T36" s="324">
        <v>0.43250093454034599</v>
      </c>
      <c r="U36" s="324">
        <v>0.40254786437158402</v>
      </c>
      <c r="V36" s="324">
        <v>0.40947543413237297</v>
      </c>
    </row>
    <row r="37" spans="1:22">
      <c r="A37" s="315" t="s">
        <v>2</v>
      </c>
      <c r="B37" s="316" t="s">
        <v>159</v>
      </c>
      <c r="C37" s="369" t="s">
        <v>159</v>
      </c>
      <c r="D37" s="362"/>
      <c r="E37" s="316" t="s">
        <v>25</v>
      </c>
      <c r="F37" s="317">
        <v>17816432.629999999</v>
      </c>
      <c r="G37" s="318">
        <v>0</v>
      </c>
      <c r="H37" s="318">
        <v>0</v>
      </c>
      <c r="I37" s="318">
        <v>0</v>
      </c>
      <c r="J37" s="318">
        <v>0</v>
      </c>
      <c r="K37" s="317">
        <v>17816432.629999999</v>
      </c>
      <c r="L37" s="317">
        <v>76990.990000000005</v>
      </c>
      <c r="M37" s="317">
        <v>-5319.92</v>
      </c>
      <c r="N37" s="317">
        <v>1234.24</v>
      </c>
      <c r="O37" s="318">
        <v>0</v>
      </c>
      <c r="P37" s="318">
        <v>0</v>
      </c>
      <c r="Q37" s="317">
        <v>17889337.940000001</v>
      </c>
      <c r="R37" s="319">
        <v>0</v>
      </c>
      <c r="S37" s="318">
        <v>0</v>
      </c>
      <c r="T37" s="319">
        <v>0.43213471292990302</v>
      </c>
      <c r="U37" s="319">
        <v>0.40227508777103599</v>
      </c>
      <c r="V37" s="319">
        <v>0.40920262498138499</v>
      </c>
    </row>
    <row r="38" spans="1:22" ht="14.5" customHeight="1">
      <c r="A38" s="371" t="s">
        <v>43</v>
      </c>
      <c r="B38" s="367"/>
      <c r="C38" s="367"/>
      <c r="D38" s="367"/>
      <c r="E38" s="367"/>
      <c r="F38" s="325">
        <v>206972972.33840001</v>
      </c>
      <c r="G38" s="326">
        <v>0</v>
      </c>
      <c r="H38" s="326">
        <v>-371383.88</v>
      </c>
      <c r="I38" s="326">
        <v>0</v>
      </c>
      <c r="J38" s="326">
        <v>0</v>
      </c>
      <c r="K38" s="325">
        <v>206601588.45840001</v>
      </c>
      <c r="L38" s="325">
        <v>893191.82</v>
      </c>
      <c r="M38" s="325">
        <v>-61857.279999999999</v>
      </c>
      <c r="N38" s="325">
        <v>14312.44</v>
      </c>
      <c r="O38" s="326">
        <v>0</v>
      </c>
      <c r="P38" s="326">
        <v>0</v>
      </c>
      <c r="Q38" s="325">
        <v>207447235.4384</v>
      </c>
      <c r="R38" s="327">
        <v>0</v>
      </c>
      <c r="S38" s="328" t="s">
        <v>2</v>
      </c>
      <c r="T38" s="328" t="s">
        <v>2</v>
      </c>
      <c r="U38" s="328" t="s">
        <v>2</v>
      </c>
      <c r="V38" s="328" t="s">
        <v>2</v>
      </c>
    </row>
    <row r="39" spans="1:22" ht="14.5" customHeight="1">
      <c r="A39" s="368" t="s">
        <v>44</v>
      </c>
      <c r="B39" s="362"/>
      <c r="C39" s="362"/>
      <c r="D39" s="362"/>
      <c r="E39" s="362"/>
      <c r="F39" s="313" t="s">
        <v>2</v>
      </c>
      <c r="G39" s="313" t="s">
        <v>2</v>
      </c>
      <c r="H39" s="313" t="s">
        <v>2</v>
      </c>
      <c r="I39" s="313" t="s">
        <v>2</v>
      </c>
      <c r="J39" s="313" t="s">
        <v>2</v>
      </c>
      <c r="K39" s="314" t="s">
        <v>2</v>
      </c>
      <c r="L39" s="313" t="s">
        <v>2</v>
      </c>
      <c r="M39" s="314" t="s">
        <v>2</v>
      </c>
      <c r="N39" s="313" t="s">
        <v>2</v>
      </c>
      <c r="O39" s="313" t="s">
        <v>2</v>
      </c>
      <c r="P39" s="313" t="s">
        <v>2</v>
      </c>
      <c r="Q39" s="313" t="s">
        <v>2</v>
      </c>
      <c r="R39" s="313" t="s">
        <v>2</v>
      </c>
      <c r="S39" s="313" t="s">
        <v>2</v>
      </c>
      <c r="T39" s="313" t="s">
        <v>2</v>
      </c>
      <c r="U39" s="313" t="s">
        <v>2</v>
      </c>
      <c r="V39" s="313" t="s">
        <v>2</v>
      </c>
    </row>
    <row r="40" spans="1:22">
      <c r="A40" s="320" t="s">
        <v>2</v>
      </c>
      <c r="B40" s="321" t="s">
        <v>38</v>
      </c>
      <c r="C40" s="370" t="s">
        <v>38</v>
      </c>
      <c r="D40" s="362"/>
      <c r="E40" s="321" t="s">
        <v>25</v>
      </c>
      <c r="F40" s="322">
        <v>51411184.694200002</v>
      </c>
      <c r="G40" s="323">
        <v>0</v>
      </c>
      <c r="H40" s="323">
        <v>0</v>
      </c>
      <c r="I40" s="323">
        <v>0</v>
      </c>
      <c r="J40" s="323">
        <v>0</v>
      </c>
      <c r="K40" s="322">
        <v>51411184.694200002</v>
      </c>
      <c r="L40" s="322">
        <v>209795.78</v>
      </c>
      <c r="M40" s="322">
        <v>-19690.04</v>
      </c>
      <c r="N40" s="322">
        <v>4423.29</v>
      </c>
      <c r="O40" s="323">
        <v>0</v>
      </c>
      <c r="P40" s="323">
        <v>0</v>
      </c>
      <c r="Q40" s="322">
        <v>51605713.724200003</v>
      </c>
      <c r="R40" s="324">
        <v>0</v>
      </c>
      <c r="S40" s="323">
        <v>0</v>
      </c>
      <c r="T40" s="324">
        <v>0.40807419873300099</v>
      </c>
      <c r="U40" s="324">
        <v>0.36977506184845199</v>
      </c>
      <c r="V40" s="324">
        <v>0.37837881223139003</v>
      </c>
    </row>
    <row r="41" spans="1:22">
      <c r="A41" s="315" t="s">
        <v>2</v>
      </c>
      <c r="B41" s="316" t="s">
        <v>164</v>
      </c>
      <c r="C41" s="369" t="s">
        <v>164</v>
      </c>
      <c r="D41" s="362"/>
      <c r="E41" s="316" t="s">
        <v>25</v>
      </c>
      <c r="F41" s="317">
        <v>302326862.52999997</v>
      </c>
      <c r="G41" s="318">
        <v>0</v>
      </c>
      <c r="H41" s="318">
        <v>0</v>
      </c>
      <c r="I41" s="318">
        <v>0</v>
      </c>
      <c r="J41" s="318">
        <v>0</v>
      </c>
      <c r="K41" s="317">
        <v>302326862.52999997</v>
      </c>
      <c r="L41" s="317">
        <v>1233717.79</v>
      </c>
      <c r="M41" s="317">
        <v>-115788.61</v>
      </c>
      <c r="N41" s="317">
        <v>26011.46</v>
      </c>
      <c r="O41" s="318">
        <v>0</v>
      </c>
      <c r="P41" s="318">
        <v>0</v>
      </c>
      <c r="Q41" s="317">
        <v>303470803.17000002</v>
      </c>
      <c r="R41" s="319">
        <v>0</v>
      </c>
      <c r="S41" s="318">
        <v>0</v>
      </c>
      <c r="T41" s="319">
        <v>0.40807415512988998</v>
      </c>
      <c r="U41" s="319">
        <v>0.36977500796478802</v>
      </c>
      <c r="V41" s="319">
        <v>0.37837876212090998</v>
      </c>
    </row>
    <row r="42" spans="1:22">
      <c r="A42" s="320" t="s">
        <v>2</v>
      </c>
      <c r="B42" s="321" t="s">
        <v>234</v>
      </c>
      <c r="C42" s="370" t="s">
        <v>234</v>
      </c>
      <c r="D42" s="362"/>
      <c r="E42" s="321" t="s">
        <v>25</v>
      </c>
      <c r="F42" s="322">
        <v>20222759.09</v>
      </c>
      <c r="G42" s="323">
        <v>0</v>
      </c>
      <c r="H42" s="323">
        <v>0</v>
      </c>
      <c r="I42" s="323">
        <v>0</v>
      </c>
      <c r="J42" s="323">
        <v>0</v>
      </c>
      <c r="K42" s="322">
        <v>20222759.09</v>
      </c>
      <c r="L42" s="322">
        <v>82523.89</v>
      </c>
      <c r="M42" s="322">
        <v>-7745.15</v>
      </c>
      <c r="N42" s="322">
        <v>1739.92</v>
      </c>
      <c r="O42" s="323">
        <v>0</v>
      </c>
      <c r="P42" s="323">
        <v>0</v>
      </c>
      <c r="Q42" s="322">
        <v>20299277.75</v>
      </c>
      <c r="R42" s="324">
        <v>0</v>
      </c>
      <c r="S42" s="323">
        <v>0</v>
      </c>
      <c r="T42" s="324">
        <v>0.40807433660626202</v>
      </c>
      <c r="U42" s="324">
        <v>0.369775161080654</v>
      </c>
      <c r="V42" s="324">
        <v>0.37837893266422701</v>
      </c>
    </row>
    <row r="43" spans="1:22">
      <c r="A43" s="315" t="s">
        <v>2</v>
      </c>
      <c r="B43" s="316" t="s">
        <v>45</v>
      </c>
      <c r="C43" s="369" t="s">
        <v>45</v>
      </c>
      <c r="D43" s="362"/>
      <c r="E43" s="316" t="s">
        <v>25</v>
      </c>
      <c r="F43" s="317">
        <v>10058933.372300001</v>
      </c>
      <c r="G43" s="318">
        <v>94550578.890000001</v>
      </c>
      <c r="H43" s="318">
        <v>0</v>
      </c>
      <c r="I43" s="318">
        <v>0</v>
      </c>
      <c r="J43" s="318">
        <v>0</v>
      </c>
      <c r="K43" s="317">
        <v>104609512.2623</v>
      </c>
      <c r="L43" s="317">
        <v>407288.58</v>
      </c>
      <c r="M43" s="317">
        <v>-34260.47</v>
      </c>
      <c r="N43" s="317">
        <v>6918.5</v>
      </c>
      <c r="O43" s="318">
        <v>0</v>
      </c>
      <c r="P43" s="318">
        <v>0</v>
      </c>
      <c r="Q43" s="317">
        <v>104989458.8723</v>
      </c>
      <c r="R43" s="319">
        <v>0</v>
      </c>
      <c r="S43" s="318">
        <v>0</v>
      </c>
      <c r="T43" s="319">
        <v>0.38934182101791698</v>
      </c>
      <c r="U43" s="319">
        <v>0.35659100394681298</v>
      </c>
      <c r="V43" s="319">
        <v>0.363204647247866</v>
      </c>
    </row>
    <row r="44" spans="1:22">
      <c r="A44" s="320" t="s">
        <v>2</v>
      </c>
      <c r="B44" s="321" t="s">
        <v>31</v>
      </c>
      <c r="C44" s="370" t="s">
        <v>31</v>
      </c>
      <c r="D44" s="362"/>
      <c r="E44" s="321" t="s">
        <v>25</v>
      </c>
      <c r="F44" s="322">
        <v>31205808.529399998</v>
      </c>
      <c r="G44" s="323">
        <v>0</v>
      </c>
      <c r="H44" s="323">
        <v>0</v>
      </c>
      <c r="I44" s="323">
        <v>0</v>
      </c>
      <c r="J44" s="323">
        <v>0</v>
      </c>
      <c r="K44" s="322">
        <v>31205808.529399998</v>
      </c>
      <c r="L44" s="322">
        <v>127342.83</v>
      </c>
      <c r="M44" s="322">
        <v>-11951.55</v>
      </c>
      <c r="N44" s="322">
        <v>2684.87</v>
      </c>
      <c r="O44" s="323">
        <v>0</v>
      </c>
      <c r="P44" s="323">
        <v>0</v>
      </c>
      <c r="Q44" s="322">
        <v>31323884.679400001</v>
      </c>
      <c r="R44" s="324">
        <v>0</v>
      </c>
      <c r="S44" s="323">
        <v>0</v>
      </c>
      <c r="T44" s="324">
        <v>0.40807412466184401</v>
      </c>
      <c r="U44" s="324">
        <v>0.36977500484016002</v>
      </c>
      <c r="V44" s="324">
        <v>0.37837875563697299</v>
      </c>
    </row>
    <row r="45" spans="1:22">
      <c r="A45" s="315" t="s">
        <v>2</v>
      </c>
      <c r="B45" s="316" t="s">
        <v>33</v>
      </c>
      <c r="C45" s="369" t="s">
        <v>33</v>
      </c>
      <c r="D45" s="362"/>
      <c r="E45" s="316" t="s">
        <v>25</v>
      </c>
      <c r="F45" s="317">
        <v>28163619.530000001</v>
      </c>
      <c r="G45" s="318">
        <v>0</v>
      </c>
      <c r="H45" s="318">
        <v>0</v>
      </c>
      <c r="I45" s="318">
        <v>0</v>
      </c>
      <c r="J45" s="318">
        <v>0</v>
      </c>
      <c r="K45" s="317">
        <v>28163619.530000001</v>
      </c>
      <c r="L45" s="317">
        <v>114928.43</v>
      </c>
      <c r="M45" s="317">
        <v>-10786.43</v>
      </c>
      <c r="N45" s="317">
        <v>2423.13</v>
      </c>
      <c r="O45" s="318">
        <v>0</v>
      </c>
      <c r="P45" s="318">
        <v>0</v>
      </c>
      <c r="Q45" s="317">
        <v>28270184.66</v>
      </c>
      <c r="R45" s="319">
        <v>0</v>
      </c>
      <c r="S45" s="318">
        <v>0</v>
      </c>
      <c r="T45" s="319">
        <v>0.408074075413417</v>
      </c>
      <c r="U45" s="319">
        <v>0.36977491436804699</v>
      </c>
      <c r="V45" s="319">
        <v>0.37837867354544502</v>
      </c>
    </row>
    <row r="46" spans="1:22">
      <c r="A46" s="320" t="s">
        <v>2</v>
      </c>
      <c r="B46" s="321" t="s">
        <v>39</v>
      </c>
      <c r="C46" s="370" t="s">
        <v>39</v>
      </c>
      <c r="D46" s="362"/>
      <c r="E46" s="321" t="s">
        <v>25</v>
      </c>
      <c r="F46" s="322">
        <v>41000718.811999999</v>
      </c>
      <c r="G46" s="323">
        <v>0</v>
      </c>
      <c r="H46" s="323">
        <v>0</v>
      </c>
      <c r="I46" s="323">
        <v>0</v>
      </c>
      <c r="J46" s="323">
        <v>0</v>
      </c>
      <c r="K46" s="322">
        <v>41000718.811999999</v>
      </c>
      <c r="L46" s="322">
        <v>167313.35999999999</v>
      </c>
      <c r="M46" s="322">
        <v>-15702.92</v>
      </c>
      <c r="N46" s="322">
        <v>3527.6</v>
      </c>
      <c r="O46" s="323">
        <v>0</v>
      </c>
      <c r="P46" s="323">
        <v>0</v>
      </c>
      <c r="Q46" s="322">
        <v>41155856.851999998</v>
      </c>
      <c r="R46" s="324">
        <v>0</v>
      </c>
      <c r="S46" s="323">
        <v>0</v>
      </c>
      <c r="T46" s="324">
        <v>0.40807421149658302</v>
      </c>
      <c r="U46" s="324">
        <v>0.369775078078941</v>
      </c>
      <c r="V46" s="324">
        <v>0.37837882967699199</v>
      </c>
    </row>
    <row r="47" spans="1:22" ht="14.5" customHeight="1">
      <c r="A47" s="371" t="s">
        <v>46</v>
      </c>
      <c r="B47" s="367"/>
      <c r="C47" s="367"/>
      <c r="D47" s="367"/>
      <c r="E47" s="367"/>
      <c r="F47" s="325">
        <v>484389886.55790001</v>
      </c>
      <c r="G47" s="326">
        <v>94550578.890000001</v>
      </c>
      <c r="H47" s="326">
        <v>0</v>
      </c>
      <c r="I47" s="326">
        <v>0</v>
      </c>
      <c r="J47" s="326">
        <v>0</v>
      </c>
      <c r="K47" s="325">
        <v>578940465.44790006</v>
      </c>
      <c r="L47" s="325">
        <v>2342910.66</v>
      </c>
      <c r="M47" s="325">
        <v>-215925.17</v>
      </c>
      <c r="N47" s="325">
        <v>47728.77</v>
      </c>
      <c r="O47" s="326">
        <v>0</v>
      </c>
      <c r="P47" s="326">
        <v>0</v>
      </c>
      <c r="Q47" s="325">
        <v>581115179.70790005</v>
      </c>
      <c r="R47" s="327">
        <v>0</v>
      </c>
      <c r="S47" s="328" t="s">
        <v>2</v>
      </c>
      <c r="T47" s="328" t="s">
        <v>2</v>
      </c>
      <c r="U47" s="328" t="s">
        <v>2</v>
      </c>
      <c r="V47" s="328" t="s">
        <v>2</v>
      </c>
    </row>
    <row r="48" spans="1:22" ht="14.5" customHeight="1">
      <c r="A48" s="368" t="s">
        <v>47</v>
      </c>
      <c r="B48" s="362"/>
      <c r="C48" s="362"/>
      <c r="D48" s="362"/>
      <c r="E48" s="362"/>
      <c r="F48" s="313" t="s">
        <v>2</v>
      </c>
      <c r="G48" s="313" t="s">
        <v>2</v>
      </c>
      <c r="H48" s="313" t="s">
        <v>2</v>
      </c>
      <c r="I48" s="313" t="s">
        <v>2</v>
      </c>
      <c r="J48" s="313" t="s">
        <v>2</v>
      </c>
      <c r="K48" s="314" t="s">
        <v>2</v>
      </c>
      <c r="L48" s="313" t="s">
        <v>2</v>
      </c>
      <c r="M48" s="314" t="s">
        <v>2</v>
      </c>
      <c r="N48" s="313" t="s">
        <v>2</v>
      </c>
      <c r="O48" s="313" t="s">
        <v>2</v>
      </c>
      <c r="P48" s="313" t="s">
        <v>2</v>
      </c>
      <c r="Q48" s="313" t="s">
        <v>2</v>
      </c>
      <c r="R48" s="313" t="s">
        <v>2</v>
      </c>
      <c r="S48" s="313" t="s">
        <v>2</v>
      </c>
      <c r="T48" s="313" t="s">
        <v>2</v>
      </c>
      <c r="U48" s="313" t="s">
        <v>2</v>
      </c>
      <c r="V48" s="313" t="s">
        <v>2</v>
      </c>
    </row>
    <row r="49" spans="1:22">
      <c r="A49" s="315" t="s">
        <v>2</v>
      </c>
      <c r="B49" s="316" t="s">
        <v>237</v>
      </c>
      <c r="C49" s="369" t="s">
        <v>237</v>
      </c>
      <c r="D49" s="362"/>
      <c r="E49" s="316" t="s">
        <v>25</v>
      </c>
      <c r="F49" s="317">
        <v>1503902.38</v>
      </c>
      <c r="G49" s="318">
        <v>0</v>
      </c>
      <c r="H49" s="318">
        <v>0</v>
      </c>
      <c r="I49" s="318">
        <v>0</v>
      </c>
      <c r="J49" s="318">
        <v>0</v>
      </c>
      <c r="K49" s="317">
        <v>1503902.38</v>
      </c>
      <c r="L49" s="317">
        <v>6606.02</v>
      </c>
      <c r="M49" s="317">
        <v>-575.91300000000001</v>
      </c>
      <c r="N49" s="317">
        <v>18.3</v>
      </c>
      <c r="O49" s="318">
        <v>0</v>
      </c>
      <c r="P49" s="318">
        <v>0</v>
      </c>
      <c r="Q49" s="317">
        <v>1509950.787</v>
      </c>
      <c r="R49" s="319">
        <v>0</v>
      </c>
      <c r="S49" s="318">
        <v>0</v>
      </c>
      <c r="T49" s="319">
        <v>0.43925856410972602</v>
      </c>
      <c r="U49" s="319">
        <v>0.40096399076115602</v>
      </c>
      <c r="V49" s="319">
        <v>0.40218082506126501</v>
      </c>
    </row>
    <row r="50" spans="1:22" ht="22.5">
      <c r="A50" s="320" t="s">
        <v>2</v>
      </c>
      <c r="B50" s="321" t="s">
        <v>233</v>
      </c>
      <c r="C50" s="370" t="s">
        <v>233</v>
      </c>
      <c r="D50" s="362"/>
      <c r="E50" s="321" t="s">
        <v>25</v>
      </c>
      <c r="F50" s="322">
        <v>6561129.0999999996</v>
      </c>
      <c r="G50" s="323">
        <v>0</v>
      </c>
      <c r="H50" s="323">
        <v>0</v>
      </c>
      <c r="I50" s="323">
        <v>0</v>
      </c>
      <c r="J50" s="323">
        <v>0</v>
      </c>
      <c r="K50" s="322">
        <v>6561129.0999999996</v>
      </c>
      <c r="L50" s="322">
        <v>28820.29</v>
      </c>
      <c r="M50" s="322">
        <v>-2512.5628999999999</v>
      </c>
      <c r="N50" s="322">
        <v>79.819999999999993</v>
      </c>
      <c r="O50" s="323">
        <v>0</v>
      </c>
      <c r="P50" s="323">
        <v>0</v>
      </c>
      <c r="Q50" s="322">
        <v>6587516.6470999997</v>
      </c>
      <c r="R50" s="324">
        <v>0</v>
      </c>
      <c r="S50" s="323">
        <v>0</v>
      </c>
      <c r="T50" s="324">
        <v>0.43925808440501501</v>
      </c>
      <c r="U50" s="324">
        <v>0.40096341192250001</v>
      </c>
      <c r="V50" s="324">
        <v>0.40217997082239998</v>
      </c>
    </row>
    <row r="51" spans="1:22">
      <c r="A51" s="315" t="s">
        <v>2</v>
      </c>
      <c r="B51" s="316" t="s">
        <v>238</v>
      </c>
      <c r="C51" s="369" t="s">
        <v>238</v>
      </c>
      <c r="D51" s="362"/>
      <c r="E51" s="316" t="s">
        <v>25</v>
      </c>
      <c r="F51" s="317">
        <v>0</v>
      </c>
      <c r="G51" s="318">
        <v>9742000</v>
      </c>
      <c r="H51" s="318">
        <v>0</v>
      </c>
      <c r="I51" s="318">
        <v>0</v>
      </c>
      <c r="J51" s="318">
        <v>0</v>
      </c>
      <c r="K51" s="317">
        <v>9742000</v>
      </c>
      <c r="L51" s="317">
        <v>31860.49</v>
      </c>
      <c r="M51" s="317">
        <v>-2765.04</v>
      </c>
      <c r="N51" s="317">
        <v>-56.84</v>
      </c>
      <c r="O51" s="318">
        <v>0</v>
      </c>
      <c r="P51" s="318">
        <v>0</v>
      </c>
      <c r="Q51" s="317">
        <v>9771038.6099999994</v>
      </c>
      <c r="R51" s="319">
        <v>0</v>
      </c>
      <c r="S51" s="318">
        <v>0</v>
      </c>
      <c r="T51" s="319">
        <v>0.32704259905563499</v>
      </c>
      <c r="U51" s="319">
        <v>0.29865992609320502</v>
      </c>
      <c r="V51" s="319">
        <v>0.29807647300348999</v>
      </c>
    </row>
    <row r="52" spans="1:22">
      <c r="A52" s="320" t="s">
        <v>2</v>
      </c>
      <c r="B52" s="321" t="s">
        <v>48</v>
      </c>
      <c r="C52" s="370" t="s">
        <v>48</v>
      </c>
      <c r="D52" s="362"/>
      <c r="E52" s="321" t="s">
        <v>25</v>
      </c>
      <c r="F52" s="322">
        <v>14006522.0472</v>
      </c>
      <c r="G52" s="323">
        <v>0</v>
      </c>
      <c r="H52" s="323">
        <v>0</v>
      </c>
      <c r="I52" s="323">
        <v>0</v>
      </c>
      <c r="J52" s="323">
        <v>0</v>
      </c>
      <c r="K52" s="322">
        <v>14006522.0472</v>
      </c>
      <c r="L52" s="322">
        <v>61524.78</v>
      </c>
      <c r="M52" s="322">
        <v>-5363.7529999999997</v>
      </c>
      <c r="N52" s="322">
        <v>170.38</v>
      </c>
      <c r="O52" s="323">
        <v>0</v>
      </c>
      <c r="P52" s="323">
        <v>0</v>
      </c>
      <c r="Q52" s="322">
        <v>14062853.4542</v>
      </c>
      <c r="R52" s="324">
        <v>0</v>
      </c>
      <c r="S52" s="323">
        <v>0</v>
      </c>
      <c r="T52" s="324">
        <v>0.43925808129006</v>
      </c>
      <c r="U52" s="324">
        <v>0.40096339984148299</v>
      </c>
      <c r="V52" s="324">
        <v>0.40217983315323502</v>
      </c>
    </row>
    <row r="53" spans="1:22">
      <c r="A53" s="315" t="s">
        <v>2</v>
      </c>
      <c r="B53" s="316" t="s">
        <v>160</v>
      </c>
      <c r="C53" s="369" t="s">
        <v>160</v>
      </c>
      <c r="D53" s="362"/>
      <c r="E53" s="316" t="s">
        <v>25</v>
      </c>
      <c r="F53" s="317">
        <v>1020786.0215</v>
      </c>
      <c r="G53" s="318">
        <v>0</v>
      </c>
      <c r="H53" s="318">
        <v>0</v>
      </c>
      <c r="I53" s="318">
        <v>0</v>
      </c>
      <c r="J53" s="318">
        <v>0</v>
      </c>
      <c r="K53" s="317">
        <v>1020786.0215</v>
      </c>
      <c r="L53" s="317">
        <v>4483.88</v>
      </c>
      <c r="M53" s="317">
        <v>-390.90910000000002</v>
      </c>
      <c r="N53" s="317">
        <v>12.42</v>
      </c>
      <c r="O53" s="318">
        <v>0</v>
      </c>
      <c r="P53" s="318">
        <v>0</v>
      </c>
      <c r="Q53" s="317">
        <v>1024891.4124</v>
      </c>
      <c r="R53" s="319">
        <v>0</v>
      </c>
      <c r="S53" s="318">
        <v>0</v>
      </c>
      <c r="T53" s="319">
        <v>0.43925758244721402</v>
      </c>
      <c r="U53" s="319">
        <v>0.40096267129378999</v>
      </c>
      <c r="V53" s="319">
        <v>0.402179380744978</v>
      </c>
    </row>
    <row r="54" spans="1:22">
      <c r="A54" s="320" t="s">
        <v>2</v>
      </c>
      <c r="B54" s="321" t="s">
        <v>49</v>
      </c>
      <c r="C54" s="370" t="s">
        <v>49</v>
      </c>
      <c r="D54" s="362"/>
      <c r="E54" s="321" t="s">
        <v>25</v>
      </c>
      <c r="F54" s="322">
        <v>17381455.533</v>
      </c>
      <c r="G54" s="323">
        <v>0</v>
      </c>
      <c r="H54" s="323">
        <v>0</v>
      </c>
      <c r="I54" s="323">
        <v>0</v>
      </c>
      <c r="J54" s="323">
        <v>0</v>
      </c>
      <c r="K54" s="322">
        <v>17381455.533</v>
      </c>
      <c r="L54" s="322">
        <v>76349.460000000006</v>
      </c>
      <c r="M54" s="322">
        <v>-6656.1705000000002</v>
      </c>
      <c r="N54" s="322">
        <v>211.44</v>
      </c>
      <c r="O54" s="323">
        <v>0</v>
      </c>
      <c r="P54" s="323">
        <v>0</v>
      </c>
      <c r="Q54" s="322">
        <v>17451360.262499999</v>
      </c>
      <c r="R54" s="324">
        <v>0</v>
      </c>
      <c r="S54" s="323">
        <v>0</v>
      </c>
      <c r="T54" s="324">
        <v>0.43925814990030498</v>
      </c>
      <c r="U54" s="324">
        <v>0.40096348299302098</v>
      </c>
      <c r="V54" s="324">
        <v>0.40217995188769201</v>
      </c>
    </row>
    <row r="55" spans="1:22" ht="15">
      <c r="A55" s="315" t="s">
        <v>2</v>
      </c>
      <c r="B55" s="316" t="s">
        <v>50</v>
      </c>
      <c r="C55" s="369" t="s">
        <v>50</v>
      </c>
      <c r="D55" s="362"/>
      <c r="E55" s="316" t="s">
        <v>25</v>
      </c>
      <c r="F55" s="317">
        <v>2104524.7696000002</v>
      </c>
      <c r="G55" s="318">
        <v>0</v>
      </c>
      <c r="H55" s="318">
        <v>0</v>
      </c>
      <c r="I55" s="318">
        <v>0</v>
      </c>
      <c r="J55" s="318">
        <v>0</v>
      </c>
      <c r="K55" s="317">
        <v>2104524.7696000002</v>
      </c>
      <c r="L55" s="317">
        <v>9244.2900000000009</v>
      </c>
      <c r="M55" s="317">
        <v>-805.9194</v>
      </c>
      <c r="N55" s="317">
        <v>25.6</v>
      </c>
      <c r="O55" s="318">
        <v>0</v>
      </c>
      <c r="P55" s="318">
        <v>0</v>
      </c>
      <c r="Q55" s="317">
        <v>2112988.7401999999</v>
      </c>
      <c r="R55" s="319">
        <v>0</v>
      </c>
      <c r="S55" s="318">
        <v>0</v>
      </c>
      <c r="T55" s="319">
        <v>0.43925783785177502</v>
      </c>
      <c r="U55" s="319">
        <v>0.40096323511572901</v>
      </c>
      <c r="V55" s="319">
        <v>0.40217966175844599</v>
      </c>
    </row>
    <row r="56" spans="1:22">
      <c r="A56" s="320" t="s">
        <v>2</v>
      </c>
      <c r="B56" s="321" t="s">
        <v>29</v>
      </c>
      <c r="C56" s="370" t="s">
        <v>29</v>
      </c>
      <c r="D56" s="362"/>
      <c r="E56" s="321" t="s">
        <v>25</v>
      </c>
      <c r="F56" s="322">
        <v>202126.67</v>
      </c>
      <c r="G56" s="323">
        <v>0</v>
      </c>
      <c r="H56" s="323">
        <v>0</v>
      </c>
      <c r="I56" s="323">
        <v>0</v>
      </c>
      <c r="J56" s="323">
        <v>0</v>
      </c>
      <c r="K56" s="322">
        <v>202126.67</v>
      </c>
      <c r="L56" s="322">
        <v>887.87</v>
      </c>
      <c r="M56" s="322">
        <v>-77.41</v>
      </c>
      <c r="N56" s="322">
        <v>2.46</v>
      </c>
      <c r="O56" s="323">
        <v>0</v>
      </c>
      <c r="P56" s="323">
        <v>0</v>
      </c>
      <c r="Q56" s="322">
        <v>202939.59</v>
      </c>
      <c r="R56" s="324">
        <v>0</v>
      </c>
      <c r="S56" s="323">
        <v>0</v>
      </c>
      <c r="T56" s="324">
        <v>0.439264150544804</v>
      </c>
      <c r="U56" s="324">
        <v>0.40096638409963398</v>
      </c>
      <c r="V56" s="324">
        <v>0.40218344268967599</v>
      </c>
    </row>
    <row r="57" spans="1:22">
      <c r="A57" s="315" t="s">
        <v>2</v>
      </c>
      <c r="B57" s="316" t="s">
        <v>51</v>
      </c>
      <c r="C57" s="369" t="s">
        <v>51</v>
      </c>
      <c r="D57" s="362"/>
      <c r="E57" s="316" t="s">
        <v>25</v>
      </c>
      <c r="F57" s="317">
        <v>48803933.377599999</v>
      </c>
      <c r="G57" s="318">
        <v>0</v>
      </c>
      <c r="H57" s="318">
        <v>0</v>
      </c>
      <c r="I57" s="318">
        <v>0</v>
      </c>
      <c r="J57" s="318">
        <v>0</v>
      </c>
      <c r="K57" s="317">
        <v>48803933.377599999</v>
      </c>
      <c r="L57" s="317">
        <v>214375.23</v>
      </c>
      <c r="M57" s="317">
        <v>-18689.293399999999</v>
      </c>
      <c r="N57" s="317">
        <v>593.70000000000005</v>
      </c>
      <c r="O57" s="318">
        <v>0</v>
      </c>
      <c r="P57" s="318">
        <v>0</v>
      </c>
      <c r="Q57" s="317">
        <v>49000213.014200002</v>
      </c>
      <c r="R57" s="319">
        <v>0</v>
      </c>
      <c r="S57" s="318">
        <v>0</v>
      </c>
      <c r="T57" s="319">
        <v>0.43925809901706397</v>
      </c>
      <c r="U57" s="319">
        <v>0.40096345326505101</v>
      </c>
      <c r="V57" s="319">
        <v>0.40217995357334901</v>
      </c>
    </row>
    <row r="58" spans="1:22">
      <c r="A58" s="320" t="s">
        <v>2</v>
      </c>
      <c r="B58" s="321" t="s">
        <v>52</v>
      </c>
      <c r="C58" s="370" t="s">
        <v>52</v>
      </c>
      <c r="D58" s="362"/>
      <c r="E58" s="321" t="s">
        <v>25</v>
      </c>
      <c r="F58" s="322">
        <v>92023175.171100006</v>
      </c>
      <c r="G58" s="323">
        <v>0</v>
      </c>
      <c r="H58" s="323">
        <v>0</v>
      </c>
      <c r="I58" s="323">
        <v>0</v>
      </c>
      <c r="J58" s="323">
        <v>0</v>
      </c>
      <c r="K58" s="322">
        <v>92023175.171100006</v>
      </c>
      <c r="L58" s="322">
        <v>404219.28</v>
      </c>
      <c r="M58" s="322">
        <v>-35239.950299999997</v>
      </c>
      <c r="N58" s="322">
        <v>1119.45</v>
      </c>
      <c r="O58" s="323">
        <v>0</v>
      </c>
      <c r="P58" s="323">
        <v>0</v>
      </c>
      <c r="Q58" s="322">
        <v>92393273.950800002</v>
      </c>
      <c r="R58" s="324">
        <v>0</v>
      </c>
      <c r="S58" s="323">
        <v>0</v>
      </c>
      <c r="T58" s="324">
        <v>0.43925813171348299</v>
      </c>
      <c r="U58" s="324">
        <v>0.400963484485241</v>
      </c>
      <c r="V58" s="324">
        <v>0.40217997152550999</v>
      </c>
    </row>
    <row r="59" spans="1:22">
      <c r="A59" s="315" t="s">
        <v>2</v>
      </c>
      <c r="B59" s="316" t="s">
        <v>225</v>
      </c>
      <c r="C59" s="369" t="s">
        <v>225</v>
      </c>
      <c r="D59" s="362"/>
      <c r="E59" s="316" t="s">
        <v>25</v>
      </c>
      <c r="F59" s="317">
        <v>50813547.200000003</v>
      </c>
      <c r="G59" s="318">
        <v>0</v>
      </c>
      <c r="H59" s="318">
        <v>0</v>
      </c>
      <c r="I59" s="318">
        <v>0</v>
      </c>
      <c r="J59" s="318">
        <v>0</v>
      </c>
      <c r="K59" s="317">
        <v>50813547.200000003</v>
      </c>
      <c r="L59" s="317">
        <v>223202.63</v>
      </c>
      <c r="M59" s="317">
        <v>-19458.873299999999</v>
      </c>
      <c r="N59" s="317">
        <v>618.14</v>
      </c>
      <c r="O59" s="318">
        <v>0</v>
      </c>
      <c r="P59" s="318">
        <v>0</v>
      </c>
      <c r="Q59" s="317">
        <v>51017909.096699998</v>
      </c>
      <c r="R59" s="319">
        <v>0</v>
      </c>
      <c r="S59" s="318">
        <v>0</v>
      </c>
      <c r="T59" s="319">
        <v>0.439258115796332</v>
      </c>
      <c r="U59" s="319">
        <v>0.40096345940595901</v>
      </c>
      <c r="V59" s="319">
        <v>0.40217994602037899</v>
      </c>
    </row>
    <row r="60" spans="1:22" ht="14.5" customHeight="1">
      <c r="A60" s="371" t="s">
        <v>53</v>
      </c>
      <c r="B60" s="367"/>
      <c r="C60" s="367"/>
      <c r="D60" s="367"/>
      <c r="E60" s="367"/>
      <c r="F60" s="325">
        <v>234421102.27000001</v>
      </c>
      <c r="G60" s="326">
        <v>9742000</v>
      </c>
      <c r="H60" s="326">
        <v>0</v>
      </c>
      <c r="I60" s="326">
        <v>0</v>
      </c>
      <c r="J60" s="326">
        <v>0</v>
      </c>
      <c r="K60" s="325">
        <v>244163102.27000001</v>
      </c>
      <c r="L60" s="325">
        <v>1061574.22</v>
      </c>
      <c r="M60" s="325">
        <v>-92535.794899999994</v>
      </c>
      <c r="N60" s="325">
        <v>2794.87</v>
      </c>
      <c r="O60" s="326">
        <v>0</v>
      </c>
      <c r="P60" s="326">
        <v>0</v>
      </c>
      <c r="Q60" s="325">
        <v>245134935.56510001</v>
      </c>
      <c r="R60" s="327">
        <v>0</v>
      </c>
      <c r="S60" s="328" t="s">
        <v>2</v>
      </c>
      <c r="T60" s="328" t="s">
        <v>2</v>
      </c>
      <c r="U60" s="328" t="s">
        <v>2</v>
      </c>
      <c r="V60" s="328" t="s">
        <v>2</v>
      </c>
    </row>
    <row r="61" spans="1:22" ht="14.5" customHeight="1">
      <c r="A61" s="368" t="s">
        <v>54</v>
      </c>
      <c r="B61" s="362"/>
      <c r="C61" s="362"/>
      <c r="D61" s="362"/>
      <c r="E61" s="362"/>
      <c r="F61" s="313" t="s">
        <v>2</v>
      </c>
      <c r="G61" s="313" t="s">
        <v>2</v>
      </c>
      <c r="H61" s="313" t="s">
        <v>2</v>
      </c>
      <c r="I61" s="313" t="s">
        <v>2</v>
      </c>
      <c r="J61" s="313" t="s">
        <v>2</v>
      </c>
      <c r="K61" s="314" t="s">
        <v>2</v>
      </c>
      <c r="L61" s="313" t="s">
        <v>2</v>
      </c>
      <c r="M61" s="314" t="s">
        <v>2</v>
      </c>
      <c r="N61" s="313" t="s">
        <v>2</v>
      </c>
      <c r="O61" s="313" t="s">
        <v>2</v>
      </c>
      <c r="P61" s="313" t="s">
        <v>2</v>
      </c>
      <c r="Q61" s="313" t="s">
        <v>2</v>
      </c>
      <c r="R61" s="313" t="s">
        <v>2</v>
      </c>
      <c r="S61" s="313" t="s">
        <v>2</v>
      </c>
      <c r="T61" s="313" t="s">
        <v>2</v>
      </c>
      <c r="U61" s="313" t="s">
        <v>2</v>
      </c>
      <c r="V61" s="313" t="s">
        <v>2</v>
      </c>
    </row>
    <row r="62" spans="1:22" ht="14.5" customHeight="1">
      <c r="A62" s="320" t="s">
        <v>2</v>
      </c>
      <c r="B62" s="321" t="s">
        <v>237</v>
      </c>
      <c r="C62" s="370" t="s">
        <v>237</v>
      </c>
      <c r="D62" s="362"/>
      <c r="E62" s="321" t="s">
        <v>25</v>
      </c>
      <c r="F62" s="322">
        <v>1504092.62</v>
      </c>
      <c r="G62" s="323">
        <v>0</v>
      </c>
      <c r="H62" s="323">
        <v>0</v>
      </c>
      <c r="I62" s="323">
        <v>0</v>
      </c>
      <c r="J62" s="323">
        <v>0</v>
      </c>
      <c r="K62" s="322">
        <v>1504092.62</v>
      </c>
      <c r="L62" s="322">
        <v>7122.71</v>
      </c>
      <c r="M62" s="322">
        <v>-575.80999999999995</v>
      </c>
      <c r="N62" s="322">
        <v>-203.62</v>
      </c>
      <c r="O62" s="323">
        <v>0</v>
      </c>
      <c r="P62" s="323">
        <v>0</v>
      </c>
      <c r="Q62" s="322">
        <v>1510435.9</v>
      </c>
      <c r="R62" s="324">
        <v>0</v>
      </c>
      <c r="S62" s="323">
        <v>0</v>
      </c>
      <c r="T62" s="324">
        <v>0.47355527879659398</v>
      </c>
      <c r="U62" s="324">
        <v>0.43527239698842501</v>
      </c>
      <c r="V62" s="324">
        <v>0.42173466684518401</v>
      </c>
    </row>
    <row r="63" spans="1:22">
      <c r="A63" s="315" t="s">
        <v>2</v>
      </c>
      <c r="B63" s="316" t="s">
        <v>55</v>
      </c>
      <c r="C63" s="369" t="s">
        <v>55</v>
      </c>
      <c r="D63" s="362"/>
      <c r="E63" s="316" t="s">
        <v>25</v>
      </c>
      <c r="F63" s="317">
        <v>90591600.090000004</v>
      </c>
      <c r="G63" s="318">
        <v>0</v>
      </c>
      <c r="H63" s="318">
        <v>0</v>
      </c>
      <c r="I63" s="318">
        <v>0</v>
      </c>
      <c r="J63" s="318">
        <v>0</v>
      </c>
      <c r="K63" s="317">
        <v>90591600.090000004</v>
      </c>
      <c r="L63" s="317">
        <v>429000.98</v>
      </c>
      <c r="M63" s="317">
        <v>-34681.11</v>
      </c>
      <c r="N63" s="317">
        <v>-12264.04</v>
      </c>
      <c r="O63" s="318">
        <v>0</v>
      </c>
      <c r="P63" s="318">
        <v>0</v>
      </c>
      <c r="Q63" s="317">
        <v>90973655.920000002</v>
      </c>
      <c r="R63" s="319">
        <v>0</v>
      </c>
      <c r="S63" s="318">
        <v>0</v>
      </c>
      <c r="T63" s="319">
        <v>0.47355492073636002</v>
      </c>
      <c r="U63" s="319">
        <v>0.43527200050364001</v>
      </c>
      <c r="V63" s="319">
        <v>0.42173427737278002</v>
      </c>
    </row>
    <row r="64" spans="1:22" ht="14.5" customHeight="1">
      <c r="A64" s="371" t="s">
        <v>56</v>
      </c>
      <c r="B64" s="367"/>
      <c r="C64" s="367"/>
      <c r="D64" s="367"/>
      <c r="E64" s="367"/>
      <c r="F64" s="325">
        <v>92095692.709999993</v>
      </c>
      <c r="G64" s="326">
        <v>0</v>
      </c>
      <c r="H64" s="326">
        <v>0</v>
      </c>
      <c r="I64" s="326">
        <v>0</v>
      </c>
      <c r="J64" s="326">
        <v>0</v>
      </c>
      <c r="K64" s="325">
        <v>92095692.709999993</v>
      </c>
      <c r="L64" s="325">
        <v>436123.69</v>
      </c>
      <c r="M64" s="325">
        <v>-35256.92</v>
      </c>
      <c r="N64" s="325">
        <v>-12467.66</v>
      </c>
      <c r="O64" s="326">
        <v>0</v>
      </c>
      <c r="P64" s="326">
        <v>0</v>
      </c>
      <c r="Q64" s="325">
        <v>92484091.819999993</v>
      </c>
      <c r="R64" s="327">
        <v>0</v>
      </c>
      <c r="S64" s="328" t="s">
        <v>2</v>
      </c>
      <c r="T64" s="328" t="s">
        <v>2</v>
      </c>
      <c r="U64" s="328" t="s">
        <v>2</v>
      </c>
      <c r="V64" s="328" t="s">
        <v>2</v>
      </c>
    </row>
    <row r="65" spans="1:22">
      <c r="A65" s="315" t="s">
        <v>2</v>
      </c>
      <c r="B65" s="372" t="s">
        <v>57</v>
      </c>
      <c r="C65" s="362"/>
      <c r="D65" s="362"/>
      <c r="E65" s="362"/>
      <c r="F65" s="325">
        <v>1824699077.0327001</v>
      </c>
      <c r="G65" s="326">
        <v>104292578.89</v>
      </c>
      <c r="H65" s="326">
        <v>-30632177.109999999</v>
      </c>
      <c r="I65" s="326">
        <v>0</v>
      </c>
      <c r="J65" s="326">
        <v>0</v>
      </c>
      <c r="K65" s="325">
        <v>1898359478.8127</v>
      </c>
      <c r="L65" s="325">
        <v>7957445.1500000004</v>
      </c>
      <c r="M65" s="325">
        <v>-618541.86490000004</v>
      </c>
      <c r="N65" s="325">
        <v>88028.62</v>
      </c>
      <c r="O65" s="326">
        <v>-1005398.34</v>
      </c>
      <c r="P65" s="326">
        <v>0</v>
      </c>
      <c r="Q65" s="325">
        <v>1904781012.3778</v>
      </c>
      <c r="R65" s="327">
        <v>0</v>
      </c>
      <c r="S65" s="329" t="s">
        <v>2</v>
      </c>
      <c r="T65" s="330">
        <v>0.41917483168029201</v>
      </c>
      <c r="U65" s="330">
        <v>0.38659186350153302</v>
      </c>
      <c r="V65" s="330">
        <v>0.39122895257673002</v>
      </c>
    </row>
    <row r="66" spans="1:22" ht="8.15" customHeight="1"/>
    <row r="69" spans="1:22" ht="15" thickBot="1">
      <c r="C69" t="s">
        <v>152</v>
      </c>
      <c r="L69" t="s">
        <v>36</v>
      </c>
      <c r="O69" s="294">
        <f>_xlfn.XLOOKUP(L69,A:A,Q:Q)</f>
        <v>543384167.09640002</v>
      </c>
      <c r="P69" s="333">
        <f>O69-O70</f>
        <v>0</v>
      </c>
      <c r="T69" s="295" t="s">
        <v>169</v>
      </c>
    </row>
    <row r="70" spans="1:22" ht="15.5" thickTop="1" thickBot="1">
      <c r="B70" s="199"/>
      <c r="C70" s="16" t="s">
        <v>24</v>
      </c>
      <c r="D70" s="17">
        <f t="shared" ref="D70:D82" si="0">VLOOKUP(C70,$B$7:$Q$18,16,FALSE)</f>
        <v>5081254.6589000002</v>
      </c>
      <c r="E70" s="17" t="str">
        <f>_xlfn.XLOOKUP(C70,'Investor Categories'!D:D,'Investor Categories'!C:C,"")</f>
        <v>Alfred I. duPont Charitable Trust</v>
      </c>
      <c r="F70" s="214" t="str" cm="1">
        <f t="array" ref="F70:F82">_xlfn._xlws.SORT(_xlfn.UNIQUE(E70:E85))</f>
        <v/>
      </c>
      <c r="G70" s="200"/>
      <c r="H70" s="18"/>
      <c r="I70" s="18"/>
      <c r="J70" s="18"/>
      <c r="K70" s="215"/>
      <c r="L70" s="36"/>
      <c r="M70" s="36"/>
      <c r="N70" s="17" t="s">
        <v>150</v>
      </c>
      <c r="O70" s="87">
        <f>SUM(D70:D81)+SUM(D83:D85)</f>
        <v>543384167.09640002</v>
      </c>
      <c r="P70" s="36"/>
      <c r="Q70" s="131" cm="1">
        <f t="array" ref="Q70:Q81">_xlfn._xlws.SORT(G71:G82,1,-1)</f>
        <v>200698128.69499999</v>
      </c>
      <c r="R70" s="132">
        <f>Q70/$O$70</f>
        <v>0.36934850304424638</v>
      </c>
      <c r="T70" s="139">
        <f>O70+O102+O110+O131+O154+O164+O183+O94</f>
        <v>1904781012.3778002</v>
      </c>
    </row>
    <row r="71" spans="1:22" ht="15" thickBot="1">
      <c r="B71" s="199"/>
      <c r="C71" s="19" t="s">
        <v>27</v>
      </c>
      <c r="D71" s="20">
        <f>VLOOKUP(C71,$B$7:$Q$18,16,FALSE)</f>
        <v>51419237.837700002</v>
      </c>
      <c r="E71" s="20" t="str">
        <f>_xlfn.XLOOKUP(C71,'Investor Categories'!D:D,'Investor Categories'!C:C,"")</f>
        <v>Children's Health System of Texas</v>
      </c>
      <c r="F71" s="216" t="str">
        <v>Alfred I. duPont Charitable Trust</v>
      </c>
      <c r="G71" s="201">
        <f t="shared" ref="G71" si="1">SUMIFS($D$70:$D$85,$E$70:$E$85,F71)</f>
        <v>33426459.114299998</v>
      </c>
      <c r="H71" s="21" t="str">
        <f>VLOOKUP(F71,'Investor Categories'!C:E,3,FALSE)</f>
        <v>(g) Non-profits</v>
      </c>
      <c r="I71" s="21"/>
      <c r="J71" s="21"/>
      <c r="K71" s="39"/>
      <c r="L71" s="37"/>
      <c r="M71" s="37"/>
      <c r="N71" s="37"/>
      <c r="O71" s="37"/>
      <c r="P71" s="37"/>
      <c r="Q71" s="20">
        <v>116247511.616</v>
      </c>
      <c r="R71" s="38">
        <f>Q71/$O$70</f>
        <v>0.21393246004419725</v>
      </c>
      <c r="T71" s="295" t="s">
        <v>227</v>
      </c>
    </row>
    <row r="72" spans="1:22" ht="15" thickTop="1">
      <c r="B72" s="199"/>
      <c r="C72" s="22" t="s">
        <v>28</v>
      </c>
      <c r="D72" s="23">
        <f t="shared" si="0"/>
        <v>31332055.195599999</v>
      </c>
      <c r="E72" s="23" t="str">
        <f>_xlfn.XLOOKUP(C72,'Investor Categories'!D:D,'Investor Categories'!C:C,"")</f>
        <v>IRR K LLC</v>
      </c>
      <c r="F72" s="217" t="str">
        <v>Alfred I. duPont Charitable Trust Pension</v>
      </c>
      <c r="G72" s="201">
        <f t="shared" ref="G72:G81" si="2">SUMIFS($D$70:$D$85,$E$70:$E$85,F72)</f>
        <v>365850.34360000002</v>
      </c>
      <c r="H72" s="21" t="str">
        <f>VLOOKUP(F72,'Investor Categories'!C:E,3,FALSE)</f>
        <v xml:space="preserve">(h) Pension plans (excluding governmental pension plans) </v>
      </c>
      <c r="I72" s="21"/>
      <c r="J72" s="21"/>
      <c r="K72" s="39"/>
      <c r="L72" s="37"/>
      <c r="M72" s="37"/>
      <c r="N72" s="37"/>
      <c r="O72" s="37"/>
      <c r="P72" s="37"/>
      <c r="Q72" s="23">
        <v>51419237.837700002</v>
      </c>
      <c r="R72" s="38">
        <f t="shared" ref="R72:R81" si="3">Q72/$O$70</f>
        <v>9.4627780769655515E-2</v>
      </c>
      <c r="T72" s="139">
        <f>T70-Q65</f>
        <v>0</v>
      </c>
    </row>
    <row r="73" spans="1:22">
      <c r="B73" s="199"/>
      <c r="C73" s="19" t="s">
        <v>29</v>
      </c>
      <c r="D73" s="20">
        <f t="shared" si="0"/>
        <v>28494.975900000001</v>
      </c>
      <c r="E73" s="20" t="str">
        <f>_xlfn.XLOOKUP(C73,'Investor Categories'!D:D,'Investor Categories'!C:C,"")</f>
        <v>LMCP INTERNAL</v>
      </c>
      <c r="F73" s="216" t="str">
        <v>AMFAM</v>
      </c>
      <c r="G73" s="201">
        <f t="shared" si="2"/>
        <v>34102736.533030458</v>
      </c>
      <c r="H73" s="21" t="str">
        <f>VLOOKUP(F73,'Investor Categories'!C:E,3,FALSE)</f>
        <v xml:space="preserve">(d) Insurance companies </v>
      </c>
      <c r="I73" s="21"/>
      <c r="J73" s="21"/>
      <c r="K73" s="39"/>
      <c r="L73" s="37"/>
      <c r="M73" s="37"/>
      <c r="N73" s="37"/>
      <c r="O73" s="37"/>
      <c r="P73" s="37"/>
      <c r="Q73" s="20">
        <v>34102736.533030458</v>
      </c>
      <c r="R73" s="38">
        <f t="shared" si="3"/>
        <v>6.2759901002011342E-2</v>
      </c>
    </row>
    <row r="74" spans="1:22">
      <c r="B74" s="199"/>
      <c r="C74" s="22" t="s">
        <v>164</v>
      </c>
      <c r="D74" s="23">
        <f t="shared" si="0"/>
        <v>91782580.435399994</v>
      </c>
      <c r="E74" s="23" t="str">
        <f>_xlfn.XLOOKUP(C74,'Investor Categories'!D:D,'Investor Categories'!C:C,"")</f>
        <v>Makena</v>
      </c>
      <c r="F74" s="217" t="str">
        <v>Children's Health System of Texas</v>
      </c>
      <c r="G74" s="201">
        <f t="shared" si="2"/>
        <v>51419237.837700002</v>
      </c>
      <c r="H74" s="21" t="str">
        <f>VLOOKUP(F74,'Investor Categories'!C:E,3,FALSE)</f>
        <v>(g) Non-profits</v>
      </c>
      <c r="I74" s="21"/>
      <c r="J74" s="21"/>
      <c r="K74" s="39"/>
      <c r="L74" s="37"/>
      <c r="M74" s="37"/>
      <c r="N74" s="37"/>
      <c r="O74" s="37"/>
      <c r="P74" s="37"/>
      <c r="Q74" s="20">
        <v>33426459.114299998</v>
      </c>
      <c r="R74" s="38">
        <f t="shared" si="3"/>
        <v>6.1515335076684184E-2</v>
      </c>
    </row>
    <row r="75" spans="1:22">
      <c r="B75" s="199"/>
      <c r="C75" s="22" t="s">
        <v>165</v>
      </c>
      <c r="D75" s="23">
        <f t="shared" si="0"/>
        <v>24464931.180599999</v>
      </c>
      <c r="E75" s="23" t="str">
        <f>_xlfn.XLOOKUP(C75,'Investor Categories'!D:D,'Investor Categories'!C:C,"")</f>
        <v>Makena</v>
      </c>
      <c r="F75" s="217" t="str">
        <v>IRR K LLC</v>
      </c>
      <c r="G75" s="201">
        <f t="shared" si="2"/>
        <v>31332055.195599999</v>
      </c>
      <c r="H75" s="21" t="str">
        <f>VLOOKUP(F75,'Investor Categories'!C:E,3,FALSE)</f>
        <v xml:space="preserve">(f) Private funds </v>
      </c>
      <c r="I75" s="21"/>
      <c r="J75" s="21"/>
      <c r="K75" s="39"/>
      <c r="L75" s="37"/>
      <c r="M75" s="37"/>
      <c r="N75" s="37"/>
      <c r="O75" s="37"/>
      <c r="P75" s="37"/>
      <c r="Q75" s="20">
        <v>32152310.8895</v>
      </c>
      <c r="R75" s="38">
        <f t="shared" si="3"/>
        <v>5.9170496375165756E-2</v>
      </c>
    </row>
    <row r="76" spans="1:22">
      <c r="B76" s="199"/>
      <c r="C76" s="19" t="s">
        <v>31</v>
      </c>
      <c r="D76" s="23">
        <f t="shared" ref="D76" si="4">VLOOKUP(C76,$B$7:$Q$18,16,FALSE)</f>
        <v>32152310.8895</v>
      </c>
      <c r="E76" s="23" t="str">
        <f>_xlfn.XLOOKUP(C76,'Investor Categories'!D:D,'Investor Categories'!C:C,"")</f>
        <v>The Kresge Foundation</v>
      </c>
      <c r="F76" s="216" t="str">
        <v>LMCP INTERNAL</v>
      </c>
      <c r="G76" s="201">
        <f t="shared" si="2"/>
        <v>28494.975900000001</v>
      </c>
      <c r="H76" s="21" t="str">
        <f>VLOOKUP(F76,'Investor Categories'!C:E,3,FALSE)</f>
        <v>(o) LMCP INTERNAL</v>
      </c>
      <c r="I76" s="21"/>
      <c r="J76" s="21"/>
      <c r="K76" s="39"/>
      <c r="L76" s="37"/>
      <c r="M76" s="37"/>
      <c r="N76" s="37"/>
      <c r="O76" s="37"/>
      <c r="P76" s="37"/>
      <c r="Q76" s="20">
        <v>31332055.195599999</v>
      </c>
      <c r="R76" s="38">
        <f t="shared" si="3"/>
        <v>5.7660964549306568E-2</v>
      </c>
    </row>
    <row r="77" spans="1:22">
      <c r="B77" s="199"/>
      <c r="C77" s="22" t="s">
        <v>32</v>
      </c>
      <c r="D77" s="23">
        <f t="shared" si="0"/>
        <v>182925.17180000001</v>
      </c>
      <c r="E77" s="23" t="str">
        <f>_xlfn.XLOOKUP(C77,'Investor Categories'!D:D,'Investor Categories'!C:C,"")</f>
        <v>Alfred I. duPont Charitable Trust</v>
      </c>
      <c r="F77" s="217" t="str">
        <v>Makena</v>
      </c>
      <c r="G77" s="201">
        <f t="shared" si="2"/>
        <v>116247511.616</v>
      </c>
      <c r="H77" s="21" t="str">
        <f>VLOOKUP(F77,'Investor Categories'!C:E,3,FALSE)</f>
        <v xml:space="preserve">(f) Private funds </v>
      </c>
      <c r="I77" s="21"/>
      <c r="J77" s="21"/>
      <c r="K77" s="39"/>
      <c r="L77" s="37"/>
      <c r="M77" s="37"/>
      <c r="N77" s="37"/>
      <c r="O77" s="37"/>
      <c r="P77" s="37"/>
      <c r="Q77" s="20">
        <v>22567987.411564276</v>
      </c>
      <c r="R77" s="38">
        <f t="shared" si="3"/>
        <v>4.1532287427801629E-2</v>
      </c>
    </row>
    <row r="78" spans="1:22">
      <c r="B78" s="199"/>
      <c r="C78" s="22" t="s">
        <v>33</v>
      </c>
      <c r="D78" s="23">
        <f t="shared" si="0"/>
        <v>28162279.283599999</v>
      </c>
      <c r="E78" s="23" t="str">
        <f>_xlfn.XLOOKUP(C78,'Investor Categories'!D:D,'Investor Categories'!C:C,"")</f>
        <v>Alfred I. duPont Charitable Trust</v>
      </c>
      <c r="F78" s="217" t="str">
        <v>MERCURY</v>
      </c>
      <c r="G78" s="201">
        <f t="shared" si="2"/>
        <v>21043394.484205268</v>
      </c>
      <c r="H78" s="21" t="str">
        <f>VLOOKUP(F78,'Investor Categories'!C:E,3,FALSE)</f>
        <v xml:space="preserve">(d) Insurance companies </v>
      </c>
      <c r="I78" s="21"/>
      <c r="J78" s="21"/>
      <c r="K78" s="39"/>
      <c r="L78" s="37"/>
      <c r="M78" s="37"/>
      <c r="N78" s="37"/>
      <c r="O78" s="37"/>
      <c r="P78" s="37"/>
      <c r="Q78" s="20">
        <v>21043394.484205268</v>
      </c>
      <c r="R78" s="38">
        <f t="shared" si="3"/>
        <v>3.8726550677123481E-2</v>
      </c>
    </row>
    <row r="79" spans="1:22" ht="15" thickBot="1">
      <c r="B79" s="199"/>
      <c r="C79" s="22" t="s">
        <v>34</v>
      </c>
      <c r="D79" s="23">
        <f t="shared" si="0"/>
        <v>365850.34360000002</v>
      </c>
      <c r="E79" s="23" t="str">
        <f>_xlfn.XLOOKUP(C79,'Investor Categories'!D:D,'Investor Categories'!C:C,"")</f>
        <v>Alfred I. duPont Charitable Trust Pension</v>
      </c>
      <c r="F79" s="217" t="str">
        <v>The Kresge Foundation</v>
      </c>
      <c r="G79" s="201">
        <f t="shared" si="2"/>
        <v>32152310.8895</v>
      </c>
      <c r="H79" s="21" t="str">
        <f>VLOOKUP(F79,'Investor Categories'!C:E,3,FALSE)</f>
        <v>(g) Non-profits</v>
      </c>
      <c r="I79" s="21"/>
      <c r="J79" s="21"/>
      <c r="K79" s="39"/>
      <c r="L79" s="37"/>
      <c r="M79" s="37"/>
      <c r="N79" s="37"/>
      <c r="O79" s="37"/>
      <c r="P79" s="37"/>
      <c r="Q79" s="20">
        <v>365850.34360000002</v>
      </c>
      <c r="R79" s="38">
        <f t="shared" si="3"/>
        <v>6.7328119910990279E-4</v>
      </c>
    </row>
    <row r="80" spans="1:22">
      <c r="B80" s="199"/>
      <c r="C80" s="19" t="s">
        <v>35</v>
      </c>
      <c r="D80" s="20">
        <f t="shared" si="0"/>
        <v>200698128.69499999</v>
      </c>
      <c r="E80" s="20" t="str">
        <f>_xlfn.XLOOKUP(C80,'Investor Categories'!D:D,'Investor Categories'!C:C,"")</f>
        <v>UVIMCO</v>
      </c>
      <c r="F80" s="216" t="str">
        <v>UVIMCO</v>
      </c>
      <c r="G80" s="201">
        <f t="shared" si="2"/>
        <v>200698128.69499999</v>
      </c>
      <c r="H80" s="21" t="str">
        <f>VLOOKUP(F80,'Investor Categories'!C:E,3,FALSE)</f>
        <v>(g) Non-profits</v>
      </c>
      <c r="I80" s="21"/>
      <c r="J80" s="21"/>
      <c r="K80" s="39"/>
      <c r="L80" s="36"/>
      <c r="M80" s="36"/>
      <c r="N80" s="126" t="s">
        <v>139</v>
      </c>
      <c r="O80" s="127">
        <f>SUMIFS($G$70:$G$91,$H$70:$H$91,N80)/$O$70</f>
        <v>0.58466211526575185</v>
      </c>
      <c r="P80" s="37"/>
      <c r="Q80" s="23">
        <v>28494.975900000001</v>
      </c>
      <c r="R80" s="38">
        <f t="shared" si="3"/>
        <v>5.2439834697916035E-5</v>
      </c>
    </row>
    <row r="81" spans="2:18" ht="15" thickBot="1">
      <c r="B81" s="199"/>
      <c r="C81" s="115"/>
      <c r="D81" s="116"/>
      <c r="E81" s="23"/>
      <c r="F81" s="217" t="str">
        <v>WOODMEN</v>
      </c>
      <c r="G81" s="201">
        <f t="shared" si="2"/>
        <v>22567987.411564276</v>
      </c>
      <c r="H81" s="21" t="str">
        <f>VLOOKUP(F81,'Investor Categories'!C:E,3,FALSE)</f>
        <v xml:space="preserve">(d) Insurance companies </v>
      </c>
      <c r="I81" s="21"/>
      <c r="J81" s="21"/>
      <c r="K81" s="39"/>
      <c r="L81" s="37"/>
      <c r="M81" s="37"/>
      <c r="N81" s="24" t="s">
        <v>140</v>
      </c>
      <c r="O81" s="128">
        <f>SUMIFS($G$70:$G$91,$H$70:$H$91,N81)/$O$70</f>
        <v>6.7328119910990279E-4</v>
      </c>
      <c r="P81" s="37"/>
      <c r="Q81" s="20">
        <v>0</v>
      </c>
      <c r="R81" s="38">
        <f t="shared" si="3"/>
        <v>0</v>
      </c>
    </row>
    <row r="82" spans="2:18" ht="15" thickBot="1">
      <c r="B82" s="199"/>
      <c r="C82" s="19" t="s">
        <v>30</v>
      </c>
      <c r="D82" s="111">
        <f t="shared" si="0"/>
        <v>77714118.428800002</v>
      </c>
      <c r="E82" s="23" t="str">
        <f>_xlfn.XLOOKUP(C82,'Investor Categories'!D:D,'Investor Categories'!C:C,"")</f>
        <v/>
      </c>
      <c r="F82" s="216">
        <v>0</v>
      </c>
      <c r="G82" s="201"/>
      <c r="H82" s="21"/>
      <c r="I82" s="21"/>
      <c r="J82" s="21"/>
      <c r="K82" s="39"/>
      <c r="L82" s="37"/>
      <c r="M82" s="37"/>
      <c r="N82" s="24" t="s">
        <v>138</v>
      </c>
      <c r="O82" s="128">
        <f>SUMIFS($G$70:$G$91,$H$70:$H$91,N82)/$O$70</f>
        <v>0.27159342459350383</v>
      </c>
      <c r="P82" s="37"/>
      <c r="Q82" s="20"/>
      <c r="R82" s="38"/>
    </row>
    <row r="83" spans="2:18" ht="15" thickBot="1">
      <c r="B83" s="199"/>
      <c r="C83" s="19" t="s">
        <v>122</v>
      </c>
      <c r="D83" s="20">
        <f>SUMIFS(Notes_M1,PrimeNoteHolders,Prime_InvestorCapitalPerf!C83)/SUM(Notes_M1)*$D$82</f>
        <v>34102736.533030458</v>
      </c>
      <c r="E83" s="20" t="str">
        <f>_xlfn.XLOOKUP(C83,'Investor Categories'!D:D,'Investor Categories'!C:C,"")</f>
        <v>AMFAM</v>
      </c>
      <c r="F83" s="218" t="s">
        <v>117</v>
      </c>
      <c r="G83" s="209">
        <f>SUM(G71:G82)</f>
        <v>543384167.09640002</v>
      </c>
      <c r="H83" s="21"/>
      <c r="I83" s="21"/>
      <c r="J83" s="21"/>
      <c r="K83" s="39"/>
      <c r="L83" s="37"/>
      <c r="M83" s="37"/>
      <c r="N83" s="24" t="s">
        <v>137</v>
      </c>
      <c r="O83" s="128">
        <f>SUMIFS($G$70:$G$91,$H$70:$H$91,N83)/$O$70</f>
        <v>0</v>
      </c>
      <c r="P83" s="37"/>
      <c r="Q83" s="23"/>
      <c r="R83" s="38"/>
    </row>
    <row r="84" spans="2:18" ht="15" thickBot="1">
      <c r="B84" s="199"/>
      <c r="C84" s="19" t="s">
        <v>127</v>
      </c>
      <c r="D84" s="20">
        <f>SUMIFS(Notes_M1,PrimeNoteHolders,Prime_InvestorCapitalPerf!C84)/SUM(Notes_M1)*$D$82</f>
        <v>21043394.484205268</v>
      </c>
      <c r="E84" s="20" t="str">
        <f>_xlfn.XLOOKUP(C84,'Investor Categories'!D:D,'Investor Categories'!C:C,"")</f>
        <v>MERCURY</v>
      </c>
      <c r="F84" s="219" t="s">
        <v>215</v>
      </c>
      <c r="G84" s="332">
        <f>G83-O70</f>
        <v>0</v>
      </c>
      <c r="H84" s="26"/>
      <c r="I84" s="26"/>
      <c r="J84" s="26"/>
      <c r="K84" s="220"/>
      <c r="L84" s="40"/>
      <c r="M84" s="40"/>
      <c r="N84" s="129" t="s">
        <v>136</v>
      </c>
      <c r="O84" s="130">
        <f>SUMIFS($G$70:$G$91,$H$70:$H$91,N84)/$O$70</f>
        <v>0.14301873910693647</v>
      </c>
      <c r="P84" s="37"/>
      <c r="Q84" s="23"/>
      <c r="R84" s="38"/>
    </row>
    <row r="85" spans="2:18">
      <c r="B85" s="199"/>
      <c r="C85" s="19" t="s">
        <v>129</v>
      </c>
      <c r="D85" s="20">
        <f>SUMIFS(Notes_M1,PrimeNoteHolders,Prime_InvestorCapitalPerf!C85)/SUM(Notes_M1)*$D$82</f>
        <v>22567987.411564276</v>
      </c>
      <c r="E85" s="20" t="str">
        <f>_xlfn.XLOOKUP(C85,'Investor Categories'!D:D,'Investor Categories'!C:C,"")</f>
        <v>WOODMEN</v>
      </c>
      <c r="F85" s="20"/>
      <c r="G85" s="201"/>
      <c r="H85" s="21"/>
      <c r="I85" s="21"/>
      <c r="J85" s="21"/>
      <c r="K85" s="37"/>
      <c r="L85" s="37"/>
      <c r="M85" s="37"/>
      <c r="N85" s="182" t="s">
        <v>130</v>
      </c>
      <c r="O85" s="335">
        <f>SUM(O80:O84)</f>
        <v>0.99994756016530206</v>
      </c>
      <c r="P85" s="37"/>
      <c r="Q85" s="23"/>
      <c r="R85" s="38"/>
    </row>
    <row r="86" spans="2:18">
      <c r="C86" s="19"/>
      <c r="D86" s="20"/>
      <c r="E86" s="20"/>
      <c r="F86" s="20"/>
      <c r="G86" s="201"/>
      <c r="H86" s="21"/>
      <c r="I86" s="21"/>
      <c r="J86" s="21"/>
      <c r="K86" s="37"/>
      <c r="L86" s="37"/>
      <c r="M86" s="37"/>
      <c r="N86" s="37"/>
      <c r="O86" s="37"/>
      <c r="P86" s="37"/>
      <c r="Q86" s="20"/>
      <c r="R86" s="38"/>
    </row>
    <row r="87" spans="2:18">
      <c r="C87" s="19"/>
      <c r="D87" s="20"/>
      <c r="E87" s="20"/>
      <c r="F87" s="20"/>
      <c r="G87" s="201"/>
      <c r="H87" s="21"/>
      <c r="I87" s="21"/>
      <c r="J87" s="21"/>
      <c r="K87" s="37"/>
      <c r="L87" s="37"/>
      <c r="M87" s="37"/>
      <c r="N87" s="37"/>
      <c r="O87" s="37"/>
      <c r="P87" s="37"/>
      <c r="Q87" s="20"/>
      <c r="R87" s="38"/>
    </row>
    <row r="88" spans="2:18">
      <c r="C88" s="19"/>
      <c r="D88" s="20"/>
      <c r="E88" s="20"/>
      <c r="F88" s="20"/>
      <c r="G88" s="201"/>
      <c r="H88" s="21"/>
      <c r="I88" s="21"/>
      <c r="J88" s="21"/>
      <c r="K88" s="37"/>
      <c r="L88" s="37"/>
      <c r="M88" s="37"/>
      <c r="N88" s="37"/>
      <c r="O88" s="37"/>
      <c r="P88" s="37"/>
      <c r="Q88" s="182" t="s">
        <v>162</v>
      </c>
      <c r="R88" s="183">
        <f>MAX(R70:R85)</f>
        <v>0.36934850304424638</v>
      </c>
    </row>
    <row r="89" spans="2:18">
      <c r="C89" s="19"/>
      <c r="D89" s="20"/>
      <c r="E89" s="20"/>
      <c r="F89" s="20"/>
      <c r="G89" s="201"/>
      <c r="H89" s="21"/>
      <c r="I89" s="21"/>
      <c r="J89" s="21"/>
      <c r="K89" s="37"/>
      <c r="L89" s="37"/>
      <c r="M89" s="37"/>
      <c r="N89" s="37"/>
      <c r="O89" s="37"/>
      <c r="P89" s="37"/>
      <c r="Q89" s="182" t="s">
        <v>151</v>
      </c>
      <c r="R89" s="183">
        <f>SUM(R70:R74)</f>
        <v>0.80218397993679469</v>
      </c>
    </row>
    <row r="90" spans="2:18">
      <c r="C90" s="19"/>
      <c r="D90" s="20"/>
      <c r="E90" s="20"/>
      <c r="F90" s="20"/>
      <c r="G90" s="201"/>
      <c r="H90" s="21"/>
      <c r="I90" s="21"/>
      <c r="J90" s="21"/>
      <c r="K90" s="37"/>
      <c r="L90" s="37"/>
      <c r="M90" s="37"/>
      <c r="N90" s="37"/>
      <c r="O90" s="37"/>
      <c r="P90" s="37"/>
      <c r="Q90" s="182" t="s">
        <v>216</v>
      </c>
      <c r="R90" s="247">
        <f>COUNTIFS(R70:R83,"&gt;="&amp;0.05)</f>
        <v>7</v>
      </c>
    </row>
    <row r="91" spans="2:18" ht="15" thickBot="1">
      <c r="C91" s="292" t="s">
        <v>227</v>
      </c>
      <c r="D91" s="331">
        <f>D82-SUM(D83:D90)</f>
        <v>0</v>
      </c>
      <c r="E91" s="25"/>
      <c r="F91" s="25"/>
      <c r="G91" s="202"/>
      <c r="H91" s="26"/>
      <c r="I91" s="26"/>
      <c r="J91" s="26"/>
      <c r="K91" s="40"/>
      <c r="L91" s="40"/>
      <c r="M91" s="40"/>
      <c r="N91" s="40"/>
      <c r="O91" s="40"/>
      <c r="P91" s="40"/>
      <c r="Q91" s="184" t="s">
        <v>130</v>
      </c>
      <c r="R91" s="336">
        <f>SUM(R70:R86)</f>
        <v>1</v>
      </c>
    </row>
    <row r="92" spans="2:18">
      <c r="C92" s="258"/>
      <c r="D92" s="259"/>
      <c r="E92" s="259"/>
      <c r="F92" s="259"/>
      <c r="G92" s="260"/>
      <c r="H92" s="258"/>
      <c r="I92" s="258"/>
      <c r="J92" s="258"/>
      <c r="Q92" s="261"/>
      <c r="R92" s="262"/>
    </row>
    <row r="93" spans="2:18" ht="15" thickBot="1">
      <c r="C93" s="41" t="s">
        <v>226</v>
      </c>
      <c r="D93" s="11"/>
      <c r="E93" s="11"/>
      <c r="F93" s="11"/>
      <c r="G93" s="11"/>
      <c r="H93" s="11"/>
      <c r="I93" s="11"/>
      <c r="J93" s="11"/>
      <c r="K93" s="11"/>
      <c r="L93" s="11" t="s">
        <v>223</v>
      </c>
      <c r="M93" s="11"/>
      <c r="N93" s="11"/>
      <c r="O93" s="294">
        <f>_xlfn.XLOOKUP(L93,A:A,Q:Q)</f>
        <v>75013187.719999999</v>
      </c>
      <c r="P93" s="333">
        <f>O93-O94</f>
        <v>0</v>
      </c>
      <c r="Q93" s="11"/>
      <c r="R93" s="11"/>
    </row>
    <row r="94" spans="2:18" ht="15" thickBot="1">
      <c r="C94" s="207"/>
      <c r="D94" s="263"/>
      <c r="E94" s="43"/>
      <c r="F94" s="265" t="str" cm="1">
        <f t="array" ref="F94:F95">_xlfn._xlws.SORT(_xlfn.UNIQUE(E96:E97))</f>
        <v>MERCURY</v>
      </c>
      <c r="G94" s="266">
        <f>SUMIFS($D$96:$D$97,$E$96:$E$97,F94)</f>
        <v>15002637.544</v>
      </c>
      <c r="H94" s="266" t="str">
        <f>VLOOKUP(F94,'Investor Categories'!C:E,3,FALSE)</f>
        <v xml:space="preserve">(d) Insurance companies </v>
      </c>
      <c r="I94" s="222"/>
      <c r="J94" s="44"/>
      <c r="K94" s="45"/>
      <c r="L94" s="175" t="s">
        <v>136</v>
      </c>
      <c r="M94" s="46">
        <f>SUMIFS($G$94:$G$95,$H$94:$H$95,L94)/$O$94</f>
        <v>0.2</v>
      </c>
      <c r="N94" s="134" t="s">
        <v>158</v>
      </c>
      <c r="O94" s="138">
        <f>SUM(D96:D97)</f>
        <v>75013187.719999999</v>
      </c>
      <c r="P94" s="43"/>
      <c r="Q94" s="178" cm="1">
        <f t="array" ref="Q94:Q95">_xlfn._xlws.SORT(G94:G95,1,-1)</f>
        <v>60010550.175999999</v>
      </c>
      <c r="R94" s="179">
        <f>Q94/$O$94</f>
        <v>0.8</v>
      </c>
    </row>
    <row r="95" spans="2:18" ht="15" thickBot="1">
      <c r="C95" s="84" t="s">
        <v>222</v>
      </c>
      <c r="D95" s="264">
        <f>VLOOKUP(C95,$B$24:$Q$24,16,FALSE)</f>
        <v>75013187.719999999</v>
      </c>
      <c r="E95" s="86"/>
      <c r="F95" s="223" t="str">
        <v>SWIB</v>
      </c>
      <c r="G95" s="86">
        <f>SUMIFS($D$96:$D$97,$E$96:$E$97,F95)</f>
        <v>60010550.175999999</v>
      </c>
      <c r="H95" s="85" t="str">
        <f>VLOOKUP(F95,'Investor Categories'!C:E,3,FALSE)</f>
        <v xml:space="preserve">(k) State or municipal governmental pension plans </v>
      </c>
      <c r="I95" s="52"/>
      <c r="J95" s="49"/>
      <c r="K95" s="50"/>
      <c r="L95" s="176" t="s">
        <v>142</v>
      </c>
      <c r="M95" s="51">
        <f t="shared" ref="M95:M97" si="5">SUMIFS($G$94:$G$95,$H$94:$H$95,L95)/$O$94</f>
        <v>0.8</v>
      </c>
      <c r="N95" s="48"/>
      <c r="O95" s="48"/>
      <c r="P95" s="48"/>
      <c r="Q95" s="180">
        <v>15002637.544</v>
      </c>
      <c r="R95" s="181">
        <f>Q95/$O$94</f>
        <v>0.2</v>
      </c>
    </row>
    <row r="96" spans="2:18" ht="15" thickBot="1">
      <c r="C96" s="84" t="s">
        <v>127</v>
      </c>
      <c r="D96" s="86">
        <f>SUMIFS(Notes_A1,PrimeNoteHolders,Prime_InvestorCapitalPerf!C96)/SUM(Notes_A1)*$D$95</f>
        <v>15002637.544</v>
      </c>
      <c r="E96" s="86" t="str">
        <f>_xlfn.XLOOKUP(C96,'Investor Categories'!D:D,'Investor Categories'!C:C,"")</f>
        <v>MERCURY</v>
      </c>
      <c r="F96" s="224" t="s">
        <v>117</v>
      </c>
      <c r="G96" s="225">
        <f>SUM(G94:G95)</f>
        <v>75013187.719999999</v>
      </c>
      <c r="H96" s="85"/>
      <c r="I96" s="52"/>
      <c r="J96" s="49"/>
      <c r="K96" s="50"/>
      <c r="L96" s="176" t="s">
        <v>139</v>
      </c>
      <c r="M96" s="51">
        <f t="shared" si="5"/>
        <v>0</v>
      </c>
      <c r="N96" s="48"/>
      <c r="O96" s="48"/>
      <c r="P96" s="48"/>
      <c r="Q96" s="297" t="s">
        <v>162</v>
      </c>
      <c r="R96" s="298">
        <f>MAX(R94:R95)</f>
        <v>0.8</v>
      </c>
    </row>
    <row r="97" spans="3:21" ht="15" thickBot="1">
      <c r="C97" s="84" t="s">
        <v>116</v>
      </c>
      <c r="D97" s="86">
        <f>SUMIFS(Notes_A1,PrimeNoteHolders,Prime_InvestorCapitalPerf!C97)/SUM(Notes_A1)*$D$95</f>
        <v>60010550.175999999</v>
      </c>
      <c r="E97" s="86" t="str">
        <f>_xlfn.XLOOKUP(C97,'Investor Categories'!D:D,'Investor Categories'!C:C,"")</f>
        <v>SWIB</v>
      </c>
      <c r="F97" s="226" t="s">
        <v>215</v>
      </c>
      <c r="G97" s="332">
        <f>G96-O94</f>
        <v>0</v>
      </c>
      <c r="H97" s="57"/>
      <c r="I97" s="58"/>
      <c r="J97" s="53"/>
      <c r="K97" s="54"/>
      <c r="L97" s="177"/>
      <c r="M97" s="55">
        <f t="shared" si="5"/>
        <v>0</v>
      </c>
      <c r="N97" s="48"/>
      <c r="O97" s="48"/>
      <c r="P97" s="48"/>
      <c r="Q97" s="297" t="s">
        <v>151</v>
      </c>
      <c r="R97" s="298">
        <f>SUM(R94:R95)</f>
        <v>1</v>
      </c>
    </row>
    <row r="98" spans="3:21">
      <c r="C98" s="47"/>
      <c r="D98" s="48"/>
      <c r="E98" s="48"/>
      <c r="F98" s="48"/>
      <c r="G98" s="204"/>
      <c r="H98" s="48"/>
      <c r="I98" s="48"/>
      <c r="J98" s="48"/>
      <c r="K98" s="48"/>
      <c r="L98" s="48" t="s">
        <v>130</v>
      </c>
      <c r="M98" s="337">
        <f>SUM(M94:M97)</f>
        <v>1</v>
      </c>
      <c r="N98" s="48"/>
      <c r="O98" s="48"/>
      <c r="P98" s="48"/>
      <c r="Q98" s="297" t="s">
        <v>216</v>
      </c>
      <c r="R98" s="299">
        <f>COUNTIFS(R94:R95,"&gt;="&amp;0.05)</f>
        <v>2</v>
      </c>
    </row>
    <row r="99" spans="3:21" ht="15" thickBot="1">
      <c r="C99" s="56" t="s">
        <v>227</v>
      </c>
      <c r="D99" s="334">
        <f>D95-SUM(D96:D98)</f>
        <v>0</v>
      </c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300" t="s">
        <v>130</v>
      </c>
      <c r="R99" s="336">
        <f>SUM(R94:R95)</f>
        <v>1</v>
      </c>
    </row>
    <row r="101" spans="3:21" ht="15" thickBot="1">
      <c r="C101" s="41" t="s">
        <v>153</v>
      </c>
      <c r="D101" s="11"/>
      <c r="E101" s="11"/>
      <c r="F101" s="11"/>
      <c r="G101" s="11"/>
      <c r="H101" s="11"/>
      <c r="I101" s="11"/>
      <c r="J101" s="11"/>
      <c r="K101" s="11"/>
      <c r="L101" s="11" t="s">
        <v>40</v>
      </c>
      <c r="M101" s="11"/>
      <c r="N101" s="11"/>
      <c r="O101" s="294">
        <f>_xlfn.XLOOKUP(L101,A:A,Q:Q)</f>
        <v>73148839.870000005</v>
      </c>
      <c r="P101" s="333">
        <f>O101-O102</f>
        <v>0</v>
      </c>
      <c r="Q101" s="11"/>
      <c r="R101" s="11"/>
      <c r="S101" s="11"/>
      <c r="T101" s="11"/>
      <c r="U101" s="11"/>
    </row>
    <row r="102" spans="3:21" ht="15" thickBot="1">
      <c r="C102" s="42"/>
      <c r="D102" s="43"/>
      <c r="E102" s="43"/>
      <c r="F102" s="221"/>
      <c r="G102" s="43"/>
      <c r="H102" s="43"/>
      <c r="I102" s="222"/>
      <c r="J102" s="44"/>
      <c r="K102" s="45"/>
      <c r="L102" s="175" t="s">
        <v>136</v>
      </c>
      <c r="M102" s="46">
        <f>SUMIFS($G$103:$G$104,$H$103:$H$104,L102)/$O$102</f>
        <v>0</v>
      </c>
      <c r="N102" s="134" t="s">
        <v>158</v>
      </c>
      <c r="O102" s="138">
        <f>SUM(D103:D104)</f>
        <v>73148839.870000005</v>
      </c>
      <c r="P102" s="43"/>
      <c r="Q102" s="178" cm="1">
        <f t="array" ref="Q102">_xlfn._xlws.SORT(G103,1,-1)</f>
        <v>73148839.870000005</v>
      </c>
      <c r="R102" s="179">
        <f>Q102/$O$102</f>
        <v>1</v>
      </c>
      <c r="S102" s="11"/>
    </row>
    <row r="103" spans="3:21" ht="15" thickBot="1">
      <c r="C103" s="84" t="s">
        <v>38</v>
      </c>
      <c r="D103" s="86">
        <f>VLOOKUP(C103,$B$27:$Q$28,16,FALSE)</f>
        <v>31648166.5823</v>
      </c>
      <c r="E103" s="86" t="str">
        <f>_xlfn.XLOOKUP(C103,'Investor Categories'!D:D,'Investor Categories'!C:C,"")</f>
        <v>The New York and Presbyterian Hospital</v>
      </c>
      <c r="F103" s="223" t="str" cm="1">
        <f t="array" ref="F103">_xlfn._xlws.SORT(_xlfn.UNIQUE(E103:E104))</f>
        <v>The New York and Presbyterian Hospital</v>
      </c>
      <c r="G103" s="86">
        <f>SUMIFS($D$103:$D$104,$E$103:$E$104,F103)</f>
        <v>73148839.870000005</v>
      </c>
      <c r="H103" s="85" t="str">
        <f>VLOOKUP(F103,'Investor Categories'!C:E,3,FALSE)</f>
        <v>(g) Non-profits</v>
      </c>
      <c r="I103" s="52"/>
      <c r="J103" s="49"/>
      <c r="K103" s="50"/>
      <c r="L103" s="176" t="s">
        <v>138</v>
      </c>
      <c r="M103" s="51">
        <f t="shared" ref="M103:M104" si="6">SUMIFS($G$103:$G$104,$H$103:$H$104,L103)/$O$102</f>
        <v>0</v>
      </c>
      <c r="N103" s="48"/>
      <c r="O103" s="48"/>
      <c r="P103" s="48"/>
      <c r="Q103" s="180"/>
      <c r="R103" s="181"/>
      <c r="S103" s="11"/>
    </row>
    <row r="104" spans="3:21" ht="15" thickBot="1">
      <c r="C104" s="84" t="s">
        <v>39</v>
      </c>
      <c r="D104" s="86">
        <f>VLOOKUP(C104,$B$27:$Q$28,16,FALSE)</f>
        <v>41500673.287699997</v>
      </c>
      <c r="E104" s="86" t="str">
        <f>_xlfn.XLOOKUP(C104,'Investor Categories'!D:D,'Investor Categories'!C:C,"")</f>
        <v>The New York and Presbyterian Hospital</v>
      </c>
      <c r="F104" s="224" t="s">
        <v>117</v>
      </c>
      <c r="G104" s="225">
        <f>SUM(G103)</f>
        <v>73148839.870000005</v>
      </c>
      <c r="H104" s="85"/>
      <c r="I104" s="52"/>
      <c r="J104" s="49"/>
      <c r="K104" s="50"/>
      <c r="L104" s="176" t="s">
        <v>139</v>
      </c>
      <c r="M104" s="51">
        <f t="shared" si="6"/>
        <v>1</v>
      </c>
      <c r="N104" s="48"/>
      <c r="O104" s="48"/>
      <c r="P104" s="48"/>
      <c r="Q104" s="297" t="s">
        <v>162</v>
      </c>
      <c r="R104" s="298">
        <f>MAX(R102:R103)</f>
        <v>1</v>
      </c>
      <c r="S104" s="11"/>
    </row>
    <row r="105" spans="3:21" ht="15" thickBot="1">
      <c r="C105" s="47"/>
      <c r="D105" s="48"/>
      <c r="E105" s="48"/>
      <c r="F105" s="226" t="s">
        <v>215</v>
      </c>
      <c r="G105" s="332">
        <f>G104-O102</f>
        <v>0</v>
      </c>
      <c r="H105" s="57"/>
      <c r="I105" s="58"/>
      <c r="J105" s="53"/>
      <c r="K105" s="54"/>
      <c r="L105" s="177"/>
      <c r="M105" s="55"/>
      <c r="N105" s="48"/>
      <c r="O105" s="48"/>
      <c r="P105" s="48"/>
      <c r="Q105" s="297" t="s">
        <v>151</v>
      </c>
      <c r="R105" s="298">
        <f>SUM(R102:R103)</f>
        <v>1</v>
      </c>
      <c r="S105" s="11"/>
    </row>
    <row r="106" spans="3:21">
      <c r="C106" s="47"/>
      <c r="D106" s="48"/>
      <c r="E106" s="48"/>
      <c r="F106" s="48"/>
      <c r="G106" s="204"/>
      <c r="H106" s="48"/>
      <c r="I106" s="48"/>
      <c r="J106" s="48"/>
      <c r="K106" s="48"/>
      <c r="L106" s="48" t="s">
        <v>130</v>
      </c>
      <c r="M106" s="337">
        <f>SUM(M102:M105)</f>
        <v>1</v>
      </c>
      <c r="N106" s="48"/>
      <c r="O106" s="48"/>
      <c r="P106" s="48"/>
      <c r="Q106" s="297" t="s">
        <v>216</v>
      </c>
      <c r="R106" s="299">
        <f>COUNTIFS(R102:R103,"&gt;="&amp;0.05)</f>
        <v>1</v>
      </c>
      <c r="S106" s="11"/>
    </row>
    <row r="107" spans="3:21" ht="15" thickBot="1"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300" t="s">
        <v>130</v>
      </c>
      <c r="R107" s="336">
        <f>SUM(R102:R103)</f>
        <v>1</v>
      </c>
      <c r="S107" s="11"/>
    </row>
    <row r="108" spans="3:21">
      <c r="S108" s="11"/>
    </row>
    <row r="109" spans="3:21" ht="15" thickBot="1">
      <c r="C109" t="s">
        <v>155</v>
      </c>
      <c r="L109" t="s">
        <v>46</v>
      </c>
      <c r="O109" s="294">
        <f>_xlfn.XLOOKUP(L109,A:A,Q:Q)</f>
        <v>581115179.70790005</v>
      </c>
      <c r="P109" s="333">
        <f>O109-O110</f>
        <v>0</v>
      </c>
      <c r="S109" s="11"/>
    </row>
    <row r="110" spans="3:21" ht="15" thickBot="1">
      <c r="C110" s="16" t="s">
        <v>38</v>
      </c>
      <c r="D110" s="17">
        <f>VLOOKUP(C110,$B$40:$Q$46,16,FALSE)</f>
        <v>51605713.724200003</v>
      </c>
      <c r="E110" s="17" t="str">
        <f>_xlfn.XLOOKUP(C110,'Investor Categories'!D:D,'Investor Categories'!C:C,"")</f>
        <v>The New York and Presbyterian Hospital</v>
      </c>
      <c r="F110" s="214" t="str" cm="1">
        <f t="array" ref="F110:F119">_xlfn._xlws.SORT(_xlfn.UNIQUE(E110:E122))</f>
        <v/>
      </c>
      <c r="G110" s="17"/>
      <c r="H110" s="18"/>
      <c r="I110" s="18"/>
      <c r="J110" s="18"/>
      <c r="K110" s="215"/>
      <c r="L110" s="36"/>
      <c r="M110" s="36"/>
      <c r="N110" s="17" t="s">
        <v>150</v>
      </c>
      <c r="O110" s="87">
        <f>SUM(D110:D118)+SUM(D120:D122)</f>
        <v>581115179.70790005</v>
      </c>
      <c r="P110" s="36"/>
      <c r="Q110" s="131" cm="1">
        <f t="array" ref="Q110:Q117">_xlfn._xlws.SORT(G111:G118,1,-1)</f>
        <v>303470803.17000002</v>
      </c>
      <c r="R110" s="132">
        <f>Q110/$O$110</f>
        <v>0.52222143521107278</v>
      </c>
      <c r="S110" s="11"/>
    </row>
    <row r="111" spans="3:21">
      <c r="C111" s="22" t="s">
        <v>164</v>
      </c>
      <c r="D111" s="23">
        <f>VLOOKUP(C111,$B$40:$Q$46,16,FALSE)</f>
        <v>303470803.17000002</v>
      </c>
      <c r="E111" s="23" t="str">
        <f>_xlfn.XLOOKUP(C111,'Investor Categories'!D:D,'Investor Categories'!C:C,"")</f>
        <v>Makena</v>
      </c>
      <c r="F111" s="217" t="str">
        <v>Alfred I. duPont Charitable Trust</v>
      </c>
      <c r="G111" s="201">
        <f>SUMIFS($D$110:$D$122,$E$110:$E$122,F111)</f>
        <v>28270184.66</v>
      </c>
      <c r="H111" s="21" t="str">
        <f>VLOOKUP(F111,'Investor Categories'!C:E,3,FALSE)</f>
        <v>(g) Non-profits</v>
      </c>
      <c r="I111" s="21"/>
      <c r="J111" s="21"/>
      <c r="K111" s="39"/>
      <c r="L111" s="37"/>
      <c r="M111" s="37"/>
      <c r="N111" s="23"/>
      <c r="O111" s="267"/>
      <c r="P111" s="37"/>
      <c r="Q111" s="20">
        <v>92761570.576200008</v>
      </c>
      <c r="R111" s="38">
        <f>Q111/$O$110</f>
        <v>0.15962682410538132</v>
      </c>
      <c r="S111" s="11"/>
    </row>
    <row r="112" spans="3:21">
      <c r="C112" s="19" t="s">
        <v>234</v>
      </c>
      <c r="D112" s="20">
        <f>VLOOKUP(C112,$B$40:$Q$46,16,FALSE)</f>
        <v>20299277.75</v>
      </c>
      <c r="E112" s="20" t="str">
        <f>_xlfn.XLOOKUP(C112,'Investor Categories'!D:D,'Investor Categories'!C:C,"")</f>
        <v>New York City Ballet, Inc.</v>
      </c>
      <c r="F112" s="216" t="str">
        <v>AMFAM</v>
      </c>
      <c r="G112" s="201">
        <f t="shared" ref="G112:G118" si="7">SUMIFS($D$110:$D$122,$E$110:$E$122,F112)</f>
        <v>44418617.215203844</v>
      </c>
      <c r="H112" s="21" t="str">
        <f>VLOOKUP(F112,'Investor Categories'!C:E,3,FALSE)</f>
        <v xml:space="preserve">(d) Insurance companies </v>
      </c>
      <c r="I112" s="21"/>
      <c r="J112" s="21"/>
      <c r="K112" s="39"/>
      <c r="L112" s="37"/>
      <c r="M112" s="37"/>
      <c r="N112" s="37"/>
      <c r="O112" s="37"/>
      <c r="P112" s="37"/>
      <c r="Q112" s="20">
        <v>50475701.380913459</v>
      </c>
      <c r="R112" s="38">
        <f>Q112/$O$110</f>
        <v>8.68600634495304E-2</v>
      </c>
      <c r="S112" s="11"/>
    </row>
    <row r="113" spans="3:19">
      <c r="C113" s="22" t="s">
        <v>31</v>
      </c>
      <c r="D113" s="20">
        <f t="shared" ref="D113" si="8">VLOOKUP(C113,$B$40:$Q$46,16,FALSE)</f>
        <v>31323884.679400001</v>
      </c>
      <c r="E113" s="20" t="str">
        <f>_xlfn.XLOOKUP(C113,'Investor Categories'!D:D,'Investor Categories'!C:C,"")</f>
        <v>The Kresge Foundation</v>
      </c>
      <c r="F113" s="216" t="str">
        <v>Makena</v>
      </c>
      <c r="G113" s="201">
        <f t="shared" si="7"/>
        <v>303470803.17000002</v>
      </c>
      <c r="H113" s="21" t="str">
        <f>VLOOKUP(F113,'Investor Categories'!C:E,3,FALSE)</f>
        <v xml:space="preserve">(f) Private funds </v>
      </c>
      <c r="I113" s="21"/>
      <c r="J113" s="21"/>
      <c r="K113" s="39"/>
      <c r="L113" s="37"/>
      <c r="M113" s="37"/>
      <c r="N113" s="37"/>
      <c r="O113" s="37"/>
      <c r="P113" s="37"/>
      <c r="Q113" s="20">
        <v>44418617.215203844</v>
      </c>
      <c r="R113" s="38">
        <f t="shared" ref="R113:R117" si="9">Q113/$O$110</f>
        <v>7.6436855835586751E-2</v>
      </c>
      <c r="S113" s="11"/>
    </row>
    <row r="114" spans="3:19">
      <c r="C114" s="22" t="s">
        <v>33</v>
      </c>
      <c r="D114" s="23">
        <f>VLOOKUP(C114,$B$40:$Q$46,16,FALSE)</f>
        <v>28270184.66</v>
      </c>
      <c r="E114" s="23" t="str">
        <f>_xlfn.XLOOKUP(C114,'Investor Categories'!D:D,'Investor Categories'!C:C,"")</f>
        <v>Alfred I. duPont Charitable Trust</v>
      </c>
      <c r="F114" s="217" t="str">
        <v>New York City Ballet, Inc.</v>
      </c>
      <c r="G114" s="201">
        <f t="shared" si="7"/>
        <v>20299277.75</v>
      </c>
      <c r="H114" s="21" t="str">
        <f>VLOOKUP(F114,'Investor Categories'!C:E,3,FALSE)</f>
        <v>(g) Non-profits</v>
      </c>
      <c r="I114" s="21"/>
      <c r="J114" s="21"/>
      <c r="K114" s="39"/>
      <c r="L114" s="37"/>
      <c r="M114" s="37"/>
      <c r="N114" s="37"/>
      <c r="O114" s="37"/>
      <c r="P114" s="37"/>
      <c r="Q114" s="20">
        <v>31323884.679400001</v>
      </c>
      <c r="R114" s="38">
        <f t="shared" si="9"/>
        <v>5.3903057041368427E-2</v>
      </c>
      <c r="S114" s="11"/>
    </row>
    <row r="115" spans="3:19">
      <c r="C115" s="19" t="s">
        <v>39</v>
      </c>
      <c r="D115" s="23">
        <f>VLOOKUP(C115,$B$40:$Q$46,16,FALSE)</f>
        <v>41155856.851999998</v>
      </c>
      <c r="E115" s="23" t="str">
        <f>_xlfn.XLOOKUP(C115,'Investor Categories'!D:D,'Investor Categories'!C:C,"")</f>
        <v>The New York and Presbyterian Hospital</v>
      </c>
      <c r="F115" s="217" t="str">
        <v>OMAHA</v>
      </c>
      <c r="G115" s="201">
        <f t="shared" si="7"/>
        <v>10095140.276182692</v>
      </c>
      <c r="H115" s="21" t="str">
        <f>VLOOKUP(F115,'Investor Categories'!C:E,3,FALSE)</f>
        <v xml:space="preserve">(d) Insurance companies </v>
      </c>
      <c r="I115" s="21"/>
      <c r="J115" s="21"/>
      <c r="K115" s="39"/>
      <c r="L115" s="37"/>
      <c r="M115" s="37"/>
      <c r="N115" s="37"/>
      <c r="O115" s="37"/>
      <c r="P115" s="37"/>
      <c r="Q115" s="20">
        <v>28270184.66</v>
      </c>
      <c r="R115" s="38">
        <f t="shared" si="9"/>
        <v>4.864816072127065E-2</v>
      </c>
      <c r="S115" s="11"/>
    </row>
    <row r="116" spans="3:19">
      <c r="C116" s="19"/>
      <c r="D116" s="23"/>
      <c r="E116" s="23"/>
      <c r="F116" s="217" t="str">
        <v>SWIB</v>
      </c>
      <c r="G116" s="201">
        <f t="shared" si="7"/>
        <v>50475701.380913459</v>
      </c>
      <c r="H116" s="21" t="str">
        <f>VLOOKUP(F116,'Investor Categories'!C:E,3,FALSE)</f>
        <v xml:space="preserve">(k) State or municipal governmental pension plans </v>
      </c>
      <c r="I116" s="21"/>
      <c r="J116" s="21"/>
      <c r="K116" s="39"/>
      <c r="L116" s="37"/>
      <c r="M116" s="37"/>
      <c r="N116" s="37"/>
      <c r="O116" s="37"/>
      <c r="P116" s="37"/>
      <c r="Q116" s="20">
        <v>20299277.75</v>
      </c>
      <c r="R116" s="38">
        <f t="shared" si="9"/>
        <v>3.4931590945883599E-2</v>
      </c>
      <c r="S116" s="11"/>
    </row>
    <row r="117" spans="3:19" ht="15" thickBot="1">
      <c r="C117" s="19"/>
      <c r="D117" s="20"/>
      <c r="E117" s="20"/>
      <c r="F117" s="216" t="str">
        <v>The Kresge Foundation</v>
      </c>
      <c r="G117" s="201">
        <f t="shared" si="7"/>
        <v>31323884.679400001</v>
      </c>
      <c r="H117" s="21" t="str">
        <f>VLOOKUP(F117,'Investor Categories'!C:E,3,FALSE)</f>
        <v>(g) Non-profits</v>
      </c>
      <c r="I117" s="21"/>
      <c r="J117" s="21"/>
      <c r="K117" s="39"/>
      <c r="L117" s="37"/>
      <c r="M117" s="37"/>
      <c r="N117" s="37"/>
      <c r="O117" s="37"/>
      <c r="P117" s="37"/>
      <c r="Q117" s="23">
        <v>10095140.276182692</v>
      </c>
      <c r="R117" s="38">
        <f t="shared" si="9"/>
        <v>1.7372012689906083E-2</v>
      </c>
      <c r="S117" s="11"/>
    </row>
    <row r="118" spans="3:19" ht="15" thickBot="1">
      <c r="C118" s="115"/>
      <c r="D118" s="116"/>
      <c r="E118" s="23"/>
      <c r="F118" s="217" t="str">
        <v>The New York and Presbyterian Hospital</v>
      </c>
      <c r="G118" s="201">
        <f t="shared" si="7"/>
        <v>92761570.576200008</v>
      </c>
      <c r="H118" s="21" t="str">
        <f>VLOOKUP(F118,'Investor Categories'!C:E,3,FALSE)</f>
        <v>(g) Non-profits</v>
      </c>
      <c r="I118" s="21"/>
      <c r="J118" s="21"/>
      <c r="K118" s="39"/>
      <c r="L118" s="36"/>
      <c r="M118" s="36"/>
      <c r="N118" s="126" t="s">
        <v>139</v>
      </c>
      <c r="O118" s="127">
        <f>SUMIFS($G$110:$G$128,$H$110:$H$128,N118)/$O$110</f>
        <v>0.29710963281390396</v>
      </c>
      <c r="P118" s="37"/>
      <c r="Q118" s="23"/>
      <c r="R118" s="38"/>
      <c r="S118" s="11"/>
    </row>
    <row r="119" spans="3:19" ht="15" thickBot="1">
      <c r="C119" s="22" t="s">
        <v>45</v>
      </c>
      <c r="D119" s="112">
        <f>VLOOKUP(C119,$B$40:$Q$46,16,FALSE)</f>
        <v>104989458.8723</v>
      </c>
      <c r="E119" s="23" t="str">
        <f>_xlfn.XLOOKUP(C119,'Investor Categories'!D:D,'Investor Categories'!C:C,"")</f>
        <v/>
      </c>
      <c r="F119" s="216">
        <v>0</v>
      </c>
      <c r="G119" s="201"/>
      <c r="H119" s="21"/>
      <c r="I119" s="21"/>
      <c r="J119" s="21"/>
      <c r="K119" s="39"/>
      <c r="L119" s="37"/>
      <c r="M119" s="37"/>
      <c r="N119" s="24" t="s">
        <v>142</v>
      </c>
      <c r="O119" s="128">
        <f>SUMIFS($G$110:$G$128,$H$110:$H$128,N119)/$O$110</f>
        <v>8.68600634495304E-2</v>
      </c>
      <c r="P119" s="37"/>
      <c r="Q119" s="23"/>
      <c r="R119" s="38"/>
      <c r="S119" s="11"/>
    </row>
    <row r="120" spans="3:19" ht="15" thickBot="1">
      <c r="C120" s="19" t="s">
        <v>128</v>
      </c>
      <c r="D120" s="20">
        <f>SUMIFS(Notes_Q1,PrimeNoteHolders,Prime_InvestorCapitalPerf!C120)/SUM(Notes_Q1)*$D$119</f>
        <v>10095140.276182692</v>
      </c>
      <c r="E120" s="20" t="str">
        <f>_xlfn.XLOOKUP(C120,'Investor Categories'!D:D,'Investor Categories'!C:C,"")</f>
        <v>OMAHA</v>
      </c>
      <c r="F120" s="227" t="s">
        <v>117</v>
      </c>
      <c r="G120" s="210">
        <f>SUM(G111:G119)</f>
        <v>581115179.70790005</v>
      </c>
      <c r="H120" s="21"/>
      <c r="I120" s="21"/>
      <c r="J120" s="21"/>
      <c r="K120" s="39"/>
      <c r="L120" s="37"/>
      <c r="M120" s="37"/>
      <c r="N120" s="24" t="s">
        <v>136</v>
      </c>
      <c r="O120" s="128">
        <f>SUMIFS($G$110:$G$128,$H$110:$H$128,N120)/$O$110</f>
        <v>9.3808868525492833E-2</v>
      </c>
      <c r="P120" s="37"/>
      <c r="Q120" s="20"/>
      <c r="R120" s="38"/>
      <c r="S120" s="11"/>
    </row>
    <row r="121" spans="3:19" ht="15" thickBot="1">
      <c r="C121" s="19" t="s">
        <v>116</v>
      </c>
      <c r="D121" s="20">
        <f>SUMIFS(Notes_Q1,PrimeNoteHolders,Prime_InvestorCapitalPerf!C121)/SUM(Notes_Q1)*$D$119</f>
        <v>50475701.380913459</v>
      </c>
      <c r="E121" s="20" t="str">
        <f>_xlfn.XLOOKUP(C121,'Investor Categories'!D:D,'Investor Categories'!C:C,"")</f>
        <v>SWIB</v>
      </c>
      <c r="F121" s="228" t="s">
        <v>215</v>
      </c>
      <c r="G121" s="338">
        <f>G120-O110</f>
        <v>0</v>
      </c>
      <c r="H121" s="26"/>
      <c r="I121" s="26"/>
      <c r="J121" s="26"/>
      <c r="K121" s="220"/>
      <c r="L121" s="40"/>
      <c r="M121" s="40"/>
      <c r="N121" s="129" t="s">
        <v>138</v>
      </c>
      <c r="O121" s="130">
        <f>SUMIFS($G$110:$G$128,$H$110:$H$128,N121)/$O$110</f>
        <v>0.52222143521107278</v>
      </c>
      <c r="P121" s="37"/>
      <c r="Q121" s="20"/>
      <c r="R121" s="38"/>
      <c r="S121" s="11"/>
    </row>
    <row r="122" spans="3:19">
      <c r="C122" s="19" t="s">
        <v>122</v>
      </c>
      <c r="D122" s="20">
        <f>SUMIFS(Notes_Q1,PrimeNoteHolders,Prime_InvestorCapitalPerf!C122)/SUM(Notes_Q1)*$D$119</f>
        <v>44418617.215203844</v>
      </c>
      <c r="E122" s="20" t="str">
        <f>_xlfn.XLOOKUP(C122,'Investor Categories'!D:D,'Investor Categories'!C:C,"")</f>
        <v>AMFAM</v>
      </c>
      <c r="F122" s="20"/>
      <c r="G122" s="20"/>
      <c r="H122" s="21"/>
      <c r="I122" s="21"/>
      <c r="J122" s="21"/>
      <c r="K122" s="37"/>
      <c r="L122" s="37"/>
      <c r="M122" s="37"/>
      <c r="N122" s="182" t="s">
        <v>130</v>
      </c>
      <c r="O122" s="335">
        <f>SUM(O118:O121)</f>
        <v>1</v>
      </c>
      <c r="P122" s="37"/>
      <c r="Q122" s="20"/>
      <c r="R122" s="38"/>
      <c r="S122" s="11"/>
    </row>
    <row r="123" spans="3:19">
      <c r="C123" s="19"/>
      <c r="D123" s="20"/>
      <c r="E123" s="20"/>
      <c r="F123" s="20"/>
      <c r="G123" s="20"/>
      <c r="H123" s="21"/>
      <c r="I123" s="21"/>
      <c r="J123" s="21"/>
      <c r="K123" s="37"/>
      <c r="L123" s="37"/>
      <c r="M123" s="37"/>
      <c r="N123" s="37"/>
      <c r="O123" s="37"/>
      <c r="P123" s="37"/>
      <c r="Q123" s="20"/>
      <c r="R123" s="38"/>
      <c r="S123" s="11"/>
    </row>
    <row r="124" spans="3:19">
      <c r="C124" s="19"/>
      <c r="D124" s="20"/>
      <c r="E124" s="20"/>
      <c r="F124" s="20"/>
      <c r="G124" s="20"/>
      <c r="H124" s="21"/>
      <c r="I124" s="21"/>
      <c r="J124" s="21"/>
      <c r="K124" s="37"/>
      <c r="L124" s="37"/>
      <c r="M124" s="37"/>
      <c r="N124" s="37"/>
      <c r="O124" s="37"/>
      <c r="P124" s="37"/>
      <c r="Q124" s="23"/>
      <c r="R124" s="38"/>
      <c r="S124" s="11"/>
    </row>
    <row r="125" spans="3:19">
      <c r="C125" s="19"/>
      <c r="D125" s="20"/>
      <c r="E125" s="20"/>
      <c r="F125" s="20"/>
      <c r="G125" s="20"/>
      <c r="H125" s="21"/>
      <c r="I125" s="21"/>
      <c r="J125" s="21"/>
      <c r="K125" s="37"/>
      <c r="L125" s="37"/>
      <c r="M125" s="37"/>
      <c r="N125" s="37"/>
      <c r="O125" s="37"/>
      <c r="P125" s="37"/>
      <c r="Q125" s="182" t="s">
        <v>162</v>
      </c>
      <c r="R125" s="183">
        <f>MAX(R110:R122)</f>
        <v>0.52222143521107278</v>
      </c>
      <c r="S125" s="11"/>
    </row>
    <row r="126" spans="3:19">
      <c r="C126" s="19"/>
      <c r="D126" s="20"/>
      <c r="E126" s="20"/>
      <c r="F126" s="20"/>
      <c r="G126" s="20"/>
      <c r="H126" s="21"/>
      <c r="I126" s="21"/>
      <c r="J126" s="21"/>
      <c r="K126" s="37"/>
      <c r="L126" s="37"/>
      <c r="M126" s="37"/>
      <c r="N126" s="37"/>
      <c r="O126" s="37"/>
      <c r="P126" s="37"/>
      <c r="Q126" s="182" t="s">
        <v>151</v>
      </c>
      <c r="R126" s="183">
        <f>SUM(R110:R114)</f>
        <v>0.89904823564293979</v>
      </c>
      <c r="S126" s="11"/>
    </row>
    <row r="127" spans="3:19">
      <c r="C127" s="19"/>
      <c r="D127" s="20"/>
      <c r="E127" s="20"/>
      <c r="F127" s="20"/>
      <c r="G127" s="20"/>
      <c r="H127" s="21"/>
      <c r="I127" s="21"/>
      <c r="J127" s="21"/>
      <c r="K127" s="37"/>
      <c r="L127" s="37"/>
      <c r="M127" s="37"/>
      <c r="N127" s="37"/>
      <c r="O127" s="37"/>
      <c r="P127" s="37"/>
      <c r="Q127" s="182" t="s">
        <v>216</v>
      </c>
      <c r="R127" s="247">
        <f>COUNTIFS(R110:R120,"&gt;="&amp;0.05)</f>
        <v>5</v>
      </c>
      <c r="S127" s="11"/>
    </row>
    <row r="128" spans="3:19" ht="15" thickBot="1">
      <c r="C128" s="292" t="s">
        <v>227</v>
      </c>
      <c r="D128" s="331">
        <f>D119-SUM(D120:D127)</f>
        <v>0</v>
      </c>
      <c r="E128" s="25"/>
      <c r="F128" s="25"/>
      <c r="G128" s="25"/>
      <c r="H128" s="26"/>
      <c r="I128" s="26"/>
      <c r="J128" s="26"/>
      <c r="K128" s="40"/>
      <c r="L128" s="40"/>
      <c r="M128" s="40"/>
      <c r="N128" s="40"/>
      <c r="O128" s="40"/>
      <c r="P128" s="40"/>
      <c r="Q128" s="184" t="s">
        <v>130</v>
      </c>
      <c r="R128" s="336">
        <f>SUM(R110:R118)</f>
        <v>1.0000000000000002</v>
      </c>
      <c r="S128" s="11"/>
    </row>
    <row r="129" spans="2:19">
      <c r="S129" s="11"/>
    </row>
    <row r="130" spans="2:19" ht="15" thickBot="1">
      <c r="C130" t="s">
        <v>156</v>
      </c>
      <c r="L130" t="s">
        <v>53</v>
      </c>
      <c r="O130" s="294">
        <f>_xlfn.XLOOKUP(L130,A:A,Q:Q)</f>
        <v>245134935.56510001</v>
      </c>
      <c r="P130" s="333">
        <f>O130-O131</f>
        <v>0</v>
      </c>
      <c r="S130" s="11"/>
    </row>
    <row r="131" spans="2:19" ht="15" thickBot="1">
      <c r="C131" s="59" t="s">
        <v>233</v>
      </c>
      <c r="D131" s="28">
        <f t="shared" ref="D131:D141" si="10">VLOOKUP(C131,$B$49:$Q$59,16,FALSE)</f>
        <v>6587516.6470999997</v>
      </c>
      <c r="E131" s="28" t="str">
        <f>_xlfn.XLOOKUP(C131,'Investor Categories'!D:D,'Investor Categories'!C:C,"")</f>
        <v>GUIDESTONE</v>
      </c>
      <c r="F131" s="229" t="str" cm="1">
        <f t="array" ref="F131:F138">_xlfn._xlws.SORT(_xlfn.UNIQUE(E131:E144))</f>
        <v>Dr. Otis S. Hawkins</v>
      </c>
      <c r="G131" s="28">
        <f t="shared" ref="G131" si="11">SUMIFS($D$131:$D$144,$E$131:$E$144,F131)</f>
        <v>1509950.787</v>
      </c>
      <c r="H131" s="32" t="str">
        <f>VLOOKUP(F131,'Investor Categories'!C:E,3,FALSE)</f>
        <v xml:space="preserve">(a) Individuals that are United States persons (including their trusts) </v>
      </c>
      <c r="I131" s="60"/>
      <c r="J131" s="60"/>
      <c r="K131" s="230"/>
      <c r="L131" s="60"/>
      <c r="M131" s="60"/>
      <c r="N131" s="28" t="s">
        <v>150</v>
      </c>
      <c r="O131" s="120">
        <f>SUM(D131:D140)+SUM(D142:D143)</f>
        <v>245134935.56509998</v>
      </c>
      <c r="P131" s="60"/>
      <c r="Q131" s="33" cm="1">
        <f t="array" ref="Q131:Q141">_xlfn._xlws.SORT(G131:G141,1,-1)</f>
        <v>143411183.04750001</v>
      </c>
      <c r="R131" s="61">
        <f>Q131/$O$131</f>
        <v>0.58502955817741698</v>
      </c>
      <c r="S131" s="11"/>
    </row>
    <row r="132" spans="2:19">
      <c r="C132" s="65" t="s">
        <v>48</v>
      </c>
      <c r="D132" s="31">
        <f t="shared" ref="D132" si="12">VLOOKUP(C132,$B$49:$Q$59,16,FALSE)</f>
        <v>14062853.4542</v>
      </c>
      <c r="E132" s="31" t="str">
        <f>_xlfn.XLOOKUP(C132,'Investor Categories'!D:D,'Investor Categories'!C:C,"")</f>
        <v>In Touch Ministries</v>
      </c>
      <c r="F132" s="231" t="str">
        <v>GUIDESTONE</v>
      </c>
      <c r="G132" s="31">
        <f t="shared" ref="G132" si="13">SUMIFS($D$131:$D$144,$E$131:$E$144,F132)</f>
        <v>26461691.961058762</v>
      </c>
      <c r="H132" s="27" t="str">
        <f>VLOOKUP(F132,'Investor Categories'!C:E,3,FALSE)</f>
        <v>(g) Non-profits</v>
      </c>
      <c r="I132" s="63"/>
      <c r="J132" s="63"/>
      <c r="K132" s="70"/>
      <c r="L132" s="63"/>
      <c r="M132" s="63"/>
      <c r="N132" s="31"/>
      <c r="O132" s="268"/>
      <c r="P132" s="63"/>
      <c r="Q132" s="29">
        <v>38897076.310241237</v>
      </c>
      <c r="R132" s="64">
        <f t="shared" ref="R132:R140" si="14">Q132/$O$131</f>
        <v>0.15867618469221179</v>
      </c>
      <c r="S132" s="11"/>
    </row>
    <row r="133" spans="2:19">
      <c r="C133" s="65" t="s">
        <v>160</v>
      </c>
      <c r="D133" s="31">
        <f t="shared" si="10"/>
        <v>1024891.4124</v>
      </c>
      <c r="E133" s="31" t="str">
        <f>_xlfn.XLOOKUP(C133,'Investor Categories'!D:D,'Investor Categories'!C:C,"")</f>
        <v>In Touch Ministries</v>
      </c>
      <c r="F133" s="231" t="str">
        <v>In Touch Ministries</v>
      </c>
      <c r="G133" s="31">
        <f>SUMIFS($D$131:$D$144,$E$131:$E$144,F133)</f>
        <v>32539105.129099999</v>
      </c>
      <c r="H133" s="27" t="str">
        <f>VLOOKUP(F133,'Investor Categories'!C:E,3,FALSE)</f>
        <v>(g) Non-profits</v>
      </c>
      <c r="I133" s="63"/>
      <c r="J133" s="63"/>
      <c r="K133" s="70"/>
      <c r="L133" s="63"/>
      <c r="M133" s="63"/>
      <c r="N133" s="31"/>
      <c r="O133" s="81"/>
      <c r="P133" s="63"/>
      <c r="Q133" s="29">
        <v>32539105.129099999</v>
      </c>
      <c r="R133" s="64">
        <f t="shared" si="14"/>
        <v>0.13273956669655784</v>
      </c>
      <c r="S133" s="11"/>
    </row>
    <row r="134" spans="2:19">
      <c r="C134" s="65" t="s">
        <v>237</v>
      </c>
      <c r="D134" s="31">
        <f t="shared" si="10"/>
        <v>1509950.787</v>
      </c>
      <c r="E134" s="31" t="str">
        <f>_xlfn.XLOOKUP(C134,'Investor Categories'!D:D,'Investor Categories'!C:C,"")</f>
        <v>Dr. Otis S. Hawkins</v>
      </c>
      <c r="F134" s="231" t="str">
        <v>LMCP INTERNAL</v>
      </c>
      <c r="G134" s="31">
        <f>SUMIFS($D$131:$D$144,$E$131:$E$144,F134)</f>
        <v>202939.59</v>
      </c>
      <c r="H134" s="27" t="str">
        <f>VLOOKUP(F134,'Investor Categories'!C:E,3,FALSE)</f>
        <v>(o) LMCP INTERNAL</v>
      </c>
      <c r="I134" s="63"/>
      <c r="J134" s="63"/>
      <c r="K134" s="70"/>
      <c r="L134" s="63"/>
      <c r="M134" s="63"/>
      <c r="N134" s="31"/>
      <c r="O134" s="81"/>
      <c r="P134" s="63"/>
      <c r="Q134" s="29">
        <v>26461691.961058762</v>
      </c>
      <c r="R134" s="64">
        <f t="shared" si="14"/>
        <v>0.10794745310397173</v>
      </c>
      <c r="S134" s="11"/>
    </row>
    <row r="135" spans="2:19">
      <c r="C135" s="65" t="s">
        <v>238</v>
      </c>
      <c r="D135" s="31">
        <f t="shared" si="10"/>
        <v>9771038.6099999994</v>
      </c>
      <c r="E135" s="31" t="str">
        <f>_xlfn.XLOOKUP(C135,'Investor Categories'!D:D,'Investor Categories'!C:C,"")</f>
        <v>GUIDESTONE</v>
      </c>
      <c r="F135" s="231" t="str">
        <v>MERCURY</v>
      </c>
      <c r="G135" s="31">
        <f>SUMIFS($D$131:$D$144,$E$131:$E$144,F135)</f>
        <v>38897076.310241237</v>
      </c>
      <c r="H135" s="27" t="str">
        <f>VLOOKUP(F135,'Investor Categories'!C:E,3,FALSE)</f>
        <v xml:space="preserve">(d) Insurance companies </v>
      </c>
      <c r="I135" s="63"/>
      <c r="J135" s="63"/>
      <c r="K135" s="70"/>
      <c r="L135" s="63"/>
      <c r="M135" s="63"/>
      <c r="N135" s="31"/>
      <c r="O135" s="81"/>
      <c r="P135" s="63"/>
      <c r="Q135" s="29">
        <v>2112988.7401999999</v>
      </c>
      <c r="R135" s="64">
        <f t="shared" si="14"/>
        <v>8.6196964758573046E-3</v>
      </c>
      <c r="S135" s="11"/>
    </row>
    <row r="136" spans="2:19">
      <c r="B136" t="s">
        <v>237</v>
      </c>
      <c r="C136" s="65" t="s">
        <v>49</v>
      </c>
      <c r="D136" s="31">
        <f>VLOOKUP(C136,$B$49:$Q$59,16,FALSE)</f>
        <v>17451360.262499999</v>
      </c>
      <c r="E136" s="31" t="str">
        <f>_xlfn.XLOOKUP(C136,'Investor Categories'!D:D,'Investor Categories'!C:C,"")</f>
        <v>In Touch Ministries</v>
      </c>
      <c r="F136" s="231" t="str">
        <v>Southern Baptist Convention</v>
      </c>
      <c r="G136" s="31">
        <f t="shared" ref="G136:G138" si="15">SUMIFS($D$131:$D$144,$E$131:$E$144,F136)</f>
        <v>2112988.7401999999</v>
      </c>
      <c r="H136" s="27" t="str">
        <f>VLOOKUP(F136,'Investor Categories'!C:E,3,FALSE)</f>
        <v>(g) Non-profits</v>
      </c>
      <c r="I136" s="63"/>
      <c r="J136" s="63"/>
      <c r="K136" s="70"/>
      <c r="L136" s="63"/>
      <c r="M136" s="63"/>
      <c r="N136" s="31"/>
      <c r="O136" s="81"/>
      <c r="P136" s="63"/>
      <c r="Q136" s="29">
        <v>1509950.787</v>
      </c>
      <c r="R136" s="64">
        <f t="shared" si="14"/>
        <v>6.1596719517728856E-3</v>
      </c>
      <c r="S136" s="11"/>
    </row>
    <row r="137" spans="2:19">
      <c r="B137" t="s">
        <v>238</v>
      </c>
      <c r="C137" s="65" t="s">
        <v>50</v>
      </c>
      <c r="D137" s="31">
        <f t="shared" si="10"/>
        <v>2112988.7401999999</v>
      </c>
      <c r="E137" s="31" t="str">
        <f>_xlfn.XLOOKUP(C137,'Investor Categories'!D:D,'Investor Categories'!C:C,"")</f>
        <v>Southern Baptist Convention</v>
      </c>
      <c r="F137" s="231" t="str">
        <v>Word of God Fellowship, Inc.</v>
      </c>
      <c r="G137" s="31">
        <f t="shared" si="15"/>
        <v>143411183.04750001</v>
      </c>
      <c r="H137" s="27" t="str">
        <f>VLOOKUP(F137,'Investor Categories'!C:E,3,FALSE)</f>
        <v>(g) Non-profits</v>
      </c>
      <c r="I137" s="63"/>
      <c r="J137" s="63"/>
      <c r="K137" s="70"/>
      <c r="L137" s="63"/>
      <c r="M137" s="63"/>
      <c r="N137" s="31"/>
      <c r="O137" s="81"/>
      <c r="P137" s="63"/>
      <c r="Q137" s="29">
        <v>202939.59</v>
      </c>
      <c r="R137" s="64">
        <f t="shared" si="14"/>
        <v>8.2786890221163824E-4</v>
      </c>
      <c r="S137" s="11"/>
    </row>
    <row r="138" spans="2:19">
      <c r="C138" s="62" t="s">
        <v>29</v>
      </c>
      <c r="D138" s="31">
        <f t="shared" si="10"/>
        <v>202939.59</v>
      </c>
      <c r="E138" s="29" t="str">
        <f>_xlfn.XLOOKUP(C138,'Investor Categories'!D:D,'Investor Categories'!C:C,"")</f>
        <v>LMCP INTERNAL</v>
      </c>
      <c r="F138" s="232">
        <v>0</v>
      </c>
      <c r="G138" s="31">
        <f t="shared" si="15"/>
        <v>0</v>
      </c>
      <c r="H138" s="27"/>
      <c r="I138" s="63"/>
      <c r="J138" s="63"/>
      <c r="K138" s="70"/>
      <c r="L138" s="63"/>
      <c r="M138" s="63"/>
      <c r="N138" s="63"/>
      <c r="O138" s="63"/>
      <c r="P138" s="63"/>
      <c r="Q138" s="29">
        <v>0</v>
      </c>
      <c r="R138" s="64">
        <f t="shared" si="14"/>
        <v>0</v>
      </c>
      <c r="S138" s="11"/>
    </row>
    <row r="139" spans="2:19">
      <c r="C139" s="65" t="s">
        <v>52</v>
      </c>
      <c r="D139" s="31">
        <f t="shared" si="10"/>
        <v>92393273.950800002</v>
      </c>
      <c r="E139" s="31" t="str">
        <f>_xlfn.XLOOKUP(C139,'Investor Categories'!D:D,'Investor Categories'!C:C,"")</f>
        <v>Word of God Fellowship, Inc.</v>
      </c>
      <c r="F139" s="231"/>
      <c r="G139" s="31"/>
      <c r="H139" s="27"/>
      <c r="I139" s="63"/>
      <c r="J139" s="63"/>
      <c r="K139" s="70"/>
      <c r="L139" s="63"/>
      <c r="M139" s="63"/>
      <c r="N139" s="63"/>
      <c r="O139" s="63"/>
      <c r="P139" s="63"/>
      <c r="Q139" s="29">
        <v>0</v>
      </c>
      <c r="R139" s="64">
        <f t="shared" si="14"/>
        <v>0</v>
      </c>
    </row>
    <row r="140" spans="2:19" ht="15" thickBot="1">
      <c r="C140" s="66" t="s">
        <v>225</v>
      </c>
      <c r="D140" s="114">
        <f t="shared" si="10"/>
        <v>51017909.096699998</v>
      </c>
      <c r="E140" s="31" t="str">
        <f>_xlfn.XLOOKUP(C140,'Investor Categories'!D:D,'Investor Categories'!C:C,"")</f>
        <v>Word of God Fellowship, Inc.</v>
      </c>
      <c r="F140" s="231"/>
      <c r="G140" s="31"/>
      <c r="H140" s="27"/>
      <c r="I140" s="63"/>
      <c r="J140" s="63"/>
      <c r="K140" s="70"/>
      <c r="L140" s="63"/>
      <c r="M140" s="63"/>
      <c r="N140" s="63"/>
      <c r="O140" s="63"/>
      <c r="P140" s="63"/>
      <c r="Q140" s="29">
        <v>0</v>
      </c>
      <c r="R140" s="64">
        <f t="shared" si="14"/>
        <v>0</v>
      </c>
    </row>
    <row r="141" spans="2:19" ht="15" thickBot="1">
      <c r="C141" s="65" t="s">
        <v>51</v>
      </c>
      <c r="D141" s="113">
        <f t="shared" si="10"/>
        <v>49000213.014200002</v>
      </c>
      <c r="E141" s="29"/>
      <c r="F141" s="232"/>
      <c r="G141" s="31"/>
      <c r="H141" s="27"/>
      <c r="I141" s="63"/>
      <c r="J141" s="63"/>
      <c r="K141" s="70"/>
      <c r="L141" s="60"/>
      <c r="M141" s="60"/>
      <c r="N141" s="121" t="s">
        <v>139</v>
      </c>
      <c r="O141" s="122">
        <f>SUMIFS($G$131:$G$150,$H$131:$H$150,N141)/$O$131</f>
        <v>0.83433627445380376</v>
      </c>
      <c r="P141" s="63"/>
      <c r="Q141" s="31">
        <v>0</v>
      </c>
      <c r="R141" s="64"/>
    </row>
    <row r="142" spans="2:19" ht="15" thickBot="1">
      <c r="C142" s="65" t="s">
        <v>126</v>
      </c>
      <c r="D142" s="29">
        <f>SUMIFS(Notes_QX1,PrimeNoteHolders,Prime_InvestorCapitalPerf!C142)/SUM(Notes_QX1)*$D$141</f>
        <v>10103136.703958763</v>
      </c>
      <c r="E142" s="29" t="str">
        <f>_xlfn.XLOOKUP(C142,'Investor Categories'!D:D,'Investor Categories'!C:C,"")</f>
        <v>GUIDESTONE</v>
      </c>
      <c r="F142" s="232"/>
      <c r="G142" s="31"/>
      <c r="H142" s="27"/>
      <c r="I142" s="63"/>
      <c r="J142" s="63"/>
      <c r="K142" s="70"/>
      <c r="L142" s="63"/>
      <c r="M142" s="63"/>
      <c r="N142" s="30" t="s">
        <v>136</v>
      </c>
      <c r="O142" s="123">
        <f>SUMIFS($G$131:$G$150,$H$131:$H$150,N142)/$O$131</f>
        <v>0.15867618469221179</v>
      </c>
      <c r="P142" s="63"/>
      <c r="Q142" s="31"/>
      <c r="R142" s="64"/>
    </row>
    <row r="143" spans="2:19" ht="15" thickBot="1">
      <c r="C143" s="65" t="s">
        <v>127</v>
      </c>
      <c r="D143" s="29">
        <f>SUMIFS(Notes_QX1,PrimeNoteHolders,Prime_InvestorCapitalPerf!C143)/SUM(Notes_QX1)*$D$141</f>
        <v>38897076.310241237</v>
      </c>
      <c r="E143" s="29" t="str">
        <f>_xlfn.XLOOKUP(C143,'Investor Categories'!D:D,'Investor Categories'!C:C,"")</f>
        <v>MERCURY</v>
      </c>
      <c r="F143" s="233" t="s">
        <v>117</v>
      </c>
      <c r="G143" s="211">
        <f>SUM(G131:G142)</f>
        <v>245134935.56510001</v>
      </c>
      <c r="H143" s="27"/>
      <c r="I143" s="63"/>
      <c r="J143" s="63"/>
      <c r="K143" s="70"/>
      <c r="L143" s="63"/>
      <c r="M143" s="63"/>
      <c r="N143" s="30" t="s">
        <v>213</v>
      </c>
      <c r="O143" s="123">
        <f>SUMIFS($G$131:$G$150,$H$131:$H$150,N143)/$O$131</f>
        <v>8.2786890221163824E-4</v>
      </c>
      <c r="P143" s="63"/>
      <c r="Q143" s="31"/>
      <c r="R143" s="64"/>
    </row>
    <row r="144" spans="2:19" ht="15" thickBot="1">
      <c r="C144" s="65"/>
      <c r="D144" s="29"/>
      <c r="E144" s="29"/>
      <c r="F144" s="234" t="s">
        <v>215</v>
      </c>
      <c r="G144" s="331">
        <f>G143-O131</f>
        <v>0</v>
      </c>
      <c r="H144" s="35"/>
      <c r="I144" s="67"/>
      <c r="J144" s="67"/>
      <c r="K144" s="68"/>
      <c r="L144" s="67"/>
      <c r="M144" s="67"/>
      <c r="N144" s="124" t="s">
        <v>133</v>
      </c>
      <c r="O144" s="125">
        <f>SUMIFS($G$131:$G$150,$H$131:$H$150,N144)/$O$131</f>
        <v>6.1596719517728856E-3</v>
      </c>
      <c r="P144" s="63"/>
      <c r="Q144" s="29"/>
      <c r="R144" s="64"/>
    </row>
    <row r="145" spans="3:18">
      <c r="C145" s="65"/>
      <c r="D145" s="29"/>
      <c r="E145" s="29"/>
      <c r="F145" s="29"/>
      <c r="G145" s="29"/>
      <c r="H145" s="27"/>
      <c r="I145" s="63"/>
      <c r="J145" s="63"/>
      <c r="K145" s="63"/>
      <c r="L145" s="63"/>
      <c r="M145" s="63"/>
      <c r="N145" s="185" t="s">
        <v>130</v>
      </c>
      <c r="O145" s="335">
        <f>SUM(O141:O144)</f>
        <v>1</v>
      </c>
      <c r="P145" s="63"/>
      <c r="Q145" s="29"/>
      <c r="R145" s="64"/>
    </row>
    <row r="146" spans="3:18">
      <c r="C146" s="65"/>
      <c r="D146" s="29"/>
      <c r="E146" s="29"/>
      <c r="F146" s="29"/>
      <c r="G146" s="29"/>
      <c r="H146" s="27"/>
      <c r="I146" s="63"/>
      <c r="J146" s="63"/>
      <c r="K146" s="63"/>
      <c r="L146" s="63"/>
      <c r="M146" s="63"/>
      <c r="N146" s="63"/>
      <c r="O146" s="63"/>
      <c r="P146" s="63"/>
      <c r="Q146" s="29"/>
      <c r="R146" s="64"/>
    </row>
    <row r="147" spans="3:18">
      <c r="C147" s="65"/>
      <c r="D147" s="29"/>
      <c r="E147" s="29"/>
      <c r="F147" s="29"/>
      <c r="G147" s="29"/>
      <c r="H147" s="27"/>
      <c r="I147" s="63"/>
      <c r="J147" s="63"/>
      <c r="K147" s="63"/>
      <c r="L147" s="63"/>
      <c r="M147" s="63"/>
      <c r="N147" s="63"/>
      <c r="O147" s="63"/>
      <c r="P147" s="63"/>
      <c r="Q147" s="185" t="s">
        <v>162</v>
      </c>
      <c r="R147" s="186">
        <f>MAX(R131:R144)</f>
        <v>0.58502955817741698</v>
      </c>
    </row>
    <row r="148" spans="3:18">
      <c r="C148" s="65"/>
      <c r="D148" s="29"/>
      <c r="E148" s="29"/>
      <c r="F148" s="29"/>
      <c r="G148" s="29"/>
      <c r="H148" s="27"/>
      <c r="I148" s="63"/>
      <c r="J148" s="63"/>
      <c r="K148" s="63"/>
      <c r="L148" s="63"/>
      <c r="M148" s="63"/>
      <c r="N148" s="63"/>
      <c r="O148" s="63"/>
      <c r="P148" s="63"/>
      <c r="Q148" s="185" t="s">
        <v>151</v>
      </c>
      <c r="R148" s="186">
        <f>SUM(R131:R137)</f>
        <v>1</v>
      </c>
    </row>
    <row r="149" spans="3:18">
      <c r="C149" s="65"/>
      <c r="D149" s="29"/>
      <c r="E149" s="29"/>
      <c r="F149" s="29"/>
      <c r="G149" s="29"/>
      <c r="H149" s="27"/>
      <c r="I149" s="63"/>
      <c r="J149" s="63"/>
      <c r="K149" s="63"/>
      <c r="L149" s="63"/>
      <c r="M149" s="63"/>
      <c r="N149" s="63"/>
      <c r="O149" s="63"/>
      <c r="P149" s="63"/>
      <c r="Q149" s="185" t="s">
        <v>216</v>
      </c>
      <c r="R149" s="248">
        <f>COUNTIFS(R131:R142,"&gt;="&amp;0.05)</f>
        <v>4</v>
      </c>
    </row>
    <row r="150" spans="3:18" ht="15" thickBot="1">
      <c r="C150" s="339" t="s">
        <v>227</v>
      </c>
      <c r="D150" s="331">
        <f>D141-SUM(D142:D149)</f>
        <v>0</v>
      </c>
      <c r="E150" s="34"/>
      <c r="F150" s="34"/>
      <c r="G150" s="34"/>
      <c r="H150" s="35"/>
      <c r="I150" s="67"/>
      <c r="J150" s="67"/>
      <c r="K150" s="67"/>
      <c r="L150" s="67"/>
      <c r="M150" s="67"/>
      <c r="N150" s="67"/>
      <c r="O150" s="67"/>
      <c r="P150" s="67"/>
      <c r="Q150" s="187" t="s">
        <v>130</v>
      </c>
      <c r="R150" s="336">
        <f>SUM(R131:R145)</f>
        <v>1</v>
      </c>
    </row>
    <row r="153" spans="3:18" ht="15" thickBot="1">
      <c r="C153" s="41" t="s">
        <v>157</v>
      </c>
      <c r="D153" s="11"/>
      <c r="E153" s="11"/>
      <c r="F153" s="11"/>
      <c r="G153" s="11"/>
      <c r="H153" s="11"/>
      <c r="I153" s="11"/>
      <c r="J153" s="11"/>
      <c r="K153" s="11"/>
      <c r="L153" s="11" t="s">
        <v>56</v>
      </c>
      <c r="M153" s="11"/>
      <c r="N153" s="11"/>
      <c r="O153" s="294">
        <f>_xlfn.XLOOKUP(L153,A:A,Q:Q)</f>
        <v>92484091.819999993</v>
      </c>
      <c r="P153" s="333">
        <f>O153-O154</f>
        <v>0</v>
      </c>
      <c r="Q153" s="11"/>
      <c r="R153" s="11"/>
    </row>
    <row r="154" spans="3:18" ht="15" thickBot="1">
      <c r="C154" s="346" t="s">
        <v>237</v>
      </c>
      <c r="D154" s="347">
        <f>VLOOKUP(C154,$B$62:$Q$63,16,FALSE)</f>
        <v>1510435.9</v>
      </c>
      <c r="E154" s="347" t="str">
        <f>_xlfn.XLOOKUP(C154,'Investor Categories'!D:D,'Investor Categories'!C:C,"")</f>
        <v>Dr. Otis S. Hawkins</v>
      </c>
      <c r="F154" s="221" t="str" cm="1">
        <f t="array" ref="F154:F158">_xlfn._xlws.SORT(_xlfn.UNIQUE(E154:E159))</f>
        <v/>
      </c>
      <c r="G154" s="43"/>
      <c r="H154" s="43"/>
      <c r="I154" s="43"/>
      <c r="J154" s="301"/>
      <c r="K154" s="45"/>
      <c r="L154" s="135" t="s">
        <v>133</v>
      </c>
      <c r="M154" s="46">
        <f>SUMIFS($G$155:$G$158,$H$155:$H$158,L154)/$O$154</f>
        <v>1.6331845512844868E-2</v>
      </c>
      <c r="N154" s="134" t="s">
        <v>158</v>
      </c>
      <c r="O154" s="133">
        <f>SUM(D158:D159)+D154</f>
        <v>92484091.820000008</v>
      </c>
      <c r="P154" s="43"/>
      <c r="Q154" s="178" cm="1">
        <f t="array" ref="Q154:Q157">_xlfn._xlws.SORT(G155:G158,1,-1)</f>
        <v>50540919.955555558</v>
      </c>
      <c r="R154" s="179">
        <f>Q154/$O$154</f>
        <v>0.54648230804841946</v>
      </c>
    </row>
    <row r="155" spans="3:18">
      <c r="C155" s="348"/>
      <c r="D155" s="349"/>
      <c r="E155" s="349"/>
      <c r="F155" s="235" t="str">
        <v>Dr. Otis S. Hawkins</v>
      </c>
      <c r="G155" s="180">
        <f>SUMIFS($D$154:$D$159,$E$154:$E$159,F155)</f>
        <v>1510435.9</v>
      </c>
      <c r="H155" s="344" t="str">
        <f>VLOOKUP(F155,'Investor Categories'!C:E,3,FALSE)</f>
        <v xml:space="preserve">(a) Individuals that are United States persons (including their trusts) </v>
      </c>
      <c r="I155" s="48"/>
      <c r="J155" s="302"/>
      <c r="K155" s="50"/>
      <c r="L155" s="136" t="s">
        <v>136</v>
      </c>
      <c r="M155" s="51">
        <f t="shared" ref="M155:M156" si="16">SUMIFS($G$155:$G$158,$H$155:$H$158,L155)/$O$154</f>
        <v>0.54648230804841946</v>
      </c>
      <c r="N155" s="341"/>
      <c r="O155" s="342"/>
      <c r="P155" s="48"/>
      <c r="Q155" s="180">
        <v>40432735.964444444</v>
      </c>
      <c r="R155" s="181">
        <f t="shared" ref="R155:R156" si="17">Q155/$O$154</f>
        <v>0.43718584643873559</v>
      </c>
    </row>
    <row r="156" spans="3:18" ht="15" thickBot="1">
      <c r="C156" s="56"/>
      <c r="D156" s="57"/>
      <c r="E156" s="48"/>
      <c r="F156" s="235" t="str">
        <v>MERCURY</v>
      </c>
      <c r="G156" s="180">
        <f t="shared" ref="G156:G157" si="18">SUMIFS($D$154:$D$159,$E$154:$E$159,F156)</f>
        <v>50540919.955555558</v>
      </c>
      <c r="H156" s="344" t="str">
        <f>VLOOKUP(F156,'Investor Categories'!C:E,3,FALSE)</f>
        <v xml:space="preserve">(d) Insurance companies </v>
      </c>
      <c r="I156" s="48"/>
      <c r="J156" s="302"/>
      <c r="K156" s="50"/>
      <c r="L156" s="136" t="s">
        <v>142</v>
      </c>
      <c r="M156" s="51">
        <f t="shared" si="16"/>
        <v>0.43718584643873559</v>
      </c>
      <c r="N156" s="341"/>
      <c r="O156" s="342"/>
      <c r="P156" s="48"/>
      <c r="Q156" s="180">
        <v>1510435.9</v>
      </c>
      <c r="R156" s="181">
        <f t="shared" si="17"/>
        <v>1.6331845512844868E-2</v>
      </c>
    </row>
    <row r="157" spans="3:18" ht="15" thickBot="1">
      <c r="C157" s="206" t="s">
        <v>55</v>
      </c>
      <c r="D157" s="343">
        <f>VLOOKUP(C157,$B$63:$Q$63,16,FALSE)</f>
        <v>90973655.920000002</v>
      </c>
      <c r="E157" s="180" t="str">
        <f>_xlfn.XLOOKUP(C157,'Investor Categories'!D:D,'Investor Categories'!C:C,"")</f>
        <v/>
      </c>
      <c r="F157" s="235" t="str">
        <v>SWIB</v>
      </c>
      <c r="G157" s="180">
        <f t="shared" si="18"/>
        <v>40432735.964444444</v>
      </c>
      <c r="H157" s="344" t="str">
        <f>VLOOKUP(F157,'Investor Categories'!C:E,3,FALSE)</f>
        <v xml:space="preserve">(k) State or municipal governmental pension plans </v>
      </c>
      <c r="I157" s="48"/>
      <c r="J157" s="302"/>
      <c r="K157" s="50"/>
      <c r="L157" s="136"/>
      <c r="M157" s="51"/>
      <c r="N157" s="48"/>
      <c r="O157" s="48"/>
      <c r="P157" s="48"/>
      <c r="Q157" s="180">
        <v>0</v>
      </c>
      <c r="R157" s="181">
        <f>Q157/$O$154</f>
        <v>0</v>
      </c>
    </row>
    <row r="158" spans="3:18" ht="15" thickBot="1">
      <c r="C158" s="84" t="s">
        <v>127</v>
      </c>
      <c r="D158" s="86">
        <f>SUMIFS(Notes_Q3641,PrimeNoteHolders,Prime_InvestorCapitalPerf!C158)/SUM(Notes_Q3641)*$D$157</f>
        <v>50540919.955555558</v>
      </c>
      <c r="E158" s="205" t="str">
        <f>_xlfn.XLOOKUP(C158,'Investor Categories'!D:D,'Investor Categories'!C:C,"")</f>
        <v>MERCURY</v>
      </c>
      <c r="F158" s="236">
        <v>0</v>
      </c>
      <c r="G158" s="180">
        <f>SUMIFS($D$158:$D$159,$E$158:$E$159,F158)</f>
        <v>0</v>
      </c>
      <c r="H158" s="345"/>
      <c r="I158" s="48"/>
      <c r="J158" s="302"/>
      <c r="K158" s="50"/>
      <c r="L158" s="136"/>
      <c r="M158" s="51"/>
      <c r="N158" s="48"/>
      <c r="O158" s="48"/>
      <c r="P158" s="48"/>
      <c r="Q158" s="297" t="s">
        <v>162</v>
      </c>
      <c r="R158" s="298">
        <f>MAX(R154:R157)</f>
        <v>0.54648230804841946</v>
      </c>
    </row>
    <row r="159" spans="3:18" ht="15" thickBot="1">
      <c r="C159" s="84" t="s">
        <v>116</v>
      </c>
      <c r="D159" s="86">
        <f>SUMIFS(Notes_Q3641,PrimeNoteHolders,Prime_InvestorCapitalPerf!C159)/SUM(Notes_Q3641)*$D$157</f>
        <v>40432735.964444444</v>
      </c>
      <c r="E159" s="205" t="str">
        <f>_xlfn.XLOOKUP(C159,'Investor Categories'!D:D,'Investor Categories'!C:C,"")</f>
        <v>SWIB</v>
      </c>
      <c r="F159" s="237" t="s">
        <v>117</v>
      </c>
      <c r="G159" s="212">
        <f>SUM(G155:G158)</f>
        <v>92484091.819999993</v>
      </c>
      <c r="H159" s="85"/>
      <c r="I159" s="48"/>
      <c r="J159" s="302"/>
      <c r="K159" s="50"/>
      <c r="L159" s="136"/>
      <c r="M159" s="51"/>
      <c r="N159" s="48"/>
      <c r="O159" s="48"/>
      <c r="P159" s="48"/>
      <c r="Q159" s="297" t="s">
        <v>151</v>
      </c>
      <c r="R159" s="298">
        <f>SUM(R154:R157)</f>
        <v>0.99999999999999989</v>
      </c>
    </row>
    <row r="160" spans="3:18" ht="15" thickBot="1">
      <c r="C160" s="47"/>
      <c r="D160" s="48"/>
      <c r="E160" s="48"/>
      <c r="F160" s="226" t="s">
        <v>215</v>
      </c>
      <c r="G160" s="334">
        <f>G159-O154</f>
        <v>0</v>
      </c>
      <c r="H160" s="57"/>
      <c r="I160" s="57"/>
      <c r="J160" s="303"/>
      <c r="K160" s="54"/>
      <c r="L160" s="137"/>
      <c r="M160" s="55"/>
      <c r="N160" s="48"/>
      <c r="O160" s="48"/>
      <c r="P160" s="48"/>
      <c r="Q160" s="297" t="s">
        <v>216</v>
      </c>
      <c r="R160" s="299">
        <f>COUNTIFS(R154:R157,"&gt;="&amp;0.05)</f>
        <v>2</v>
      </c>
    </row>
    <row r="161" spans="3:18" ht="15" thickBot="1">
      <c r="C161" s="56" t="s">
        <v>227</v>
      </c>
      <c r="D161" s="334">
        <f>SUM(D158:D160)-D157</f>
        <v>0</v>
      </c>
      <c r="E161" s="57"/>
      <c r="F161" s="57"/>
      <c r="G161" s="57"/>
      <c r="H161" s="57"/>
      <c r="I161" s="57"/>
      <c r="J161" s="57"/>
      <c r="K161" s="57"/>
      <c r="L161" s="304" t="s">
        <v>130</v>
      </c>
      <c r="M161" s="340">
        <f>SUM(M154:M160)</f>
        <v>0.99999999999999989</v>
      </c>
      <c r="N161" s="57"/>
      <c r="O161" s="57"/>
      <c r="P161" s="57"/>
      <c r="Q161" s="300" t="s">
        <v>130</v>
      </c>
      <c r="R161" s="336">
        <f>SUM(R154:R157)</f>
        <v>0.99999999999999989</v>
      </c>
    </row>
    <row r="163" spans="3:18" ht="15" thickBot="1">
      <c r="C163" t="s">
        <v>161</v>
      </c>
      <c r="L163" t="s">
        <v>43</v>
      </c>
      <c r="O163" s="294">
        <f>_xlfn.XLOOKUP(L163,A:A,Q:Q)</f>
        <v>207447235.4384</v>
      </c>
      <c r="P163" s="333">
        <f>O163-O164</f>
        <v>0</v>
      </c>
    </row>
    <row r="164" spans="3:18" ht="15" thickBot="1">
      <c r="C164" s="117" t="s">
        <v>233</v>
      </c>
      <c r="D164" s="28">
        <f>VLOOKUP(C164,$B$31:$Q$37,16,FALSE)</f>
        <v>2553957.8783999998</v>
      </c>
      <c r="E164" s="28" t="str">
        <f>_xlfn.XLOOKUP(C164,'Investor Categories'!D:D,'Investor Categories'!C:C,"")</f>
        <v>GUIDESTONE</v>
      </c>
      <c r="F164" s="229" t="str" cm="1">
        <f t="array" ref="F164:F171">_xlfn._xlws.SORT(_xlfn.UNIQUE(E164:E174))</f>
        <v>AMFAM</v>
      </c>
      <c r="G164" s="28">
        <f>SUMIFS($D$164:$D$174,$E$164:$E$174,F164)</f>
        <v>34105564.440953039</v>
      </c>
      <c r="H164" s="83" t="str">
        <f>VLOOKUP(F164,'Investor Categories'!C:E,3,FALSE)</f>
        <v xml:space="preserve">(d) Insurance companies </v>
      </c>
      <c r="I164" s="60"/>
      <c r="J164" s="60"/>
      <c r="K164" s="230"/>
      <c r="L164" s="60"/>
      <c r="M164" s="60"/>
      <c r="N164" s="28" t="s">
        <v>158</v>
      </c>
      <c r="O164" s="120">
        <f>SUM(D164:D168)+D170+SUM(D172:D174)</f>
        <v>207447235.4384</v>
      </c>
      <c r="P164" s="89"/>
      <c r="Q164" s="118" cm="1">
        <f t="array" ref="Q164:Q173">_xlfn._xlws.SORT(G164:G173,1,-1)</f>
        <v>77557951.780000001</v>
      </c>
      <c r="R164" s="61">
        <f t="shared" ref="R164:R172" si="19">Q164/$O$164</f>
        <v>0.3738683314631604</v>
      </c>
    </row>
    <row r="165" spans="3:18">
      <c r="C165" s="62" t="s">
        <v>29</v>
      </c>
      <c r="D165" s="31">
        <f t="shared" ref="D165:D167" si="20">VLOOKUP(C165,$B$31:$Q$37,16,FALSE)</f>
        <v>1190913.8999999999</v>
      </c>
      <c r="E165" s="31" t="str">
        <f>_xlfn.XLOOKUP(C165,'Investor Categories'!D:D,'Investor Categories'!C:C,"")</f>
        <v>LMCP INTERNAL</v>
      </c>
      <c r="F165" s="231" t="str">
        <v>GUIDESTONE</v>
      </c>
      <c r="G165" s="31">
        <f t="shared" ref="G165:G166" si="21">SUMIFS($D$164:$D$174,$E$164:$E$174,F165)</f>
        <v>17600530.425879285</v>
      </c>
      <c r="H165" s="238" t="str">
        <f>VLOOKUP(F165,'Investor Categories'!C:E,3,FALSE)</f>
        <v>(g) Non-profits</v>
      </c>
      <c r="I165" s="63"/>
      <c r="J165" s="63"/>
      <c r="K165" s="70"/>
      <c r="L165" s="63"/>
      <c r="M165" s="63"/>
      <c r="N165" s="31"/>
      <c r="O165" s="268"/>
      <c r="P165" s="90"/>
      <c r="Q165" s="119">
        <v>50155241.810000002</v>
      </c>
      <c r="R165" s="64">
        <f t="shared" si="19"/>
        <v>0.24177348858858738</v>
      </c>
    </row>
    <row r="166" spans="3:18">
      <c r="C166" s="62" t="s">
        <v>164</v>
      </c>
      <c r="D166" s="31">
        <f t="shared" si="20"/>
        <v>61236161.240000002</v>
      </c>
      <c r="E166" s="31" t="str">
        <f>_xlfn.XLOOKUP(C166,'Investor Categories'!D:D,'Investor Categories'!C:C,"")</f>
        <v>Makena</v>
      </c>
      <c r="F166" s="231" t="str">
        <v>LMCP INTERNAL</v>
      </c>
      <c r="G166" s="31">
        <f t="shared" si="21"/>
        <v>1190913.8999999999</v>
      </c>
      <c r="H166" s="238" t="str">
        <f>VLOOKUP(F166,'Investor Categories'!C:E,3,FALSE)</f>
        <v>(o) LMCP INTERNAL</v>
      </c>
      <c r="I166" s="63"/>
      <c r="J166" s="63"/>
      <c r="K166" s="70"/>
      <c r="L166" s="63"/>
      <c r="M166" s="63"/>
      <c r="N166" s="31"/>
      <c r="O166" s="268"/>
      <c r="P166" s="90"/>
      <c r="Q166" s="119">
        <v>34105564.440953039</v>
      </c>
      <c r="R166" s="64">
        <f t="shared" si="19"/>
        <v>0.16440597228918216</v>
      </c>
    </row>
    <row r="167" spans="3:18">
      <c r="C167" s="62" t="s">
        <v>165</v>
      </c>
      <c r="D167" s="31">
        <f t="shared" si="20"/>
        <v>16321790.539999999</v>
      </c>
      <c r="E167" s="31" t="str">
        <f>_xlfn.XLOOKUP(C167,'Investor Categories'!D:D,'Investor Categories'!C:C,"")</f>
        <v>Makena</v>
      </c>
      <c r="F167" s="231" t="str">
        <v>Makena</v>
      </c>
      <c r="G167" s="31">
        <f>SUMIFS($D$164:$D$174,$E$164:$E$174,F167)</f>
        <v>77557951.780000001</v>
      </c>
      <c r="H167" s="27" t="str">
        <f>VLOOKUP(F167,'Investor Categories'!C:E,3,FALSE)</f>
        <v xml:space="preserve">(f) Private funds </v>
      </c>
      <c r="I167" s="63"/>
      <c r="J167" s="63"/>
      <c r="K167" s="70"/>
      <c r="L167" s="82"/>
      <c r="M167" s="31"/>
      <c r="N167" s="63"/>
      <c r="O167" s="88"/>
      <c r="P167" s="90"/>
      <c r="Q167" s="119">
        <v>17889337.940000001</v>
      </c>
      <c r="R167" s="64">
        <f t="shared" si="19"/>
        <v>8.6235605416453545E-2</v>
      </c>
    </row>
    <row r="168" spans="3:18" ht="15" thickBot="1">
      <c r="C168" s="72" t="s">
        <v>159</v>
      </c>
      <c r="D168" s="114">
        <f>VLOOKUP(C168,$B$31:$Q$37,16,FALSE)</f>
        <v>17889337.940000001</v>
      </c>
      <c r="E168" s="31" t="str">
        <f>_xlfn.XLOOKUP(C168,'Investor Categories'!D:D,'Investor Categories'!C:C,"")</f>
        <v>Southern Baptist Convention</v>
      </c>
      <c r="F168" s="231" t="str">
        <v>MERCURY</v>
      </c>
      <c r="G168" s="31">
        <f>SUMIFS($D$164:$D$174,$E$164:$E$174,F168)</f>
        <v>8947695.141567681</v>
      </c>
      <c r="H168" s="27" t="str">
        <f>VLOOKUP(F168,'Investor Categories'!C:E,3,FALSE)</f>
        <v xml:space="preserve">(d) Insurance companies </v>
      </c>
      <c r="I168" s="63"/>
      <c r="J168" s="63"/>
      <c r="K168" s="70"/>
      <c r="L168" s="82"/>
      <c r="M168" s="31"/>
      <c r="N168" s="63"/>
      <c r="O168" s="88"/>
      <c r="P168" s="90"/>
      <c r="Q168" s="119">
        <v>17600530.425879285</v>
      </c>
      <c r="R168" s="64">
        <f t="shared" si="19"/>
        <v>8.4843407957131536E-2</v>
      </c>
    </row>
    <row r="169" spans="3:18" ht="15" thickBot="1">
      <c r="C169" s="62" t="s">
        <v>224</v>
      </c>
      <c r="D169" s="269">
        <f>VLOOKUP(C169,$B$31:$Q$37,16,FALSE)</f>
        <v>50155241.810000002</v>
      </c>
      <c r="E169" s="31"/>
      <c r="F169" s="231" t="str">
        <v>NATIONWIDE</v>
      </c>
      <c r="G169" s="31">
        <f>SUMIFS($D$164:$D$174,$E$164:$E$174,F169)</f>
        <v>50155241.810000002</v>
      </c>
      <c r="H169" s="27" t="str">
        <f>VLOOKUP(F169,'Investor Categories'!C:E,3,FALSE)</f>
        <v xml:space="preserve">(d) Insurance companies </v>
      </c>
      <c r="I169" s="63"/>
      <c r="J169" s="63"/>
      <c r="K169" s="70"/>
      <c r="L169" s="82"/>
      <c r="M169" s="31"/>
      <c r="N169" s="63"/>
      <c r="O169" s="88"/>
      <c r="P169" s="90"/>
      <c r="Q169" s="119">
        <v>8947695.141567681</v>
      </c>
      <c r="R169" s="64">
        <f t="shared" si="19"/>
        <v>4.313239037704427E-2</v>
      </c>
    </row>
    <row r="170" spans="3:18" ht="15" thickBot="1">
      <c r="C170" s="72" t="s">
        <v>132</v>
      </c>
      <c r="D170" s="114">
        <f>SUMIFS(Notes_MIG2,PrimeNoteHolders,Prime_InvestorCapitalPerf!C170)/SUM(Notes_MIG2)*$D$169</f>
        <v>50155241.810000002</v>
      </c>
      <c r="E170" s="31" t="str">
        <f>_xlfn.XLOOKUP(C170,'Investor Categories'!D:D,'Investor Categories'!C:C,"")</f>
        <v>NATIONWIDE</v>
      </c>
      <c r="F170" s="231" t="str">
        <v>Southern Baptist Convention</v>
      </c>
      <c r="G170" s="31">
        <f>SUMIFS($D$164:$D$174,$E$164:$E$174,F170)</f>
        <v>17889337.940000001</v>
      </c>
      <c r="H170" s="27" t="str">
        <f>VLOOKUP(F170,'Investor Categories'!C:E,3,FALSE)</f>
        <v>(g) Non-profits</v>
      </c>
      <c r="I170" s="63"/>
      <c r="J170" s="63"/>
      <c r="K170" s="70"/>
      <c r="L170" s="82"/>
      <c r="M170" s="31"/>
      <c r="N170" s="63"/>
      <c r="O170" s="88"/>
      <c r="P170" s="90"/>
      <c r="Q170" s="119">
        <v>1190913.8999999999</v>
      </c>
      <c r="R170" s="64">
        <f t="shared" si="19"/>
        <v>5.7408039084407732E-3</v>
      </c>
    </row>
    <row r="171" spans="3:18" ht="15" thickBot="1">
      <c r="C171" s="62" t="s">
        <v>42</v>
      </c>
      <c r="D171" s="269">
        <f>VLOOKUP(C171,$B$31:$Q$37,16,FALSE)</f>
        <v>58099832.130000003</v>
      </c>
      <c r="E171" s="31"/>
      <c r="F171" s="231">
        <v>0</v>
      </c>
      <c r="G171" s="31"/>
      <c r="H171" s="27"/>
      <c r="I171" s="63"/>
      <c r="J171" s="63"/>
      <c r="K171" s="70"/>
      <c r="L171" s="82"/>
      <c r="M171" s="31"/>
      <c r="N171" s="63"/>
      <c r="O171" s="88"/>
      <c r="P171" s="90"/>
      <c r="Q171" s="119">
        <v>0</v>
      </c>
      <c r="R171" s="64">
        <f t="shared" si="19"/>
        <v>0</v>
      </c>
    </row>
    <row r="172" spans="3:18">
      <c r="C172" s="62" t="s">
        <v>122</v>
      </c>
      <c r="D172" s="29">
        <f>SUMIFS(Notes_MIG1,PrimeNoteHolders,Prime_InvestorCapitalPerf!C172)/SUM(Notes_MIG1)*$D$171</f>
        <v>34105564.440953039</v>
      </c>
      <c r="E172" s="31" t="str">
        <f>_xlfn.XLOOKUP(C172,'Investor Categories'!D:D,'Investor Categories'!C:C,"")</f>
        <v>AMFAM</v>
      </c>
      <c r="F172" s="232"/>
      <c r="G172" s="31"/>
      <c r="H172" s="27"/>
      <c r="I172" s="63"/>
      <c r="J172" s="63"/>
      <c r="K172" s="70"/>
      <c r="L172" s="83"/>
      <c r="M172" s="60"/>
      <c r="N172" s="121" t="s">
        <v>136</v>
      </c>
      <c r="O172" s="122">
        <f>SUMIFS($G$164:$G$180,$H$164:$H$180,N172)/$O$164</f>
        <v>0.44931185125481382</v>
      </c>
      <c r="P172" s="90"/>
      <c r="Q172" s="119">
        <v>0</v>
      </c>
      <c r="R172" s="64">
        <f t="shared" si="19"/>
        <v>0</v>
      </c>
    </row>
    <row r="173" spans="3:18" ht="15" thickBot="1">
      <c r="C173" s="62" t="s">
        <v>126</v>
      </c>
      <c r="D173" s="29">
        <f>SUMIFS(Notes_MIG1,PrimeNoteHolders,Prime_InvestorCapitalPerf!C173)/SUM(Notes_MIG1)*$D$171</f>
        <v>15046572.547479283</v>
      </c>
      <c r="E173" s="31" t="str">
        <f>_xlfn.XLOOKUP(C173,'Investor Categories'!D:D,'Investor Categories'!C:C,"")</f>
        <v>GUIDESTONE</v>
      </c>
      <c r="F173" s="232"/>
      <c r="G173" s="31"/>
      <c r="H173" s="27"/>
      <c r="I173" s="63"/>
      <c r="J173" s="63"/>
      <c r="K173" s="70"/>
      <c r="L173" s="238"/>
      <c r="M173" s="63"/>
      <c r="N173" s="30" t="s">
        <v>138</v>
      </c>
      <c r="O173" s="123">
        <f>SUMIFS($G$164:$G$180,$H$164:$H$180,N173)/$O$164</f>
        <v>0.3738683314631604</v>
      </c>
      <c r="P173" s="90"/>
      <c r="Q173" s="119">
        <v>0</v>
      </c>
      <c r="R173" s="64"/>
    </row>
    <row r="174" spans="3:18" ht="15" thickBot="1">
      <c r="C174" s="62" t="s">
        <v>127</v>
      </c>
      <c r="D174" s="29">
        <f>SUMIFS(Notes_MIG1,PrimeNoteHolders,Prime_InvestorCapitalPerf!C174)/SUM(Notes_MIG1)*$D$171</f>
        <v>8947695.141567681</v>
      </c>
      <c r="E174" s="31" t="str">
        <f>_xlfn.XLOOKUP(C174,'Investor Categories'!D:D,'Investor Categories'!C:C,"")</f>
        <v>MERCURY</v>
      </c>
      <c r="F174" s="233" t="s">
        <v>117</v>
      </c>
      <c r="G174" s="211">
        <f>SUM(G164:G173)</f>
        <v>207447235.4384</v>
      </c>
      <c r="H174" s="27"/>
      <c r="I174" s="63"/>
      <c r="J174" s="63"/>
      <c r="K174" s="70"/>
      <c r="L174" s="238"/>
      <c r="M174" s="63"/>
      <c r="N174" s="30" t="s">
        <v>139</v>
      </c>
      <c r="O174" s="123">
        <f>SUMIFS($G$164:$G$180,$H$164:$H$180,N174)/$O$164</f>
        <v>0.17107901337358505</v>
      </c>
      <c r="P174" s="63"/>
      <c r="Q174" s="119"/>
      <c r="R174" s="64"/>
    </row>
    <row r="175" spans="3:18" ht="15" thickBot="1">
      <c r="C175" s="62"/>
      <c r="D175" s="29"/>
      <c r="E175" s="29"/>
      <c r="F175" s="234" t="s">
        <v>215</v>
      </c>
      <c r="G175" s="331">
        <f>G174-O164</f>
        <v>0</v>
      </c>
      <c r="H175" s="35"/>
      <c r="I175" s="67"/>
      <c r="J175" s="67"/>
      <c r="K175" s="68"/>
      <c r="L175" s="239"/>
      <c r="M175" s="67"/>
      <c r="N175" s="124" t="s">
        <v>213</v>
      </c>
      <c r="O175" s="125">
        <f>SUMIFS($G$164:$G$180,$H$164:$H$180,N175)/$O$164</f>
        <v>5.7408039084407732E-3</v>
      </c>
      <c r="P175" s="71"/>
      <c r="Q175" s="71"/>
      <c r="R175" s="64"/>
    </row>
    <row r="176" spans="3:18">
      <c r="C176" s="62"/>
      <c r="D176" s="29"/>
      <c r="E176" s="29"/>
      <c r="F176" s="29"/>
      <c r="G176" s="29"/>
      <c r="H176" s="27"/>
      <c r="I176" s="63"/>
      <c r="J176" s="63"/>
      <c r="K176" s="63"/>
      <c r="L176" s="63"/>
      <c r="M176" s="63"/>
      <c r="N176" s="185" t="s">
        <v>130</v>
      </c>
      <c r="O176" s="335">
        <f>SUM(O172:O175)</f>
        <v>1</v>
      </c>
      <c r="P176" s="63"/>
      <c r="Q176" s="63"/>
      <c r="R176" s="70"/>
    </row>
    <row r="177" spans="3:18">
      <c r="C177" s="62"/>
      <c r="D177" s="29"/>
      <c r="E177" s="29"/>
      <c r="F177" s="29"/>
      <c r="G177" s="29"/>
      <c r="H177" s="27"/>
      <c r="I177" s="63"/>
      <c r="J177" s="63"/>
      <c r="K177" s="63"/>
      <c r="L177" s="63"/>
      <c r="M177" s="63"/>
      <c r="N177" s="63"/>
      <c r="O177" s="63"/>
      <c r="P177" s="63"/>
      <c r="Q177" s="185" t="s">
        <v>162</v>
      </c>
      <c r="R177" s="186">
        <f>MAX(R164:R174)</f>
        <v>0.3738683314631604</v>
      </c>
    </row>
    <row r="178" spans="3:18">
      <c r="C178" s="62"/>
      <c r="D178" s="29"/>
      <c r="E178" s="29"/>
      <c r="F178" s="29"/>
      <c r="G178" s="29"/>
      <c r="H178" s="27"/>
      <c r="I178" s="63"/>
      <c r="J178" s="63"/>
      <c r="K178" s="63"/>
      <c r="L178" s="63"/>
      <c r="M178" s="63"/>
      <c r="N178" s="63"/>
      <c r="O178" s="63"/>
      <c r="P178" s="63"/>
      <c r="Q178" s="185" t="s">
        <v>151</v>
      </c>
      <c r="R178" s="186">
        <f>SUM(R164:R168)</f>
        <v>0.95112680571451502</v>
      </c>
    </row>
    <row r="179" spans="3:18">
      <c r="C179" s="62"/>
      <c r="D179" s="29"/>
      <c r="E179" s="29"/>
      <c r="F179" s="29"/>
      <c r="G179" s="29"/>
      <c r="H179" s="27"/>
      <c r="I179" s="63"/>
      <c r="J179" s="63"/>
      <c r="K179" s="63"/>
      <c r="L179" s="63"/>
      <c r="M179" s="63"/>
      <c r="N179" s="63"/>
      <c r="O179" s="63"/>
      <c r="P179" s="63"/>
      <c r="Q179" s="185" t="s">
        <v>216</v>
      </c>
      <c r="R179" s="248">
        <f>COUNTIFS(R164:R172,"&gt;="&amp;0.05)</f>
        <v>5</v>
      </c>
    </row>
    <row r="180" spans="3:18" ht="15" thickBot="1">
      <c r="C180" s="339" t="s">
        <v>227</v>
      </c>
      <c r="D180" s="331">
        <f>D171-SUM(D172:D179)+D169-SUM(D170)</f>
        <v>0</v>
      </c>
      <c r="E180" s="34"/>
      <c r="F180" s="34"/>
      <c r="G180" s="34"/>
      <c r="H180" s="35"/>
      <c r="I180" s="67"/>
      <c r="J180" s="67"/>
      <c r="K180" s="67"/>
      <c r="L180" s="67"/>
      <c r="M180" s="67"/>
      <c r="N180" s="67"/>
      <c r="O180" s="67"/>
      <c r="P180" s="67"/>
      <c r="Q180" s="187" t="s">
        <v>117</v>
      </c>
      <c r="R180" s="336">
        <f>SUM(R164:R173)</f>
        <v>1</v>
      </c>
    </row>
    <row r="182" spans="3:18" ht="15" thickBot="1">
      <c r="C182" t="s">
        <v>235</v>
      </c>
      <c r="L182" t="s">
        <v>232</v>
      </c>
      <c r="O182" s="294">
        <f>_xlfn.XLOOKUP(L182,A:A,Q:Q)</f>
        <v>87053375.159999996</v>
      </c>
      <c r="P182" s="333">
        <f>O182-O183</f>
        <v>0</v>
      </c>
    </row>
    <row r="183" spans="3:18" ht="15" thickBot="1">
      <c r="C183" s="140"/>
      <c r="D183" s="141"/>
      <c r="E183" s="141"/>
      <c r="F183" s="240" t="str" cm="1">
        <f t="array" ref="F183:F186">_xlfn._xlws.SORT(_xlfn.UNIQUE(E183:E190))</f>
        <v>GUIDESTONE</v>
      </c>
      <c r="G183" s="141">
        <f>SUMIFS($D$183:$D$190,$E$183:$E$190,F183)</f>
        <v>14991970.463834673</v>
      </c>
      <c r="H183" s="142" t="str">
        <f>VLOOKUP(F183,'Investor Categories'!C:E,3,FALSE)</f>
        <v>(g) Non-profits</v>
      </c>
      <c r="I183" s="143"/>
      <c r="J183" s="143"/>
      <c r="K183" s="241"/>
      <c r="L183" s="143"/>
      <c r="M183" s="143"/>
      <c r="N183" s="141" t="s">
        <v>158</v>
      </c>
      <c r="O183" s="144">
        <f>D183+SUM(D188:D190)</f>
        <v>87053375.159999996</v>
      </c>
      <c r="P183" s="145"/>
      <c r="Q183" s="146" cm="1">
        <f t="array" ref="Q183:Q185">_xlfn._xlws.SORT(G183:G185,1,-1)</f>
        <v>47074787.25644087</v>
      </c>
      <c r="R183" s="147">
        <f>Q183/$O$183</f>
        <v>0.54075774971297363</v>
      </c>
    </row>
    <row r="184" spans="3:18" ht="15" thickBot="1">
      <c r="C184" s="148"/>
      <c r="D184" s="149"/>
      <c r="E184" s="149"/>
      <c r="F184" s="242" t="str">
        <v>MERCURY</v>
      </c>
      <c r="G184" s="149">
        <f t="shared" ref="G184:G185" si="22">SUMIFS($D$183:$D$190,$E$183:$E$190,F184)</f>
        <v>47074787.25644087</v>
      </c>
      <c r="H184" s="150" t="str">
        <f>VLOOKUP(F184,'Investor Categories'!C:E,3,FALSE)</f>
        <v xml:space="preserve">(d) Insurance companies </v>
      </c>
      <c r="I184" s="151"/>
      <c r="J184" s="151"/>
      <c r="K184" s="172"/>
      <c r="L184" s="152"/>
      <c r="M184" s="149"/>
      <c r="N184" s="151"/>
      <c r="O184" s="153"/>
      <c r="P184" s="154"/>
      <c r="Q184" s="155">
        <v>24986617.439724453</v>
      </c>
      <c r="R184" s="156">
        <f t="shared" ref="R184:R185" si="23">Q184/$O$183</f>
        <v>0.28702640642939148</v>
      </c>
    </row>
    <row r="185" spans="3:18">
      <c r="C185" s="148"/>
      <c r="D185" s="149"/>
      <c r="E185" s="149"/>
      <c r="F185" s="242" t="str">
        <v>WOODMEN</v>
      </c>
      <c r="G185" s="149">
        <f t="shared" si="22"/>
        <v>24986617.439724453</v>
      </c>
      <c r="H185" s="150" t="str">
        <f>VLOOKUP(F185,'Investor Categories'!C:E,3,FALSE)</f>
        <v xml:space="preserve">(d) Insurance companies </v>
      </c>
      <c r="I185" s="151"/>
      <c r="J185" s="151"/>
      <c r="K185" s="172"/>
      <c r="L185" s="161"/>
      <c r="M185" s="143"/>
      <c r="N185" s="162" t="s">
        <v>139</v>
      </c>
      <c r="O185" s="163">
        <f>SUMIFS($G$183:$G$195,$H$183:$H$195,N185)/$O$183</f>
        <v>0.17221584385763491</v>
      </c>
      <c r="P185" s="154"/>
      <c r="Q185" s="155">
        <v>14991970.463834673</v>
      </c>
      <c r="R185" s="156">
        <f t="shared" si="23"/>
        <v>0.17221584385763491</v>
      </c>
    </row>
    <row r="186" spans="3:18" ht="15" thickBot="1">
      <c r="C186" s="157"/>
      <c r="D186" s="158"/>
      <c r="E186" s="149"/>
      <c r="F186" s="242">
        <v>0</v>
      </c>
      <c r="G186" s="149"/>
      <c r="H186" s="150"/>
      <c r="I186" s="151"/>
      <c r="J186" s="151"/>
      <c r="K186" s="172"/>
      <c r="L186" s="164"/>
      <c r="M186" s="151"/>
      <c r="N186" s="165" t="s">
        <v>213</v>
      </c>
      <c r="O186" s="166">
        <f>SUMIFS($G$183:$G$195,$H$183:$H$195,N186)/$O$183</f>
        <v>0</v>
      </c>
      <c r="P186" s="154"/>
      <c r="Q186" s="155"/>
      <c r="R186" s="156"/>
    </row>
    <row r="187" spans="3:18" ht="15" thickBot="1">
      <c r="C187" s="148" t="s">
        <v>231</v>
      </c>
      <c r="D187" s="208">
        <f>VLOOKUP(C187,$B$21:$Q$21,16,FALSE)</f>
        <v>87053375.159999996</v>
      </c>
      <c r="E187" s="149"/>
      <c r="F187" s="243" t="s">
        <v>117</v>
      </c>
      <c r="G187" s="213">
        <f>SUM(G183:G186)</f>
        <v>87053375.159999996</v>
      </c>
      <c r="H187" s="150"/>
      <c r="I187" s="151"/>
      <c r="J187" s="151"/>
      <c r="K187" s="172"/>
      <c r="L187" s="164"/>
      <c r="M187" s="151"/>
      <c r="N187" s="165" t="s">
        <v>136</v>
      </c>
      <c r="O187" s="166">
        <f>SUMIFS($G$183:$G$195,$H$183:$H$195,N187)/$O$183</f>
        <v>0.82778415614236511</v>
      </c>
      <c r="P187" s="154"/>
      <c r="Q187" s="155"/>
      <c r="R187" s="156"/>
    </row>
    <row r="188" spans="3:18" ht="15" thickBot="1">
      <c r="C188" s="148" t="s">
        <v>126</v>
      </c>
      <c r="D188" s="159">
        <f>SUMIFS(NOTES_2YIG,PrimeNoteHolders,Prime_InvestorCapitalPerf!C188)/SUM(NOTES_2YIG)*$D$187</f>
        <v>14991970.463834673</v>
      </c>
      <c r="E188" s="149" t="str">
        <f>_xlfn.XLOOKUP(C188,'Investor Categories'!D:D,'Investor Categories'!C:C,"")</f>
        <v>GUIDESTONE</v>
      </c>
      <c r="F188" s="244" t="s">
        <v>215</v>
      </c>
      <c r="G188" s="338">
        <f>G187-O183</f>
        <v>0</v>
      </c>
      <c r="H188" s="245"/>
      <c r="I188" s="168"/>
      <c r="J188" s="168"/>
      <c r="K188" s="246"/>
      <c r="L188" s="167"/>
      <c r="M188" s="168"/>
      <c r="N188" s="169"/>
      <c r="O188" s="170"/>
      <c r="P188" s="154"/>
      <c r="Q188" s="155"/>
      <c r="R188" s="156"/>
    </row>
    <row r="189" spans="3:18">
      <c r="C189" s="148" t="s">
        <v>129</v>
      </c>
      <c r="D189" s="159">
        <f>SUMIFS(NOTES_2YIG,PrimeNoteHolders,Prime_InvestorCapitalPerf!C189)/SUM(NOTES_2YIG)*$D$187</f>
        <v>24986617.439724453</v>
      </c>
      <c r="E189" s="149" t="str">
        <f>_xlfn.XLOOKUP(C189,'Investor Categories'!D:D,'Investor Categories'!C:C,"")</f>
        <v>WOODMEN</v>
      </c>
      <c r="F189" s="159"/>
      <c r="G189" s="159"/>
      <c r="H189" s="160"/>
      <c r="I189" s="151"/>
      <c r="J189" s="151"/>
      <c r="K189" s="151"/>
      <c r="L189" s="151"/>
      <c r="M189" s="151"/>
      <c r="N189" s="188" t="s">
        <v>130</v>
      </c>
      <c r="O189" s="335">
        <f>SUM(O185:O188)</f>
        <v>1</v>
      </c>
      <c r="P189" s="154"/>
      <c r="Q189" s="155"/>
      <c r="R189" s="156"/>
    </row>
    <row r="190" spans="3:18">
      <c r="C190" s="148" t="s">
        <v>127</v>
      </c>
      <c r="D190" s="159">
        <f>SUMIFS(NOTES_2YIG,PrimeNoteHolders,Prime_InvestorCapitalPerf!C190)/SUM(NOTES_2YIG)*$D$187</f>
        <v>47074787.25644087</v>
      </c>
      <c r="E190" s="149" t="str">
        <f>_xlfn.XLOOKUP(C190,'Investor Categories'!D:D,'Investor Categories'!C:C,"")</f>
        <v>MERCURY</v>
      </c>
      <c r="F190" s="159"/>
      <c r="G190" s="159"/>
      <c r="H190" s="160"/>
      <c r="I190" s="151"/>
      <c r="J190" s="151"/>
      <c r="K190" s="151"/>
      <c r="L190" s="151"/>
      <c r="M190" s="151"/>
      <c r="N190" s="151"/>
      <c r="O190" s="151"/>
      <c r="P190" s="151"/>
      <c r="Q190" s="155"/>
      <c r="R190" s="156"/>
    </row>
    <row r="191" spans="3:18">
      <c r="C191" s="148"/>
      <c r="D191" s="159"/>
      <c r="E191" s="159"/>
      <c r="F191" s="159"/>
      <c r="G191" s="159"/>
      <c r="H191" s="160"/>
      <c r="I191" s="151"/>
      <c r="J191" s="151"/>
      <c r="K191" s="151"/>
      <c r="L191" s="151"/>
      <c r="M191" s="151"/>
      <c r="N191" s="151"/>
      <c r="O191" s="151"/>
      <c r="P191" s="171"/>
      <c r="Q191" s="171"/>
      <c r="R191" s="156"/>
    </row>
    <row r="192" spans="3:18">
      <c r="C192" s="148"/>
      <c r="D192" s="159"/>
      <c r="E192" s="159"/>
      <c r="F192" s="159"/>
      <c r="G192" s="159"/>
      <c r="H192" s="160"/>
      <c r="I192" s="151"/>
      <c r="J192" s="151"/>
      <c r="K192" s="151"/>
      <c r="L192" s="151"/>
      <c r="M192" s="151"/>
      <c r="N192" s="151"/>
      <c r="O192" s="151"/>
      <c r="P192" s="151"/>
      <c r="Q192" s="151"/>
      <c r="R192" s="172"/>
    </row>
    <row r="193" spans="3:18">
      <c r="C193" s="148"/>
      <c r="D193" s="159"/>
      <c r="E193" s="159"/>
      <c r="F193" s="159"/>
      <c r="G193" s="159"/>
      <c r="H193" s="160"/>
      <c r="I193" s="151"/>
      <c r="J193" s="151"/>
      <c r="K193" s="151"/>
      <c r="L193" s="151"/>
      <c r="M193" s="151"/>
      <c r="N193" s="151"/>
      <c r="O193" s="151"/>
      <c r="P193" s="151"/>
      <c r="Q193" s="188" t="s">
        <v>162</v>
      </c>
      <c r="R193" s="189">
        <f>MAX(R183:R190)</f>
        <v>0.54075774971297363</v>
      </c>
    </row>
    <row r="194" spans="3:18">
      <c r="C194" s="148"/>
      <c r="D194" s="159"/>
      <c r="E194" s="159"/>
      <c r="F194" s="159"/>
      <c r="G194" s="159"/>
      <c r="H194" s="160"/>
      <c r="I194" s="151"/>
      <c r="J194" s="151"/>
      <c r="K194" s="151"/>
      <c r="L194" s="151"/>
      <c r="M194" s="151"/>
      <c r="N194" s="151"/>
      <c r="O194" s="151"/>
      <c r="P194" s="151"/>
      <c r="Q194" s="188" t="s">
        <v>151</v>
      </c>
      <c r="R194" s="189">
        <f>SUM(R183:R187)</f>
        <v>1</v>
      </c>
    </row>
    <row r="195" spans="3:18">
      <c r="C195" s="148"/>
      <c r="D195" s="159"/>
      <c r="E195" s="159"/>
      <c r="F195" s="159"/>
      <c r="G195" s="159"/>
      <c r="H195" s="160"/>
      <c r="I195" s="151"/>
      <c r="J195" s="151"/>
      <c r="K195" s="151"/>
      <c r="L195" s="151"/>
      <c r="M195" s="151"/>
      <c r="N195" s="151"/>
      <c r="O195" s="151"/>
      <c r="P195" s="151"/>
      <c r="Q195" s="188" t="s">
        <v>216</v>
      </c>
      <c r="R195" s="296">
        <f>COUNTIFS(R183:R191,"&gt;="&amp;0.05)</f>
        <v>3</v>
      </c>
    </row>
    <row r="196" spans="3:18" ht="15" thickBot="1">
      <c r="C196" s="350" t="s">
        <v>227</v>
      </c>
      <c r="D196" s="331">
        <f>D187-SUM(D188:D195)</f>
        <v>0</v>
      </c>
      <c r="E196" s="173"/>
      <c r="F196" s="173"/>
      <c r="G196" s="173"/>
      <c r="H196" s="174"/>
      <c r="I196" s="168"/>
      <c r="J196" s="168"/>
      <c r="K196" s="168"/>
      <c r="L196" s="168"/>
      <c r="M196" s="168"/>
      <c r="N196" s="168"/>
      <c r="O196" s="168"/>
      <c r="P196" s="168"/>
      <c r="Q196" s="190" t="s">
        <v>117</v>
      </c>
      <c r="R196" s="336">
        <f>SUM(R183:R192)</f>
        <v>1</v>
      </c>
    </row>
  </sheetData>
  <sortState xmlns:xlrd2="http://schemas.microsoft.com/office/spreadsheetml/2017/richdata2" ref="O164:O173">
    <sortCondition descending="1" ref="O164:O173"/>
  </sortState>
  <mergeCells count="65">
    <mergeCell ref="C56:D56"/>
    <mergeCell ref="C54:D54"/>
    <mergeCell ref="C63:D63"/>
    <mergeCell ref="A64:E64"/>
    <mergeCell ref="B65:E65"/>
    <mergeCell ref="C57:D57"/>
    <mergeCell ref="C58:D58"/>
    <mergeCell ref="C59:D59"/>
    <mergeCell ref="A60:E60"/>
    <mergeCell ref="A61:E61"/>
    <mergeCell ref="C55:D55"/>
    <mergeCell ref="C62:D62"/>
    <mergeCell ref="C44:D44"/>
    <mergeCell ref="C45:D45"/>
    <mergeCell ref="C46:D46"/>
    <mergeCell ref="A38:E38"/>
    <mergeCell ref="A39:E39"/>
    <mergeCell ref="C40:D40"/>
    <mergeCell ref="C41:D41"/>
    <mergeCell ref="C42:D42"/>
    <mergeCell ref="C43:D43"/>
    <mergeCell ref="C53:D53"/>
    <mergeCell ref="A47:E47"/>
    <mergeCell ref="A48:E48"/>
    <mergeCell ref="C49:D49"/>
    <mergeCell ref="C52:D52"/>
    <mergeCell ref="C50:D50"/>
    <mergeCell ref="C51:D51"/>
    <mergeCell ref="C28:D28"/>
    <mergeCell ref="A29:E29"/>
    <mergeCell ref="A30:E30"/>
    <mergeCell ref="C31:D31"/>
    <mergeCell ref="C37:D37"/>
    <mergeCell ref="C35:D35"/>
    <mergeCell ref="C36:D36"/>
    <mergeCell ref="C32:D32"/>
    <mergeCell ref="C33:D33"/>
    <mergeCell ref="C34:D34"/>
    <mergeCell ref="C17:D17"/>
    <mergeCell ref="C18:D18"/>
    <mergeCell ref="A19:E19"/>
    <mergeCell ref="A26:E26"/>
    <mergeCell ref="C27:D27"/>
    <mergeCell ref="A23:E23"/>
    <mergeCell ref="C24:D24"/>
    <mergeCell ref="A25:E25"/>
    <mergeCell ref="A20:E20"/>
    <mergeCell ref="C21:D21"/>
    <mergeCell ref="A22:E22"/>
    <mergeCell ref="C11:D11"/>
    <mergeCell ref="C13:D13"/>
    <mergeCell ref="C14:D14"/>
    <mergeCell ref="C15:D15"/>
    <mergeCell ref="C16:D16"/>
    <mergeCell ref="C12:D12"/>
    <mergeCell ref="A6:E6"/>
    <mergeCell ref="C7:D7"/>
    <mergeCell ref="C8:D8"/>
    <mergeCell ref="C9:D9"/>
    <mergeCell ref="C10:D10"/>
    <mergeCell ref="A1:C1"/>
    <mergeCell ref="A2:V2"/>
    <mergeCell ref="A3:V3"/>
    <mergeCell ref="A4:V4"/>
    <mergeCell ref="C5:D5"/>
  </mergeCells>
  <pageMargins left="0.15" right="0.15" top="0.2" bottom="0.35365000000000002" header="0.2" footer="0.2"/>
  <pageSetup orientation="landscape" horizontalDpi="300" verticalDpi="300" r:id="rId1"/>
  <headerFooter alignWithMargins="0">
    <oddFooter>&amp;L&amp;"Tahoma,Regular"&amp;8 Created on 10/4/2021 11:07:42 AM &amp;C&amp;"Tahoma,Regular"&amp;8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0DD-5A3E-4B12-8AE0-F8CCAD402B15}">
  <dimension ref="C4:W45"/>
  <sheetViews>
    <sheetView showGridLines="0" zoomScale="60" zoomScaleNormal="60" workbookViewId="0">
      <selection activeCell="K22" sqref="A22:XFD23"/>
    </sheetView>
  </sheetViews>
  <sheetFormatPr defaultColWidth="9.1796875" defaultRowHeight="14.5"/>
  <cols>
    <col min="1" max="2" width="9.1796875" style="14"/>
    <col min="3" max="3" width="12.26953125" style="14" bestFit="1" customWidth="1"/>
    <col min="4" max="4" width="25.7265625" style="14" bestFit="1" customWidth="1"/>
    <col min="5" max="7" width="15.81640625" style="14" bestFit="1" customWidth="1"/>
    <col min="8" max="8" width="14.81640625" style="14" bestFit="1" customWidth="1"/>
    <col min="9" max="9" width="14.81640625" style="14" customWidth="1"/>
    <col min="10" max="10" width="13.453125" style="14" bestFit="1" customWidth="1"/>
    <col min="11" max="11" width="13.453125" style="14" customWidth="1"/>
    <col min="12" max="12" width="16.54296875" style="14" bestFit="1" customWidth="1"/>
    <col min="13" max="14" width="9.1796875" style="14"/>
    <col min="15" max="15" width="15.54296875" style="14" bestFit="1" customWidth="1"/>
    <col min="16" max="16" width="24.1796875" style="14" bestFit="1" customWidth="1"/>
    <col min="17" max="18" width="15.81640625" style="14" bestFit="1" customWidth="1"/>
    <col min="19" max="19" width="23.453125" style="14" bestFit="1" customWidth="1"/>
    <col min="20" max="22" width="15.81640625" style="14" bestFit="1" customWidth="1"/>
    <col min="23" max="23" width="15.54296875" style="14" customWidth="1"/>
    <col min="24" max="16384" width="9.1796875" style="14"/>
  </cols>
  <sheetData>
    <row r="4" spans="3:23" s="307" customFormat="1">
      <c r="D4" s="305"/>
      <c r="E4" s="92" t="s">
        <v>62</v>
      </c>
      <c r="F4" s="92" t="s">
        <v>63</v>
      </c>
      <c r="G4" s="92" t="s">
        <v>64</v>
      </c>
      <c r="H4" s="92" t="s">
        <v>65</v>
      </c>
      <c r="I4" s="92" t="s">
        <v>217</v>
      </c>
      <c r="J4" s="92" t="s">
        <v>218</v>
      </c>
      <c r="K4" s="92" t="s">
        <v>228</v>
      </c>
      <c r="L4" s="92" t="s">
        <v>66</v>
      </c>
      <c r="M4" s="308"/>
      <c r="N4" s="308"/>
      <c r="O4" s="308"/>
      <c r="P4" s="1"/>
      <c r="Q4" s="91" t="s">
        <v>62</v>
      </c>
      <c r="R4" s="92" t="s">
        <v>67</v>
      </c>
      <c r="S4" s="92" t="s">
        <v>68</v>
      </c>
      <c r="T4" s="92" t="s">
        <v>69</v>
      </c>
      <c r="U4" s="92" t="s">
        <v>70</v>
      </c>
      <c r="V4" s="92" t="s">
        <v>71</v>
      </c>
      <c r="W4" s="92" t="s">
        <v>166</v>
      </c>
    </row>
    <row r="5" spans="3:23" s="307" customFormat="1">
      <c r="C5" s="307" t="s">
        <v>149</v>
      </c>
      <c r="D5" s="93" t="s">
        <v>73</v>
      </c>
      <c r="E5" s="92" t="s">
        <v>118</v>
      </c>
      <c r="F5" s="92" t="s">
        <v>119</v>
      </c>
      <c r="G5" s="92" t="s">
        <v>120</v>
      </c>
      <c r="H5" s="92" t="s">
        <v>72</v>
      </c>
      <c r="I5" s="92" t="s">
        <v>219</v>
      </c>
      <c r="J5" s="92" t="s">
        <v>220</v>
      </c>
      <c r="K5" s="92" t="s">
        <v>229</v>
      </c>
      <c r="L5" s="92" t="s">
        <v>121</v>
      </c>
      <c r="M5" s="308"/>
      <c r="N5" s="308"/>
      <c r="O5" s="307" t="s">
        <v>149</v>
      </c>
      <c r="P5" s="93" t="s">
        <v>73</v>
      </c>
      <c r="Q5" s="92" t="s">
        <v>74</v>
      </c>
      <c r="R5" s="92" t="s">
        <v>75</v>
      </c>
      <c r="S5" s="92" t="s">
        <v>76</v>
      </c>
      <c r="T5" s="92" t="s">
        <v>77</v>
      </c>
      <c r="U5" s="92" t="s">
        <v>78</v>
      </c>
      <c r="V5" s="92" t="s">
        <v>79</v>
      </c>
      <c r="W5" s="92" t="s">
        <v>167</v>
      </c>
    </row>
    <row r="6" spans="3:23">
      <c r="C6" s="14" t="s">
        <v>122</v>
      </c>
      <c r="D6" s="250" t="s">
        <v>80</v>
      </c>
      <c r="E6" s="95">
        <v>28000000</v>
      </c>
      <c r="F6" s="96">
        <v>44000000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7">
        <v>28000000</v>
      </c>
      <c r="M6" s="15"/>
      <c r="N6" s="15"/>
      <c r="O6" s="15"/>
      <c r="P6" s="94" t="s">
        <v>81</v>
      </c>
      <c r="Q6" s="95">
        <v>0</v>
      </c>
      <c r="R6" s="96">
        <v>0</v>
      </c>
      <c r="S6" s="96">
        <v>0</v>
      </c>
      <c r="T6" s="96">
        <v>0</v>
      </c>
      <c r="U6" s="96">
        <v>0</v>
      </c>
      <c r="V6" s="96">
        <v>0</v>
      </c>
      <c r="W6" s="97">
        <v>0</v>
      </c>
    </row>
    <row r="7" spans="3:23">
      <c r="C7" s="14" t="s">
        <v>122</v>
      </c>
      <c r="D7" s="251" t="s">
        <v>82</v>
      </c>
      <c r="E7" s="99">
        <v>6000000</v>
      </c>
      <c r="F7" s="100">
        <v>0</v>
      </c>
      <c r="G7" s="100">
        <v>0</v>
      </c>
      <c r="H7" s="100">
        <v>0</v>
      </c>
      <c r="I7" s="100">
        <v>0</v>
      </c>
      <c r="J7" s="100">
        <v>0</v>
      </c>
      <c r="K7" s="100">
        <v>0</v>
      </c>
      <c r="L7" s="101">
        <v>6000000</v>
      </c>
      <c r="M7" s="15"/>
      <c r="N7" s="15"/>
      <c r="O7" s="15" t="s">
        <v>131</v>
      </c>
      <c r="P7" s="98" t="s">
        <v>83</v>
      </c>
      <c r="Q7" s="99">
        <v>0</v>
      </c>
      <c r="R7" s="100">
        <v>0</v>
      </c>
      <c r="S7" s="100">
        <v>0</v>
      </c>
      <c r="T7" s="100">
        <v>0</v>
      </c>
      <c r="U7" s="100">
        <v>0</v>
      </c>
      <c r="V7" s="100">
        <v>0</v>
      </c>
      <c r="W7" s="101">
        <v>10000000</v>
      </c>
    </row>
    <row r="8" spans="3:23">
      <c r="C8" s="14" t="s">
        <v>123</v>
      </c>
      <c r="D8" s="251" t="s">
        <v>84</v>
      </c>
      <c r="E8" s="99">
        <v>0</v>
      </c>
      <c r="F8" s="100">
        <v>0</v>
      </c>
      <c r="G8" s="100">
        <v>0</v>
      </c>
      <c r="H8" s="100">
        <v>0</v>
      </c>
      <c r="I8" s="100">
        <v>0</v>
      </c>
      <c r="J8" s="100">
        <v>0</v>
      </c>
      <c r="K8" s="100">
        <v>0</v>
      </c>
      <c r="L8" s="101">
        <v>0</v>
      </c>
      <c r="M8" s="15"/>
      <c r="N8" s="15"/>
      <c r="O8" s="15" t="s">
        <v>131</v>
      </c>
      <c r="P8" s="98" t="s">
        <v>85</v>
      </c>
      <c r="Q8" s="99">
        <v>0</v>
      </c>
      <c r="R8" s="100">
        <v>0</v>
      </c>
      <c r="S8" s="100">
        <v>0</v>
      </c>
      <c r="T8" s="100">
        <v>0</v>
      </c>
      <c r="U8" s="100">
        <v>0</v>
      </c>
      <c r="V8" s="100">
        <v>0</v>
      </c>
      <c r="W8" s="101">
        <v>0</v>
      </c>
    </row>
    <row r="9" spans="3:23">
      <c r="C9" s="14" t="s">
        <v>123</v>
      </c>
      <c r="D9" s="251" t="s">
        <v>86</v>
      </c>
      <c r="E9" s="99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1">
        <v>0</v>
      </c>
      <c r="M9" s="15"/>
      <c r="N9" s="15"/>
      <c r="O9" s="15" t="s">
        <v>131</v>
      </c>
      <c r="P9" s="98" t="s">
        <v>87</v>
      </c>
      <c r="Q9" s="99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1">
        <v>5700000</v>
      </c>
    </row>
    <row r="10" spans="3:23">
      <c r="C10" s="14" t="s">
        <v>123</v>
      </c>
      <c r="D10" s="251" t="s">
        <v>88</v>
      </c>
      <c r="E10" s="99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1">
        <v>0</v>
      </c>
      <c r="M10" s="15"/>
      <c r="N10" s="15"/>
      <c r="O10" s="15" t="s">
        <v>131</v>
      </c>
      <c r="P10" s="98" t="s">
        <v>89</v>
      </c>
      <c r="Q10" s="99">
        <v>0</v>
      </c>
      <c r="R10" s="100">
        <v>0</v>
      </c>
      <c r="S10" s="100">
        <v>0</v>
      </c>
      <c r="T10" s="100">
        <v>0</v>
      </c>
      <c r="U10" s="100">
        <v>0</v>
      </c>
      <c r="V10" s="100">
        <v>0</v>
      </c>
      <c r="W10" s="101">
        <v>5000000</v>
      </c>
    </row>
    <row r="11" spans="3:23">
      <c r="C11" s="14" t="s">
        <v>123</v>
      </c>
      <c r="D11" s="251" t="s">
        <v>90</v>
      </c>
      <c r="E11" s="99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1">
        <v>0</v>
      </c>
      <c r="M11" s="15"/>
      <c r="N11" s="15"/>
      <c r="O11" s="15" t="s">
        <v>131</v>
      </c>
      <c r="P11" s="98" t="s">
        <v>91</v>
      </c>
      <c r="Q11" s="99">
        <v>0</v>
      </c>
      <c r="R11" s="100">
        <v>0</v>
      </c>
      <c r="S11" s="100">
        <v>0</v>
      </c>
      <c r="T11" s="100">
        <v>0</v>
      </c>
      <c r="U11" s="100">
        <v>0</v>
      </c>
      <c r="V11" s="100">
        <v>0</v>
      </c>
      <c r="W11" s="101">
        <v>0</v>
      </c>
    </row>
    <row r="12" spans="3:23">
      <c r="C12" s="14" t="s">
        <v>123</v>
      </c>
      <c r="D12" s="251" t="s">
        <v>92</v>
      </c>
      <c r="E12" s="99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1">
        <v>0</v>
      </c>
      <c r="M12" s="15"/>
      <c r="N12" s="15"/>
      <c r="O12" s="15" t="s">
        <v>124</v>
      </c>
      <c r="P12" s="98" t="s">
        <v>95</v>
      </c>
      <c r="Q12" s="99">
        <v>0</v>
      </c>
      <c r="R12" s="100">
        <v>0</v>
      </c>
      <c r="S12" s="100">
        <v>0</v>
      </c>
      <c r="T12" s="100">
        <v>0</v>
      </c>
      <c r="U12" s="100">
        <v>0</v>
      </c>
      <c r="V12" s="100">
        <v>0</v>
      </c>
      <c r="W12" s="101">
        <v>0</v>
      </c>
    </row>
    <row r="13" spans="3:23">
      <c r="C13" s="14" t="s">
        <v>132</v>
      </c>
      <c r="D13" s="251" t="s">
        <v>93</v>
      </c>
      <c r="E13" s="99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50000000</v>
      </c>
      <c r="K13" s="100">
        <v>0</v>
      </c>
      <c r="L13" s="101">
        <v>0</v>
      </c>
      <c r="M13" s="15"/>
      <c r="N13" s="15"/>
      <c r="O13" s="15" t="s">
        <v>132</v>
      </c>
      <c r="P13" s="98" t="s">
        <v>93</v>
      </c>
      <c r="Q13" s="99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1">
        <v>0</v>
      </c>
    </row>
    <row r="14" spans="3:23">
      <c r="C14" s="14" t="s">
        <v>124</v>
      </c>
      <c r="D14" s="251" t="s">
        <v>95</v>
      </c>
      <c r="E14" s="99">
        <v>0</v>
      </c>
      <c r="F14" s="100">
        <v>0</v>
      </c>
      <c r="G14" s="100">
        <v>0</v>
      </c>
      <c r="H14" s="100">
        <v>0</v>
      </c>
      <c r="I14" s="100">
        <v>0</v>
      </c>
      <c r="J14" s="100">
        <v>0</v>
      </c>
      <c r="K14" s="100">
        <v>0</v>
      </c>
      <c r="L14" s="101">
        <v>0</v>
      </c>
      <c r="M14" s="15"/>
      <c r="N14" s="15"/>
      <c r="O14" s="15" t="s">
        <v>132</v>
      </c>
      <c r="P14" s="98" t="s">
        <v>96</v>
      </c>
      <c r="Q14" s="99">
        <v>0</v>
      </c>
      <c r="R14" s="100">
        <v>0</v>
      </c>
      <c r="S14" s="100">
        <v>0</v>
      </c>
      <c r="T14" s="100">
        <v>0</v>
      </c>
      <c r="U14" s="100">
        <v>0</v>
      </c>
      <c r="V14" s="100">
        <v>0</v>
      </c>
      <c r="W14" s="101">
        <v>0</v>
      </c>
    </row>
    <row r="15" spans="3:23">
      <c r="C15" s="14" t="s">
        <v>125</v>
      </c>
      <c r="D15" s="252" t="s">
        <v>97</v>
      </c>
      <c r="E15" s="99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1">
        <v>0</v>
      </c>
      <c r="M15" s="15"/>
      <c r="N15" s="15"/>
      <c r="O15" s="15" t="s">
        <v>129</v>
      </c>
      <c r="P15" s="98" t="s">
        <v>98</v>
      </c>
      <c r="Q15" s="99">
        <v>0</v>
      </c>
      <c r="R15" s="100">
        <v>0</v>
      </c>
      <c r="S15" s="100">
        <v>0</v>
      </c>
      <c r="T15" s="100">
        <v>0</v>
      </c>
      <c r="U15" s="100">
        <v>0</v>
      </c>
      <c r="V15" s="100">
        <v>0</v>
      </c>
      <c r="W15" s="101">
        <v>0</v>
      </c>
    </row>
    <row r="16" spans="3:23">
      <c r="C16" s="14" t="s">
        <v>125</v>
      </c>
      <c r="D16" s="252" t="s">
        <v>99</v>
      </c>
      <c r="E16" s="99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1">
        <v>0</v>
      </c>
      <c r="M16" s="15"/>
      <c r="N16" s="15"/>
      <c r="O16" s="15" t="s">
        <v>127</v>
      </c>
      <c r="P16" s="98" t="s">
        <v>100</v>
      </c>
      <c r="Q16" s="99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1">
        <v>0</v>
      </c>
    </row>
    <row r="17" spans="3:23">
      <c r="C17" s="14" t="s">
        <v>126</v>
      </c>
      <c r="D17" s="251" t="s">
        <v>101</v>
      </c>
      <c r="E17" s="99">
        <v>0</v>
      </c>
      <c r="F17" s="100">
        <v>0</v>
      </c>
      <c r="G17" s="100">
        <v>10000000</v>
      </c>
      <c r="H17" s="100">
        <v>0</v>
      </c>
      <c r="I17" s="100">
        <v>0</v>
      </c>
      <c r="J17" s="100">
        <v>0</v>
      </c>
      <c r="K17" s="100">
        <v>15000000</v>
      </c>
      <c r="L17" s="101">
        <v>15000000</v>
      </c>
      <c r="M17" s="15"/>
      <c r="N17" s="15"/>
      <c r="O17" s="15" t="s">
        <v>127</v>
      </c>
      <c r="P17" s="98" t="s">
        <v>102</v>
      </c>
      <c r="Q17" s="99">
        <v>0</v>
      </c>
      <c r="R17" s="100">
        <v>0</v>
      </c>
      <c r="S17" s="100">
        <v>0</v>
      </c>
      <c r="T17" s="100">
        <v>0</v>
      </c>
      <c r="U17" s="100">
        <v>0</v>
      </c>
      <c r="V17" s="100">
        <v>0</v>
      </c>
      <c r="W17" s="101">
        <v>0</v>
      </c>
    </row>
    <row r="18" spans="3:23">
      <c r="C18" s="14" t="s">
        <v>126</v>
      </c>
      <c r="D18" s="251" t="s">
        <v>103</v>
      </c>
      <c r="E18" s="99">
        <v>0</v>
      </c>
      <c r="F18" s="100">
        <v>0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1">
        <v>0</v>
      </c>
      <c r="M18" s="15"/>
      <c r="N18" s="15"/>
      <c r="O18" s="15" t="s">
        <v>127</v>
      </c>
      <c r="P18" s="98" t="s">
        <v>104</v>
      </c>
      <c r="Q18" s="99">
        <v>0</v>
      </c>
      <c r="R18" s="100">
        <v>0</v>
      </c>
      <c r="S18" s="100">
        <v>0</v>
      </c>
      <c r="T18" s="100">
        <v>0</v>
      </c>
      <c r="U18" s="100">
        <v>0</v>
      </c>
      <c r="V18" s="100">
        <v>0</v>
      </c>
      <c r="W18" s="101">
        <v>0</v>
      </c>
    </row>
    <row r="19" spans="3:23">
      <c r="C19" s="14" t="s">
        <v>127</v>
      </c>
      <c r="D19" s="251" t="s">
        <v>105</v>
      </c>
      <c r="E19" s="99">
        <v>5000000</v>
      </c>
      <c r="F19" s="100">
        <v>0</v>
      </c>
      <c r="G19" s="100">
        <v>5000000</v>
      </c>
      <c r="H19" s="100">
        <v>0</v>
      </c>
      <c r="I19" s="100">
        <v>0</v>
      </c>
      <c r="J19" s="100">
        <v>0</v>
      </c>
      <c r="K19" s="100">
        <v>0</v>
      </c>
      <c r="L19" s="101">
        <v>0</v>
      </c>
      <c r="M19" s="15"/>
      <c r="N19" s="15"/>
      <c r="O19" s="15" t="s">
        <v>127</v>
      </c>
      <c r="P19" s="102" t="s">
        <v>105</v>
      </c>
      <c r="Q19" s="103">
        <v>0</v>
      </c>
      <c r="R19" s="104">
        <v>0</v>
      </c>
      <c r="S19" s="104">
        <v>0</v>
      </c>
      <c r="T19" s="104">
        <v>0</v>
      </c>
      <c r="U19" s="104">
        <v>0</v>
      </c>
      <c r="V19" s="104">
        <v>0</v>
      </c>
      <c r="W19" s="105">
        <v>0</v>
      </c>
    </row>
    <row r="20" spans="3:23" ht="15" thickBot="1">
      <c r="C20" s="14" t="s">
        <v>127</v>
      </c>
      <c r="D20" s="251" t="s">
        <v>104</v>
      </c>
      <c r="E20" s="99">
        <v>5000000</v>
      </c>
      <c r="F20" s="100">
        <v>0</v>
      </c>
      <c r="G20" s="100">
        <v>0</v>
      </c>
      <c r="H20" s="100">
        <v>0</v>
      </c>
      <c r="I20" s="100">
        <v>15000000</v>
      </c>
      <c r="J20" s="100">
        <v>0</v>
      </c>
      <c r="K20" s="100">
        <v>0</v>
      </c>
      <c r="L20" s="101">
        <v>0</v>
      </c>
      <c r="M20" s="15"/>
      <c r="N20" s="15"/>
      <c r="O20" s="15" t="s">
        <v>130</v>
      </c>
      <c r="P20" s="93" t="s">
        <v>106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>
        <v>0</v>
      </c>
      <c r="W20" s="106">
        <v>20700000</v>
      </c>
    </row>
    <row r="21" spans="3:23" ht="15" thickBot="1">
      <c r="C21" s="14" t="s">
        <v>127</v>
      </c>
      <c r="D21" s="251" t="s">
        <v>107</v>
      </c>
      <c r="E21" s="99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1">
        <v>0</v>
      </c>
      <c r="M21" s="15"/>
      <c r="N21" s="15"/>
      <c r="O21" s="15"/>
      <c r="P21" s="305"/>
      <c r="Q21" s="305"/>
      <c r="R21" s="305"/>
      <c r="S21" s="305"/>
      <c r="T21" s="305"/>
      <c r="U21" s="305"/>
      <c r="V21" s="305"/>
      <c r="W21" s="306">
        <f>SUM(Q20:W20)</f>
        <v>20700000</v>
      </c>
    </row>
    <row r="22" spans="3:23">
      <c r="C22" s="14" t="s">
        <v>127</v>
      </c>
      <c r="D22" s="251" t="s">
        <v>100</v>
      </c>
      <c r="E22" s="99">
        <v>4460000</v>
      </c>
      <c r="F22" s="100">
        <v>0</v>
      </c>
      <c r="G22" s="100">
        <v>20000000</v>
      </c>
      <c r="H22" s="100">
        <v>20000000</v>
      </c>
      <c r="I22" s="100">
        <v>0</v>
      </c>
      <c r="J22" s="100">
        <v>0</v>
      </c>
      <c r="K22" s="100">
        <v>21080000</v>
      </c>
      <c r="L22" s="101">
        <v>4460000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3:23">
      <c r="C23" s="14" t="s">
        <v>127</v>
      </c>
      <c r="D23" s="251" t="s">
        <v>102</v>
      </c>
      <c r="E23" s="99">
        <v>6520000</v>
      </c>
      <c r="F23" s="100">
        <v>0</v>
      </c>
      <c r="G23" s="100">
        <v>10000000</v>
      </c>
      <c r="H23" s="100">
        <v>30000000</v>
      </c>
      <c r="I23" s="100">
        <v>0</v>
      </c>
      <c r="J23" s="100">
        <v>0</v>
      </c>
      <c r="K23" s="100">
        <v>26020000</v>
      </c>
      <c r="L23" s="101">
        <v>4460000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3:23">
      <c r="C24" s="14" t="s">
        <v>127</v>
      </c>
      <c r="D24" s="251" t="s">
        <v>108</v>
      </c>
      <c r="E24" s="99">
        <v>0</v>
      </c>
      <c r="F24" s="100">
        <v>0</v>
      </c>
      <c r="G24" s="100">
        <v>2000000</v>
      </c>
      <c r="H24" s="100">
        <v>0</v>
      </c>
      <c r="I24" s="100">
        <v>0</v>
      </c>
      <c r="J24" s="100">
        <v>0</v>
      </c>
      <c r="K24" s="100">
        <v>0</v>
      </c>
      <c r="L24" s="101">
        <v>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3:23">
      <c r="C25" s="14" t="s">
        <v>127</v>
      </c>
      <c r="D25" s="251" t="s">
        <v>109</v>
      </c>
      <c r="E25" s="99">
        <v>0</v>
      </c>
      <c r="F25" s="100">
        <v>0</v>
      </c>
      <c r="G25" s="100">
        <v>1500000</v>
      </c>
      <c r="H25" s="100">
        <v>0</v>
      </c>
      <c r="I25" s="100">
        <v>0</v>
      </c>
      <c r="J25" s="100">
        <v>0</v>
      </c>
      <c r="K25" s="100">
        <v>0</v>
      </c>
      <c r="L25" s="101">
        <v>0</v>
      </c>
      <c r="M25" s="15"/>
      <c r="N25" s="15"/>
      <c r="O25" s="15"/>
      <c r="P25" s="15"/>
      <c r="Q25" s="93" t="s">
        <v>110</v>
      </c>
      <c r="R25" s="93" t="s">
        <v>111</v>
      </c>
      <c r="S25" s="107" t="s">
        <v>112</v>
      </c>
      <c r="T25" s="15"/>
      <c r="U25" s="15"/>
      <c r="V25" s="15"/>
      <c r="W25" s="15"/>
    </row>
    <row r="26" spans="3:23">
      <c r="C26" s="14" t="s">
        <v>127</v>
      </c>
      <c r="D26" s="251" t="s">
        <v>113</v>
      </c>
      <c r="E26" s="99">
        <v>0</v>
      </c>
      <c r="F26" s="100">
        <v>0</v>
      </c>
      <c r="G26" s="100">
        <v>0</v>
      </c>
      <c r="H26" s="100">
        <v>0</v>
      </c>
      <c r="I26" s="100">
        <v>0</v>
      </c>
      <c r="J26" s="100">
        <v>0</v>
      </c>
      <c r="K26" s="100">
        <v>0</v>
      </c>
      <c r="L26" s="101">
        <v>0</v>
      </c>
      <c r="M26" s="15"/>
      <c r="N26" s="15"/>
      <c r="O26" s="15"/>
      <c r="P26" s="15"/>
      <c r="Q26" s="41" t="s">
        <v>70</v>
      </c>
      <c r="R26" s="41" t="s">
        <v>78</v>
      </c>
      <c r="S26" s="108">
        <v>0</v>
      </c>
      <c r="T26" s="15"/>
      <c r="U26" s="15"/>
      <c r="V26" s="15"/>
      <c r="W26" s="15"/>
    </row>
    <row r="27" spans="3:23">
      <c r="C27" s="14" t="s">
        <v>128</v>
      </c>
      <c r="D27" s="251" t="s">
        <v>114</v>
      </c>
      <c r="E27" s="99">
        <v>0</v>
      </c>
      <c r="F27" s="100">
        <v>10000000</v>
      </c>
      <c r="G27" s="100">
        <v>0</v>
      </c>
      <c r="H27" s="100">
        <v>0</v>
      </c>
      <c r="I27" s="100">
        <v>0</v>
      </c>
      <c r="J27" s="100">
        <v>0</v>
      </c>
      <c r="K27" s="100">
        <v>0</v>
      </c>
      <c r="L27" s="101">
        <v>0</v>
      </c>
      <c r="M27" s="15"/>
      <c r="N27" s="15"/>
      <c r="O27" s="15"/>
      <c r="P27" s="15"/>
      <c r="Q27" s="41" t="s">
        <v>71</v>
      </c>
      <c r="R27" s="41" t="s">
        <v>79</v>
      </c>
      <c r="S27" s="108">
        <v>0</v>
      </c>
      <c r="T27" s="15"/>
      <c r="U27" s="15"/>
      <c r="V27" s="15"/>
      <c r="W27" s="15"/>
    </row>
    <row r="28" spans="3:23">
      <c r="C28" s="14" t="s">
        <v>128</v>
      </c>
      <c r="D28" s="251" t="s">
        <v>115</v>
      </c>
      <c r="E28" s="99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1">
        <v>0</v>
      </c>
      <c r="M28" s="15"/>
      <c r="N28" s="15"/>
      <c r="O28" s="15"/>
      <c r="P28" s="15"/>
      <c r="Q28" s="41" t="s">
        <v>166</v>
      </c>
      <c r="R28" s="41" t="s">
        <v>167</v>
      </c>
      <c r="S28" s="108">
        <v>20700000</v>
      </c>
      <c r="T28" s="15"/>
      <c r="U28" s="15"/>
      <c r="V28" s="15"/>
      <c r="W28" s="15"/>
    </row>
    <row r="29" spans="3:23">
      <c r="C29" s="14" t="s">
        <v>116</v>
      </c>
      <c r="D29" s="251" t="s">
        <v>116</v>
      </c>
      <c r="E29" s="99">
        <v>0</v>
      </c>
      <c r="F29" s="100">
        <v>50000000</v>
      </c>
      <c r="G29" s="100">
        <v>0</v>
      </c>
      <c r="H29" s="100">
        <v>40000000</v>
      </c>
      <c r="I29" s="100">
        <v>60000000</v>
      </c>
      <c r="J29" s="100">
        <v>0</v>
      </c>
      <c r="K29" s="100">
        <v>0</v>
      </c>
      <c r="L29" s="101">
        <v>0</v>
      </c>
      <c r="M29" s="15"/>
      <c r="N29" s="15"/>
      <c r="O29" s="15"/>
      <c r="P29" s="15"/>
      <c r="Q29" s="41"/>
      <c r="R29" s="41"/>
      <c r="S29" s="109"/>
      <c r="T29" s="15"/>
      <c r="U29" s="15"/>
      <c r="V29" s="15"/>
      <c r="W29" s="15"/>
    </row>
    <row r="30" spans="3:23">
      <c r="C30" s="14" t="s">
        <v>129</v>
      </c>
      <c r="D30" s="253" t="s">
        <v>98</v>
      </c>
      <c r="E30" s="103">
        <v>22500000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25000000</v>
      </c>
      <c r="L30" s="105">
        <v>0</v>
      </c>
      <c r="M30" s="15"/>
      <c r="N30" s="15"/>
      <c r="O30" s="15"/>
      <c r="P30" s="15"/>
      <c r="Q30" s="41"/>
      <c r="R30" s="41"/>
      <c r="S30" s="110">
        <v>20700000</v>
      </c>
      <c r="T30" s="15"/>
      <c r="U30" s="15"/>
      <c r="V30" s="15"/>
      <c r="W30" s="15"/>
    </row>
    <row r="31" spans="3:23" ht="15" thickBot="1">
      <c r="D31" s="93" t="s">
        <v>117</v>
      </c>
      <c r="E31" s="106">
        <v>77480000</v>
      </c>
      <c r="F31" s="106">
        <v>104000000</v>
      </c>
      <c r="G31" s="106">
        <v>48500000</v>
      </c>
      <c r="H31" s="106">
        <v>90000000</v>
      </c>
      <c r="I31" s="106">
        <v>75000000</v>
      </c>
      <c r="J31" s="106">
        <v>50000000</v>
      </c>
      <c r="K31" s="106">
        <v>87100000</v>
      </c>
      <c r="L31" s="106">
        <v>57920000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3:23" ht="15" thickBot="1">
      <c r="D32" s="93"/>
      <c r="E32" s="254"/>
      <c r="F32" s="93"/>
      <c r="G32" s="93"/>
      <c r="H32" s="93"/>
      <c r="I32" s="93"/>
      <c r="J32" s="93"/>
      <c r="K32" s="93"/>
      <c r="L32" s="255">
        <f>SUM(E31:L31)</f>
        <v>590000000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4:23">
      <c r="D33" s="41"/>
      <c r="E33" s="41"/>
      <c r="F33" s="41"/>
      <c r="G33" s="41"/>
      <c r="H33" s="41"/>
      <c r="I33" s="41"/>
      <c r="J33" s="41"/>
      <c r="K33" s="41"/>
      <c r="L33" s="41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4:23">
      <c r="D34" s="41"/>
      <c r="E34" s="41"/>
      <c r="F34" s="41"/>
      <c r="G34" s="41"/>
      <c r="H34" s="41"/>
      <c r="I34" s="41"/>
      <c r="J34" s="41"/>
      <c r="K34" s="41"/>
      <c r="L34" s="4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4:23">
      <c r="D35" s="41"/>
      <c r="E35" s="93" t="s">
        <v>110</v>
      </c>
      <c r="F35" s="93" t="s">
        <v>111</v>
      </c>
      <c r="G35" s="107" t="s">
        <v>112</v>
      </c>
      <c r="H35" s="107"/>
      <c r="I35" s="107"/>
      <c r="J35" s="107"/>
      <c r="K35" s="107"/>
      <c r="L35" s="41"/>
    </row>
    <row r="36" spans="4:23">
      <c r="D36" s="41"/>
      <c r="E36" s="41" t="s">
        <v>62</v>
      </c>
      <c r="F36" s="41" t="s">
        <v>118</v>
      </c>
      <c r="G36" s="108">
        <v>77480000</v>
      </c>
      <c r="H36" s="108"/>
      <c r="I36" s="108"/>
      <c r="J36" s="108"/>
      <c r="K36" s="108"/>
      <c r="L36" s="41"/>
    </row>
    <row r="37" spans="4:23">
      <c r="D37" s="41"/>
      <c r="E37" s="41" t="s">
        <v>63</v>
      </c>
      <c r="F37" s="41" t="s">
        <v>119</v>
      </c>
      <c r="G37" s="108">
        <v>104000000</v>
      </c>
      <c r="H37" s="108"/>
      <c r="I37" s="108"/>
      <c r="J37" s="108"/>
      <c r="K37" s="108"/>
      <c r="L37" s="41"/>
    </row>
    <row r="38" spans="4:23">
      <c r="D38" s="41"/>
      <c r="E38" s="41" t="s">
        <v>64</v>
      </c>
      <c r="F38" s="41" t="s">
        <v>120</v>
      </c>
      <c r="G38" s="108">
        <v>48500000</v>
      </c>
      <c r="H38" s="108"/>
      <c r="I38" s="108"/>
      <c r="J38" s="108"/>
      <c r="K38" s="108"/>
      <c r="L38" s="41"/>
    </row>
    <row r="39" spans="4:23">
      <c r="D39" s="41"/>
      <c r="E39" s="41" t="s">
        <v>65</v>
      </c>
      <c r="F39" s="41" t="s">
        <v>72</v>
      </c>
      <c r="G39" s="108">
        <v>90000000</v>
      </c>
      <c r="H39" s="108"/>
      <c r="I39" s="108"/>
      <c r="J39" s="108"/>
      <c r="K39" s="108"/>
      <c r="L39" s="41"/>
    </row>
    <row r="40" spans="4:23">
      <c r="D40" s="41"/>
      <c r="E40" s="41" t="s">
        <v>217</v>
      </c>
      <c r="F40" s="41" t="s">
        <v>219</v>
      </c>
      <c r="G40" s="108">
        <v>75000000</v>
      </c>
      <c r="H40" s="108"/>
      <c r="I40" s="108"/>
      <c r="J40" s="108"/>
      <c r="K40" s="108"/>
      <c r="L40" s="41"/>
    </row>
    <row r="41" spans="4:23">
      <c r="D41" s="41"/>
      <c r="E41" s="41" t="s">
        <v>218</v>
      </c>
      <c r="F41" s="41" t="s">
        <v>220</v>
      </c>
      <c r="G41" s="108">
        <v>50000000</v>
      </c>
      <c r="H41" s="110"/>
      <c r="I41" s="110"/>
      <c r="J41" s="110"/>
      <c r="K41" s="110"/>
      <c r="L41" s="41"/>
    </row>
    <row r="42" spans="4:23">
      <c r="D42" s="41"/>
      <c r="E42" s="41" t="s">
        <v>228</v>
      </c>
      <c r="F42" s="41" t="s">
        <v>229</v>
      </c>
      <c r="G42" s="108">
        <v>87100000</v>
      </c>
      <c r="H42" s="41"/>
      <c r="I42" s="41"/>
      <c r="J42" s="41"/>
      <c r="K42" s="41"/>
      <c r="L42" s="41"/>
    </row>
    <row r="43" spans="4:23">
      <c r="D43" s="41"/>
      <c r="E43" s="41" t="s">
        <v>66</v>
      </c>
      <c r="F43" s="41" t="s">
        <v>121</v>
      </c>
      <c r="G43" s="108">
        <v>57920000</v>
      </c>
      <c r="H43" s="41"/>
      <c r="I43" s="41"/>
      <c r="J43" s="41"/>
      <c r="K43" s="41"/>
      <c r="L43" s="41"/>
    </row>
    <row r="44" spans="4:23">
      <c r="D44" s="41"/>
      <c r="E44" s="256"/>
      <c r="F44" s="256"/>
      <c r="G44" s="256"/>
      <c r="H44" s="41"/>
      <c r="I44" s="41"/>
      <c r="J44" s="41"/>
      <c r="K44" s="41"/>
      <c r="L44" s="41"/>
    </row>
    <row r="45" spans="4:23">
      <c r="D45" s="41"/>
      <c r="E45" s="41"/>
      <c r="F45" s="41"/>
      <c r="G45" s="290">
        <v>590000000</v>
      </c>
      <c r="H45" s="41"/>
      <c r="I45" s="41"/>
      <c r="J45" s="41"/>
      <c r="K45" s="41"/>
      <c r="L45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FB5-43D6-4A35-9751-C9E686ADC9C5}">
  <dimension ref="B3:G75"/>
  <sheetViews>
    <sheetView zoomScale="70" zoomScaleNormal="70" workbookViewId="0">
      <selection activeCell="C55" sqref="C55"/>
    </sheetView>
  </sheetViews>
  <sheetFormatPr defaultColWidth="9.1796875" defaultRowHeight="14.5"/>
  <cols>
    <col min="1" max="1" width="9.1796875" style="3"/>
    <col min="2" max="2" width="35" style="3" bestFit="1" customWidth="1"/>
    <col min="3" max="3" width="34.90625" style="3" bestFit="1" customWidth="1"/>
    <col min="4" max="4" width="69.453125" style="3" bestFit="1" customWidth="1"/>
    <col min="5" max="5" width="58.81640625" style="3" bestFit="1" customWidth="1"/>
    <col min="6" max="6" width="9.1796875" style="3"/>
    <col min="7" max="7" width="62" style="3" bestFit="1" customWidth="1"/>
    <col min="8" max="16384" width="9.1796875" style="3"/>
  </cols>
  <sheetData>
    <row r="3" spans="2:7">
      <c r="C3" s="2" t="s">
        <v>170</v>
      </c>
      <c r="D3" s="2"/>
      <c r="E3" s="2" t="s">
        <v>145</v>
      </c>
      <c r="G3" s="2" t="s">
        <v>146</v>
      </c>
    </row>
    <row r="4" spans="2:7" ht="14.5" customHeight="1">
      <c r="C4" s="3" t="s">
        <v>24</v>
      </c>
      <c r="D4" s="4" t="s">
        <v>24</v>
      </c>
      <c r="E4" s="5" t="s">
        <v>139</v>
      </c>
      <c r="G4" s="6" t="s">
        <v>133</v>
      </c>
    </row>
    <row r="5" spans="2:7" ht="14.5" customHeight="1">
      <c r="C5" s="3" t="s">
        <v>122</v>
      </c>
      <c r="D5" s="7" t="s">
        <v>122</v>
      </c>
      <c r="E5" s="8" t="s">
        <v>136</v>
      </c>
      <c r="G5" s="9" t="s">
        <v>134</v>
      </c>
    </row>
    <row r="6" spans="2:7" ht="14.5" customHeight="1">
      <c r="C6" s="3" t="s">
        <v>123</v>
      </c>
      <c r="D6" s="7" t="s">
        <v>123</v>
      </c>
      <c r="E6" s="8" t="s">
        <v>136</v>
      </c>
      <c r="G6" s="9" t="s">
        <v>135</v>
      </c>
    </row>
    <row r="7" spans="2:7">
      <c r="C7" s="191" t="s">
        <v>173</v>
      </c>
      <c r="D7" s="7" t="s">
        <v>26</v>
      </c>
      <c r="E7" s="8" t="s">
        <v>140</v>
      </c>
      <c r="G7" s="9" t="s">
        <v>136</v>
      </c>
    </row>
    <row r="8" spans="2:7" ht="14.5" customHeight="1">
      <c r="C8" s="3" t="s">
        <v>131</v>
      </c>
      <c r="D8" s="7" t="s">
        <v>131</v>
      </c>
      <c r="E8" s="8" t="s">
        <v>136</v>
      </c>
      <c r="G8" s="9" t="s">
        <v>137</v>
      </c>
    </row>
    <row r="9" spans="2:7" ht="14.5" customHeight="1">
      <c r="C9" s="3" t="s">
        <v>27</v>
      </c>
      <c r="D9" s="7" t="s">
        <v>27</v>
      </c>
      <c r="E9" s="8" t="s">
        <v>139</v>
      </c>
      <c r="G9" s="9" t="s">
        <v>138</v>
      </c>
    </row>
    <row r="10" spans="2:7" ht="14.5" customHeight="1">
      <c r="C10" s="3" t="s">
        <v>124</v>
      </c>
      <c r="D10" s="7" t="s">
        <v>124</v>
      </c>
      <c r="E10" s="8" t="s">
        <v>136</v>
      </c>
      <c r="G10" s="9" t="s">
        <v>139</v>
      </c>
    </row>
    <row r="11" spans="2:7" ht="14.5" customHeight="1">
      <c r="C11" s="3" t="s">
        <v>125</v>
      </c>
      <c r="D11" s="7" t="s">
        <v>125</v>
      </c>
      <c r="E11" s="8" t="s">
        <v>136</v>
      </c>
      <c r="G11" s="9" t="s">
        <v>140</v>
      </c>
    </row>
    <row r="12" spans="2:7" ht="14.5" customHeight="1">
      <c r="C12" s="3" t="s">
        <v>126</v>
      </c>
      <c r="D12" s="7" t="s">
        <v>126</v>
      </c>
      <c r="E12" s="8" t="s">
        <v>139</v>
      </c>
      <c r="G12" s="9" t="s">
        <v>141</v>
      </c>
    </row>
    <row r="13" spans="2:7" ht="14.5" customHeight="1">
      <c r="C13" s="3" t="s">
        <v>39</v>
      </c>
      <c r="D13" s="7" t="s">
        <v>38</v>
      </c>
      <c r="E13" s="8" t="s">
        <v>139</v>
      </c>
      <c r="G13" s="9" t="s">
        <v>147</v>
      </c>
    </row>
    <row r="14" spans="2:7" ht="14.5" customHeight="1">
      <c r="B14" s="198"/>
      <c r="C14" s="3" t="s">
        <v>212</v>
      </c>
      <c r="D14" s="7" t="s">
        <v>48</v>
      </c>
      <c r="E14" s="8" t="s">
        <v>139</v>
      </c>
      <c r="G14" s="9" t="s">
        <v>142</v>
      </c>
    </row>
    <row r="15" spans="2:7" ht="14.5" customHeight="1">
      <c r="B15" s="198"/>
      <c r="C15" s="3" t="s">
        <v>212</v>
      </c>
      <c r="D15" s="7" t="s">
        <v>160</v>
      </c>
      <c r="E15" s="8" t="s">
        <v>139</v>
      </c>
      <c r="G15" s="9" t="s">
        <v>143</v>
      </c>
    </row>
    <row r="16" spans="2:7" ht="14.5" customHeight="1">
      <c r="B16" s="198"/>
      <c r="C16" s="3" t="s">
        <v>212</v>
      </c>
      <c r="D16" s="7" t="s">
        <v>49</v>
      </c>
      <c r="E16" s="8" t="s">
        <v>139</v>
      </c>
      <c r="G16" s="9" t="s">
        <v>144</v>
      </c>
    </row>
    <row r="17" spans="2:7" ht="14.5" customHeight="1">
      <c r="C17" s="3" t="s">
        <v>210</v>
      </c>
      <c r="D17" s="7" t="s">
        <v>50</v>
      </c>
      <c r="E17" s="8" t="s">
        <v>139</v>
      </c>
      <c r="G17" s="9" t="s">
        <v>148</v>
      </c>
    </row>
    <row r="18" spans="2:7" ht="14.5" customHeight="1">
      <c r="C18" s="3" t="s">
        <v>28</v>
      </c>
      <c r="D18" s="7" t="s">
        <v>28</v>
      </c>
      <c r="E18" s="8" t="s">
        <v>138</v>
      </c>
      <c r="G18" s="10" t="s">
        <v>213</v>
      </c>
    </row>
    <row r="19" spans="2:7" ht="14.5" customHeight="1">
      <c r="C19" s="3" t="s">
        <v>127</v>
      </c>
      <c r="D19" s="7" t="s">
        <v>127</v>
      </c>
      <c r="E19" s="8" t="s">
        <v>136</v>
      </c>
      <c r="G19" s="11"/>
    </row>
    <row r="20" spans="2:7" ht="14.5" customHeight="1">
      <c r="C20" s="3" t="s">
        <v>132</v>
      </c>
      <c r="D20" s="7" t="s">
        <v>132</v>
      </c>
      <c r="E20" s="8" t="s">
        <v>136</v>
      </c>
      <c r="G20" s="11"/>
    </row>
    <row r="21" spans="2:7" ht="14.5" customHeight="1">
      <c r="C21" s="3" t="s">
        <v>128</v>
      </c>
      <c r="D21" s="7" t="s">
        <v>128</v>
      </c>
      <c r="E21" s="8" t="s">
        <v>136</v>
      </c>
      <c r="G21" s="11"/>
    </row>
    <row r="22" spans="2:7" ht="14.5" customHeight="1">
      <c r="C22" s="3" t="s">
        <v>116</v>
      </c>
      <c r="D22" s="7" t="s">
        <v>116</v>
      </c>
      <c r="E22" s="8" t="s">
        <v>142</v>
      </c>
      <c r="G22" s="11"/>
    </row>
    <row r="23" spans="2:7" ht="14.5" customHeight="1">
      <c r="C23" s="3" t="s">
        <v>31</v>
      </c>
      <c r="D23" s="7" t="s">
        <v>31</v>
      </c>
      <c r="E23" s="8" t="s">
        <v>139</v>
      </c>
      <c r="G23" s="11"/>
    </row>
    <row r="24" spans="2:7" ht="14.5" customHeight="1">
      <c r="C24" s="203" t="s">
        <v>214</v>
      </c>
      <c r="D24" s="7" t="s">
        <v>29</v>
      </c>
      <c r="E24" s="8" t="s">
        <v>213</v>
      </c>
      <c r="G24" s="11"/>
    </row>
    <row r="25" spans="2:7" ht="14.5" customHeight="1">
      <c r="C25" s="3" t="s">
        <v>24</v>
      </c>
      <c r="D25" s="7" t="s">
        <v>32</v>
      </c>
      <c r="E25" s="8" t="s">
        <v>139</v>
      </c>
      <c r="G25" s="11"/>
    </row>
    <row r="26" spans="2:7" ht="14.5" customHeight="1">
      <c r="C26" s="3" t="s">
        <v>234</v>
      </c>
      <c r="D26" s="7" t="s">
        <v>234</v>
      </c>
      <c r="E26" s="8" t="s">
        <v>139</v>
      </c>
      <c r="G26" s="11"/>
    </row>
    <row r="27" spans="2:7" ht="14.5" customHeight="1">
      <c r="C27" s="293" t="s">
        <v>126</v>
      </c>
      <c r="D27" s="7" t="s">
        <v>233</v>
      </c>
      <c r="E27" s="8" t="s">
        <v>139</v>
      </c>
      <c r="G27" s="11"/>
    </row>
    <row r="28" spans="2:7" ht="14.5" customHeight="1">
      <c r="C28" s="3" t="s">
        <v>24</v>
      </c>
      <c r="D28" s="7" t="s">
        <v>33</v>
      </c>
      <c r="E28" s="8" t="s">
        <v>139</v>
      </c>
      <c r="G28" s="11"/>
    </row>
    <row r="29" spans="2:7" ht="14.5" customHeight="1">
      <c r="B29" s="198"/>
      <c r="C29" s="3" t="s">
        <v>211</v>
      </c>
      <c r="D29" s="7" t="s">
        <v>34</v>
      </c>
      <c r="E29" s="8" t="s">
        <v>140</v>
      </c>
      <c r="G29" s="11"/>
    </row>
    <row r="30" spans="2:7" ht="14.5" customHeight="1">
      <c r="C30" s="191" t="s">
        <v>39</v>
      </c>
      <c r="D30" s="7" t="s">
        <v>39</v>
      </c>
      <c r="E30" s="8" t="s">
        <v>139</v>
      </c>
    </row>
    <row r="31" spans="2:7" ht="14.5" customHeight="1">
      <c r="C31" s="191" t="s">
        <v>171</v>
      </c>
      <c r="D31" s="7" t="s">
        <v>164</v>
      </c>
      <c r="E31" s="8" t="s">
        <v>138</v>
      </c>
    </row>
    <row r="32" spans="2:7" ht="14.5" customHeight="1">
      <c r="C32" s="191" t="s">
        <v>171</v>
      </c>
      <c r="D32" s="7" t="s">
        <v>165</v>
      </c>
      <c r="E32" s="8" t="s">
        <v>138</v>
      </c>
    </row>
    <row r="33" spans="3:5" ht="14.5" customHeight="1">
      <c r="C33" s="3" t="s">
        <v>210</v>
      </c>
      <c r="D33" s="7" t="s">
        <v>159</v>
      </c>
      <c r="E33" s="8" t="s">
        <v>139</v>
      </c>
    </row>
    <row r="34" spans="3:5" ht="14.5" customHeight="1">
      <c r="C34" s="191" t="s">
        <v>172</v>
      </c>
      <c r="D34" s="7" t="s">
        <v>35</v>
      </c>
      <c r="E34" s="8" t="s">
        <v>139</v>
      </c>
    </row>
    <row r="35" spans="3:5" ht="14.5" customHeight="1">
      <c r="C35" s="191" t="s">
        <v>129</v>
      </c>
      <c r="D35" s="7" t="s">
        <v>129</v>
      </c>
      <c r="E35" s="8" t="s">
        <v>136</v>
      </c>
    </row>
    <row r="36" spans="3:5" ht="14.5" customHeight="1">
      <c r="C36" s="3" t="s">
        <v>52</v>
      </c>
      <c r="D36" s="7" t="s">
        <v>225</v>
      </c>
      <c r="E36" s="8" t="s">
        <v>139</v>
      </c>
    </row>
    <row r="37" spans="3:5" ht="14.5" customHeight="1">
      <c r="C37" s="3" t="s">
        <v>52</v>
      </c>
      <c r="D37" s="12" t="s">
        <v>52</v>
      </c>
      <c r="E37" s="13" t="s">
        <v>139</v>
      </c>
    </row>
    <row r="38" spans="3:5" ht="14.5" customHeight="1">
      <c r="D38" s="2"/>
      <c r="E38" s="2"/>
    </row>
    <row r="39" spans="3:5" ht="14.5" customHeight="1">
      <c r="D39" s="2"/>
      <c r="E39" s="2"/>
    </row>
    <row r="40" spans="3:5" ht="14.5" customHeight="1">
      <c r="C40" s="2" t="s">
        <v>170</v>
      </c>
      <c r="D40" s="2" t="s">
        <v>207</v>
      </c>
      <c r="E40" s="2" t="s">
        <v>145</v>
      </c>
    </row>
    <row r="41" spans="3:5" ht="14.5" customHeight="1">
      <c r="C41" s="3" t="s">
        <v>122</v>
      </c>
      <c r="D41" s="192" t="s">
        <v>206</v>
      </c>
      <c r="E41" s="193" t="s">
        <v>136</v>
      </c>
    </row>
    <row r="42" spans="3:5">
      <c r="C42" s="3" t="s">
        <v>122</v>
      </c>
      <c r="D42" s="194" t="s">
        <v>206</v>
      </c>
      <c r="E42" s="195" t="s">
        <v>136</v>
      </c>
    </row>
    <row r="43" spans="3:5">
      <c r="C43" s="3" t="s">
        <v>178</v>
      </c>
      <c r="D43" s="194" t="s">
        <v>192</v>
      </c>
      <c r="E43" s="195" t="s">
        <v>136</v>
      </c>
    </row>
    <row r="44" spans="3:5">
      <c r="C44" s="3" t="s">
        <v>178</v>
      </c>
      <c r="D44" s="194" t="s">
        <v>193</v>
      </c>
      <c r="E44" s="195" t="s">
        <v>136</v>
      </c>
    </row>
    <row r="45" spans="3:5">
      <c r="C45" s="191" t="s">
        <v>208</v>
      </c>
      <c r="D45" s="194" t="s">
        <v>194</v>
      </c>
      <c r="E45" s="195" t="s">
        <v>140</v>
      </c>
    </row>
    <row r="46" spans="3:5">
      <c r="C46" s="191" t="s">
        <v>209</v>
      </c>
      <c r="D46" s="194" t="s">
        <v>195</v>
      </c>
      <c r="E46" s="195" t="s">
        <v>139</v>
      </c>
    </row>
    <row r="47" spans="3:5">
      <c r="C47" s="3" t="s">
        <v>178</v>
      </c>
      <c r="D47" s="194" t="s">
        <v>196</v>
      </c>
      <c r="E47" s="195" t="s">
        <v>136</v>
      </c>
    </row>
    <row r="48" spans="3:5">
      <c r="C48" s="3" t="s">
        <v>131</v>
      </c>
      <c r="D48" s="194" t="s">
        <v>83</v>
      </c>
      <c r="E48" s="195" t="s">
        <v>136</v>
      </c>
    </row>
    <row r="49" spans="3:5">
      <c r="C49" s="3" t="s">
        <v>131</v>
      </c>
      <c r="D49" s="194" t="s">
        <v>85</v>
      </c>
      <c r="E49" s="195" t="s">
        <v>136</v>
      </c>
    </row>
    <row r="50" spans="3:5">
      <c r="C50" s="3" t="s">
        <v>131</v>
      </c>
      <c r="D50" s="194" t="s">
        <v>87</v>
      </c>
      <c r="E50" s="195" t="s">
        <v>136</v>
      </c>
    </row>
    <row r="51" spans="3:5">
      <c r="C51" s="3" t="s">
        <v>131</v>
      </c>
      <c r="D51" s="194" t="s">
        <v>89</v>
      </c>
      <c r="E51" s="195" t="s">
        <v>136</v>
      </c>
    </row>
    <row r="52" spans="3:5">
      <c r="C52" s="3" t="s">
        <v>131</v>
      </c>
      <c r="D52" s="194" t="s">
        <v>91</v>
      </c>
      <c r="E52" s="195" t="s">
        <v>136</v>
      </c>
    </row>
    <row r="53" spans="3:5">
      <c r="C53" s="3" t="s">
        <v>94</v>
      </c>
      <c r="D53" s="194" t="s">
        <v>190</v>
      </c>
      <c r="E53" s="195" t="s">
        <v>136</v>
      </c>
    </row>
    <row r="54" spans="3:5">
      <c r="C54" s="3" t="s">
        <v>94</v>
      </c>
      <c r="D54" s="194" t="s">
        <v>191</v>
      </c>
      <c r="E54" s="195" t="s">
        <v>136</v>
      </c>
    </row>
    <row r="55" spans="3:5">
      <c r="C55" s="3" t="s">
        <v>237</v>
      </c>
      <c r="D55" s="194" t="s">
        <v>237</v>
      </c>
      <c r="E55" s="195" t="s">
        <v>133</v>
      </c>
    </row>
    <row r="56" spans="3:5">
      <c r="C56" s="293" t="s">
        <v>126</v>
      </c>
      <c r="D56" s="194" t="s">
        <v>238</v>
      </c>
      <c r="E56" s="195" t="s">
        <v>139</v>
      </c>
    </row>
    <row r="57" spans="3:5">
      <c r="C57" s="3" t="s">
        <v>179</v>
      </c>
      <c r="D57" s="194" t="s">
        <v>199</v>
      </c>
      <c r="E57" s="195" t="s">
        <v>136</v>
      </c>
    </row>
    <row r="58" spans="3:5">
      <c r="C58" s="3" t="s">
        <v>179</v>
      </c>
      <c r="D58" s="194" t="s">
        <v>199</v>
      </c>
      <c r="E58" s="195" t="s">
        <v>136</v>
      </c>
    </row>
    <row r="59" spans="3:5">
      <c r="C59" s="3" t="s">
        <v>210</v>
      </c>
      <c r="D59" s="194" t="s">
        <v>197</v>
      </c>
      <c r="E59" s="195" t="s">
        <v>139</v>
      </c>
    </row>
    <row r="60" spans="3:5">
      <c r="C60" s="3" t="s">
        <v>210</v>
      </c>
      <c r="D60" s="194" t="s">
        <v>198</v>
      </c>
      <c r="E60" s="195" t="s">
        <v>139</v>
      </c>
    </row>
    <row r="61" spans="3:5">
      <c r="C61" s="3" t="s">
        <v>175</v>
      </c>
      <c r="D61" s="194" t="s">
        <v>184</v>
      </c>
      <c r="E61" s="195" t="s">
        <v>136</v>
      </c>
    </row>
    <row r="62" spans="3:5">
      <c r="C62" s="3" t="s">
        <v>175</v>
      </c>
      <c r="D62" s="194" t="s">
        <v>183</v>
      </c>
      <c r="E62" s="195" t="s">
        <v>136</v>
      </c>
    </row>
    <row r="63" spans="3:5">
      <c r="C63" s="3" t="s">
        <v>175</v>
      </c>
      <c r="D63" s="194" t="s">
        <v>185</v>
      </c>
      <c r="E63" s="195" t="s">
        <v>136</v>
      </c>
    </row>
    <row r="64" spans="3:5">
      <c r="C64" s="3" t="s">
        <v>175</v>
      </c>
      <c r="D64" s="194" t="s">
        <v>188</v>
      </c>
      <c r="E64" s="195" t="s">
        <v>136</v>
      </c>
    </row>
    <row r="65" spans="3:5">
      <c r="C65" s="3" t="s">
        <v>175</v>
      </c>
      <c r="D65" s="194" t="s">
        <v>189</v>
      </c>
      <c r="E65" s="195" t="s">
        <v>136</v>
      </c>
    </row>
    <row r="66" spans="3:5">
      <c r="C66" s="3" t="s">
        <v>175</v>
      </c>
      <c r="D66" s="194" t="s">
        <v>203</v>
      </c>
      <c r="E66" s="195" t="s">
        <v>136</v>
      </c>
    </row>
    <row r="67" spans="3:5">
      <c r="C67" s="3" t="s">
        <v>175</v>
      </c>
      <c r="D67" s="194" t="s">
        <v>204</v>
      </c>
      <c r="E67" s="195" t="s">
        <v>136</v>
      </c>
    </row>
    <row r="68" spans="3:5">
      <c r="C68" s="3" t="s">
        <v>175</v>
      </c>
      <c r="D68" s="194" t="s">
        <v>205</v>
      </c>
      <c r="E68" s="195" t="s">
        <v>136</v>
      </c>
    </row>
    <row r="69" spans="3:5">
      <c r="C69" s="3" t="s">
        <v>181</v>
      </c>
      <c r="D69" s="194" t="s">
        <v>201</v>
      </c>
      <c r="E69" s="195" t="s">
        <v>136</v>
      </c>
    </row>
    <row r="70" spans="3:5">
      <c r="C70" s="3" t="s">
        <v>181</v>
      </c>
      <c r="D70" s="194" t="s">
        <v>202</v>
      </c>
      <c r="E70" s="195" t="s">
        <v>136</v>
      </c>
    </row>
    <row r="71" spans="3:5">
      <c r="C71" s="3" t="s">
        <v>176</v>
      </c>
      <c r="D71" s="194" t="s">
        <v>186</v>
      </c>
      <c r="E71" s="195" t="s">
        <v>136</v>
      </c>
    </row>
    <row r="72" spans="3:5">
      <c r="C72" s="3" t="s">
        <v>176</v>
      </c>
      <c r="D72" s="194" t="s">
        <v>200</v>
      </c>
      <c r="E72" s="195" t="s">
        <v>136</v>
      </c>
    </row>
    <row r="73" spans="3:5">
      <c r="C73" s="3" t="s">
        <v>180</v>
      </c>
      <c r="D73" s="194" t="s">
        <v>81</v>
      </c>
      <c r="E73" s="195" t="s">
        <v>133</v>
      </c>
    </row>
    <row r="74" spans="3:5">
      <c r="C74" s="3" t="s">
        <v>174</v>
      </c>
      <c r="D74" s="194" t="s">
        <v>182</v>
      </c>
      <c r="E74" s="195" t="s">
        <v>135</v>
      </c>
    </row>
    <row r="75" spans="3:5">
      <c r="C75" s="3" t="s">
        <v>177</v>
      </c>
      <c r="D75" s="196" t="s">
        <v>187</v>
      </c>
      <c r="E75" s="1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USG_InvestorCapitalPerf</vt:lpstr>
      <vt:lpstr>Prime_InvestorCapitalPerf</vt:lpstr>
      <vt:lpstr>Note Holders</vt:lpstr>
      <vt:lpstr>Investor Categories</vt:lpstr>
      <vt:lpstr>InvestorCategories</vt:lpstr>
      <vt:lpstr>NOTES_2YIG</vt:lpstr>
      <vt:lpstr>Notes_A1</vt:lpstr>
      <vt:lpstr>Notes_M1</vt:lpstr>
      <vt:lpstr>Notes_MIG1</vt:lpstr>
      <vt:lpstr>Notes_MIG2</vt:lpstr>
      <vt:lpstr>Notes_Q1</vt:lpstr>
      <vt:lpstr>Notes_Q364_1</vt:lpstr>
      <vt:lpstr>Notes_Q3641</vt:lpstr>
      <vt:lpstr>Notes_QX1</vt:lpstr>
      <vt:lpstr>PrimeNoteHolders</vt:lpstr>
      <vt:lpstr>Prime_InvestorCapitalPerf!Print_Titles</vt:lpstr>
      <vt:lpstr>USG_InvestorCapitalPerf!Print_Titles</vt:lpstr>
      <vt:lpstr>USG_M6</vt:lpstr>
      <vt:lpstr>USG_M7</vt:lpstr>
      <vt:lpstr>USGNoteHolders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Thomas Durante</cp:lastModifiedBy>
  <dcterms:created xsi:type="dcterms:W3CDTF">2021-10-07T22:15:46Z</dcterms:created>
  <dcterms:modified xsi:type="dcterms:W3CDTF">2023-01-13T17:04:50Z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