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4.15.24\"/>
    </mc:Choice>
  </mc:AlternateContent>
  <xr:revisionPtr revIDLastSave="0" documentId="8_{302391CB-F7D6-482E-9B46-0CEE1A88F318}" xr6:coauthVersionLast="47" xr6:coauthVersionMax="47" xr10:uidLastSave="{00000000-0000-0000-0000-000000000000}"/>
  <bookViews>
    <workbookView xWindow="-33017" yWindow="-103" windowWidth="33120" windowHeight="18000" tabRatio="923" firstSheet="11" activeTab="11"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 r:id="rId32"/>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0" i="5" l="1"/>
  <c r="L109" i="5"/>
  <c r="L108" i="5"/>
  <c r="L106" i="5"/>
  <c r="L105" i="5"/>
  <c r="L104" i="5"/>
  <c r="L102" i="5"/>
  <c r="L101" i="5"/>
  <c r="L100" i="5"/>
  <c r="L110" i="28"/>
  <c r="L109" i="28"/>
  <c r="L108" i="28"/>
  <c r="L106" i="28"/>
  <c r="L105" i="28"/>
  <c r="L104" i="28"/>
  <c r="L102" i="28"/>
  <c r="L101" i="28"/>
  <c r="L100" i="28"/>
  <c r="L110" i="31"/>
  <c r="L109" i="31"/>
  <c r="L108" i="31"/>
  <c r="L106" i="31"/>
  <c r="L105" i="31"/>
  <c r="L104" i="31"/>
  <c r="L102" i="31"/>
  <c r="L101" i="31"/>
  <c r="L100" i="31"/>
  <c r="L110" i="14"/>
  <c r="L109" i="14"/>
  <c r="L108" i="14"/>
  <c r="L106" i="14"/>
  <c r="L105" i="14"/>
  <c r="L104" i="14"/>
  <c r="L102" i="14"/>
  <c r="L101" i="14"/>
  <c r="L100" i="14"/>
  <c r="L110" i="15"/>
  <c r="L109" i="15"/>
  <c r="L108" i="15"/>
  <c r="L106" i="15"/>
  <c r="L105" i="15"/>
  <c r="L104" i="15"/>
  <c r="L102" i="15"/>
  <c r="L101" i="15"/>
  <c r="L100" i="15"/>
  <c r="L110" i="9"/>
  <c r="L109" i="9"/>
  <c r="L108" i="9"/>
  <c r="L106" i="9"/>
  <c r="L105" i="9"/>
  <c r="L104" i="9"/>
  <c r="L102" i="9"/>
  <c r="L101" i="9"/>
  <c r="L100" i="9"/>
  <c r="L110" i="8"/>
  <c r="L109" i="8"/>
  <c r="L108" i="8"/>
  <c r="L106" i="8"/>
  <c r="L105" i="8"/>
  <c r="L104" i="8"/>
  <c r="L102" i="8"/>
  <c r="L101" i="8"/>
  <c r="L100" i="8"/>
  <c r="L97" i="8" l="1"/>
  <c r="T17" i="2" l="1"/>
  <c r="T16" i="2"/>
  <c r="T15" i="2"/>
  <c r="T14" i="2"/>
  <c r="T13" i="2"/>
  <c r="T12" i="2"/>
  <c r="T11" i="2"/>
  <c r="T10" i="2"/>
  <c r="C53" i="2" l="1"/>
  <c r="D53" i="2" s="1"/>
  <c r="C52" i="2"/>
  <c r="D52" i="2" s="1"/>
  <c r="C51" i="2"/>
  <c r="D51" i="2" s="1"/>
  <c r="C50" i="2"/>
  <c r="D50" i="2" s="1"/>
  <c r="C49" i="2"/>
  <c r="D49" i="2" s="1"/>
  <c r="C48" i="2"/>
  <c r="D48" i="2" s="1"/>
  <c r="D46" i="2"/>
  <c r="D45" i="2"/>
  <c r="D42" i="2" l="1"/>
  <c r="D41" i="2"/>
  <c r="C40" i="2"/>
  <c r="C47" i="2" s="1"/>
  <c r="D47" i="2" s="1"/>
  <c r="C39" i="2"/>
  <c r="D39" i="2" s="1"/>
  <c r="C37" i="2"/>
  <c r="C44" i="2" s="1"/>
  <c r="D44" i="2" s="1"/>
  <c r="D37" i="2" l="1"/>
  <c r="D40" i="2"/>
  <c r="C38" i="2"/>
  <c r="D38" i="2" s="1"/>
  <c r="Z50" i="2"/>
  <c r="Y50" i="2"/>
  <c r="Z49" i="2"/>
  <c r="Y49" i="2"/>
  <c r="Z48" i="2"/>
  <c r="Y48" i="2"/>
  <c r="Z47" i="2"/>
  <c r="Y47" i="2"/>
  <c r="Z46" i="2"/>
  <c r="Y46" i="2"/>
  <c r="Z45" i="2"/>
  <c r="Y45" i="2"/>
  <c r="Z44" i="2"/>
  <c r="Y44" i="2"/>
  <c r="Z43" i="2"/>
  <c r="Y43" i="2"/>
  <c r="Z42" i="2"/>
  <c r="Y42" i="2"/>
  <c r="Z41" i="2"/>
  <c r="Y41" i="2"/>
  <c r="Z40" i="2"/>
  <c r="Y40" i="2"/>
  <c r="Z39" i="2"/>
  <c r="Y39" i="2"/>
  <c r="Y18" i="2" l="1"/>
  <c r="AF18" i="2" s="1"/>
  <c r="X18" i="2"/>
  <c r="AD18" i="2" s="1"/>
  <c r="L18" i="2"/>
  <c r="Z18" i="2" s="1"/>
  <c r="AG18" i="2" s="1"/>
  <c r="K18" i="2"/>
  <c r="J18" i="2"/>
  <c r="AA18" i="2" s="1"/>
  <c r="AK18" i="2" s="1"/>
  <c r="I18" i="2"/>
  <c r="R18" i="2" l="1"/>
  <c r="S18" i="2" s="1"/>
  <c r="W18" i="2" s="1"/>
  <c r="AB18" i="2" s="1"/>
  <c r="H18" i="2"/>
  <c r="C43" i="2" s="1"/>
  <c r="D43" i="2" s="1"/>
  <c r="M18" i="2" l="1"/>
  <c r="O18" i="2" s="1"/>
  <c r="N18" i="2"/>
  <c r="P18" i="2" l="1"/>
  <c r="M22" i="2"/>
  <c r="N22" i="2" l="1"/>
  <c r="P22" i="2" s="1"/>
  <c r="O22" i="2"/>
  <c r="X50" i="2"/>
  <c r="W50" i="2"/>
  <c r="X49" i="2"/>
  <c r="W49" i="2"/>
  <c r="X48" i="2"/>
  <c r="W48" i="2"/>
  <c r="X47" i="2"/>
  <c r="W47" i="2"/>
  <c r="X46" i="2"/>
  <c r="W46" i="2"/>
  <c r="X45" i="2"/>
  <c r="W45" i="2"/>
  <c r="X44" i="2"/>
  <c r="W44" i="2"/>
  <c r="X43" i="2"/>
  <c r="W43" i="2"/>
  <c r="X42" i="2"/>
  <c r="W42" i="2"/>
  <c r="X41" i="2"/>
  <c r="W41" i="2"/>
  <c r="X40" i="2"/>
  <c r="W40" i="2"/>
  <c r="X39" i="2"/>
  <c r="W39" i="2"/>
  <c r="V50" i="2"/>
  <c r="U50" i="2"/>
  <c r="V49" i="2"/>
  <c r="U49" i="2"/>
  <c r="V48" i="2"/>
  <c r="U48" i="2"/>
  <c r="V47" i="2"/>
  <c r="U47" i="2"/>
  <c r="V46" i="2"/>
  <c r="U46" i="2"/>
  <c r="V45" i="2"/>
  <c r="U45" i="2"/>
  <c r="V44" i="2"/>
  <c r="U44" i="2"/>
  <c r="V43" i="2"/>
  <c r="U43" i="2"/>
  <c r="V42" i="2"/>
  <c r="U42" i="2"/>
  <c r="V41" i="2"/>
  <c r="U41" i="2"/>
  <c r="V40" i="2"/>
  <c r="U40" i="2"/>
  <c r="V39" i="2"/>
  <c r="U39" i="2"/>
  <c r="O54" i="2"/>
  <c r="N54" i="2"/>
  <c r="M54" i="2"/>
  <c r="L54" i="2"/>
  <c r="K54" i="2"/>
  <c r="J54" i="2"/>
  <c r="I54" i="2"/>
  <c r="H54" i="2"/>
  <c r="O72" i="2"/>
  <c r="O71" i="2"/>
  <c r="O69" i="2"/>
  <c r="O68" i="2"/>
  <c r="O67" i="2"/>
  <c r="O66" i="2"/>
  <c r="O65" i="2"/>
  <c r="O64" i="2"/>
  <c r="O63" i="2"/>
  <c r="O62" i="2"/>
  <c r="O61" i="2"/>
  <c r="O60" i="2"/>
  <c r="O59" i="2"/>
  <c r="O58" i="2"/>
  <c r="O57" i="2"/>
  <c r="O56" i="2"/>
  <c r="N72" i="2"/>
  <c r="N71" i="2"/>
  <c r="N69" i="2"/>
  <c r="N68" i="2"/>
  <c r="N67" i="2"/>
  <c r="N66" i="2"/>
  <c r="N65" i="2"/>
  <c r="N64" i="2"/>
  <c r="N63" i="2"/>
  <c r="N62" i="2"/>
  <c r="N61" i="2"/>
  <c r="N60" i="2"/>
  <c r="N59" i="2"/>
  <c r="N58" i="2"/>
  <c r="N57" i="2"/>
  <c r="N56" i="2"/>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L17" i="2"/>
  <c r="Z17" i="2" s="1"/>
  <c r="AG17" i="2" s="1"/>
  <c r="K17" i="2" l="1"/>
  <c r="K16" i="2"/>
  <c r="J17" i="2" l="1"/>
  <c r="AA17" i="2" s="1"/>
  <c r="AK17" i="2" s="1"/>
  <c r="U17" i="2"/>
  <c r="Y17" i="2" s="1"/>
  <c r="AF17" i="2" s="1"/>
  <c r="I17" i="2"/>
  <c r="I16" i="2"/>
  <c r="J16" i="2"/>
  <c r="AA16" i="2" s="1"/>
  <c r="AK16" i="2" s="1"/>
  <c r="U16" i="2"/>
  <c r="Y16" i="2" s="1"/>
  <c r="AF16" i="2" s="1"/>
  <c r="H16" i="2"/>
  <c r="R17" i="2" l="1"/>
  <c r="S17" i="2" s="1"/>
  <c r="W17" i="2" s="1"/>
  <c r="AB17" i="2" s="1"/>
  <c r="AN17" i="2"/>
  <c r="AQ17" i="2" s="1"/>
  <c r="AM17" i="2"/>
  <c r="AP17" i="2" s="1"/>
  <c r="AO17" i="2"/>
  <c r="AR17" i="2" s="1"/>
  <c r="R16" i="2"/>
  <c r="S16" i="2" s="1"/>
  <c r="W16" i="2" s="1"/>
  <c r="AB16" i="2" s="1"/>
  <c r="AM16" i="2"/>
  <c r="AP16" i="2" s="1"/>
  <c r="M16" i="2"/>
  <c r="O16" i="2" s="1"/>
  <c r="N16" i="2"/>
  <c r="P16" i="2" s="1"/>
  <c r="Q16" i="2"/>
  <c r="X16" i="2" s="1"/>
  <c r="AD16" i="2" s="1"/>
  <c r="AN16" i="2"/>
  <c r="AQ16" i="2" s="1"/>
  <c r="AO16" i="2"/>
  <c r="AR16" i="2" s="1"/>
  <c r="H17" i="2" l="1"/>
  <c r="N17" i="2" l="1"/>
  <c r="P17" i="2" s="1"/>
  <c r="M17" i="2"/>
  <c r="O17" i="2" s="1"/>
  <c r="Q17" i="2"/>
  <c r="X17" i="2" s="1"/>
  <c r="AD17" i="2"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S50" i="2"/>
  <c r="H110" i="28" s="1"/>
  <c r="T49" i="2"/>
  <c r="I109" i="28" s="1"/>
  <c r="S49" i="2"/>
  <c r="H109" i="28" s="1"/>
  <c r="T48" i="2"/>
  <c r="I108" i="28" s="1"/>
  <c r="S48" i="2"/>
  <c r="H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Q50" i="2"/>
  <c r="H110" i="31" s="1"/>
  <c r="R49" i="2"/>
  <c r="I109" i="31" s="1"/>
  <c r="Q49" i="2"/>
  <c r="H109" i="31" s="1"/>
  <c r="R48" i="2"/>
  <c r="I108" i="31" s="1"/>
  <c r="Q48" i="2"/>
  <c r="H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O50" i="2"/>
  <c r="H110" i="14" s="1"/>
  <c r="P49" i="2"/>
  <c r="I109" i="14" s="1"/>
  <c r="O49" i="2"/>
  <c r="H109" i="14" s="1"/>
  <c r="P48" i="2"/>
  <c r="I108" i="14" s="1"/>
  <c r="O48" i="2"/>
  <c r="H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M50" i="2"/>
  <c r="H110" i="15" s="1"/>
  <c r="N49" i="2"/>
  <c r="I109" i="15" s="1"/>
  <c r="M49" i="2"/>
  <c r="H109" i="15" s="1"/>
  <c r="N48" i="2"/>
  <c r="I108" i="15" s="1"/>
  <c r="M48" i="2"/>
  <c r="H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K50" i="2"/>
  <c r="H110" i="9" s="1"/>
  <c r="L49" i="2"/>
  <c r="I109" i="9" s="1"/>
  <c r="K49" i="2"/>
  <c r="H109" i="9" s="1"/>
  <c r="L48" i="2"/>
  <c r="I108" i="9" s="1"/>
  <c r="K48" i="2"/>
  <c r="H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I50" i="2"/>
  <c r="H110" i="8" s="1"/>
  <c r="J49" i="2"/>
  <c r="I109" i="8" s="1"/>
  <c r="I49" i="2"/>
  <c r="H109" i="8" s="1"/>
  <c r="J48" i="2"/>
  <c r="I108" i="8" s="1"/>
  <c r="I48" i="2"/>
  <c r="H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G50" i="2"/>
  <c r="H110" i="5" s="1"/>
  <c r="H49" i="2"/>
  <c r="I109" i="5" s="1"/>
  <c r="G49" i="2"/>
  <c r="H109" i="5" s="1"/>
  <c r="H48" i="2"/>
  <c r="I108" i="5" s="1"/>
  <c r="G48" i="2"/>
  <c r="H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97" i="28" l="1"/>
  <c r="F96" i="28"/>
  <c r="E97" i="28"/>
  <c r="E96" i="28"/>
  <c r="F98" i="28"/>
  <c r="E98" i="28"/>
  <c r="F98" i="31"/>
  <c r="F97" i="31"/>
  <c r="F96" i="31"/>
  <c r="E98" i="31"/>
  <c r="E97" i="31"/>
  <c r="E96" i="31"/>
  <c r="L97" i="14"/>
  <c r="F98" i="14"/>
  <c r="L96" i="14"/>
  <c r="E98" i="14"/>
  <c r="E96" i="14"/>
  <c r="F97" i="14"/>
  <c r="E97" i="14"/>
  <c r="F96" i="14"/>
  <c r="F98" i="15"/>
  <c r="F96" i="15"/>
  <c r="E98" i="15"/>
  <c r="E97" i="15"/>
  <c r="E96" i="15"/>
  <c r="F97" i="15"/>
  <c r="L98" i="14" l="1"/>
  <c r="F61" i="28"/>
  <c r="E61" i="28"/>
  <c r="F60" i="28"/>
  <c r="F61" i="31"/>
  <c r="E61" i="31"/>
  <c r="F60" i="31"/>
  <c r="F61" i="14"/>
  <c r="E61" i="14"/>
  <c r="F60" i="14"/>
  <c r="F61" i="15"/>
  <c r="E61" i="15"/>
  <c r="F60" i="15"/>
  <c r="F61" i="9"/>
  <c r="E61" i="9"/>
  <c r="F60" i="9"/>
  <c r="F61" i="8"/>
  <c r="E61" i="8"/>
  <c r="F60" i="8"/>
  <c r="F61" i="5" l="1"/>
  <c r="E61" i="5"/>
  <c r="F60" i="5"/>
  <c r="AO9" i="2" l="1"/>
  <c r="AN9" i="2"/>
  <c r="AM9" i="2"/>
  <c r="U21" i="2" l="1"/>
  <c r="T21" i="2"/>
  <c r="S21" i="2"/>
  <c r="Q21" i="2"/>
  <c r="P21" i="2"/>
  <c r="D15" i="2" s="1"/>
  <c r="O21" i="2"/>
  <c r="C15" i="2" s="1"/>
  <c r="L21" i="2"/>
  <c r="J21" i="2"/>
  <c r="H21" i="2"/>
  <c r="L96" i="28" l="1"/>
  <c r="F98" i="8"/>
  <c r="F97" i="8"/>
  <c r="F96" i="8"/>
  <c r="L96" i="8" l="1"/>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99" i="5"/>
  <c r="K104" i="5" l="1"/>
  <c r="K105" i="5" s="1"/>
  <c r="K106" i="5" s="1"/>
  <c r="K107" i="5" s="1"/>
  <c r="J104" i="5"/>
  <c r="J105" i="5" s="1"/>
  <c r="J106" i="5" s="1"/>
  <c r="J107" i="5" s="1"/>
  <c r="K108" i="5" l="1"/>
  <c r="K109" i="5" s="1"/>
  <c r="K110" i="5" s="1"/>
  <c r="K111" i="5" s="1"/>
  <c r="J108" i="5"/>
  <c r="J109" i="5" s="1"/>
  <c r="J110" i="5" s="1"/>
  <c r="J111" i="5" s="1"/>
  <c r="K112" i="5" l="1"/>
  <c r="J112" i="5"/>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99" i="15"/>
  <c r="K104" i="14"/>
  <c r="K105" i="14" s="1"/>
  <c r="K106" i="14" s="1"/>
  <c r="K107" i="14" s="1"/>
  <c r="J104" i="8"/>
  <c r="J105" i="8" s="1"/>
  <c r="J106" i="8" s="1"/>
  <c r="J107" i="8" s="1"/>
  <c r="J96" i="31"/>
  <c r="J97" i="31" s="1"/>
  <c r="J98" i="31" s="1"/>
  <c r="J99" i="31" s="1"/>
  <c r="E99" i="31" s="1"/>
  <c r="J100" i="28"/>
  <c r="J101" i="28" s="1"/>
  <c r="J102" i="28" s="1"/>
  <c r="J103" i="28" s="1"/>
  <c r="E96" i="9"/>
  <c r="J96" i="9"/>
  <c r="J97" i="9" s="1"/>
  <c r="J98" i="9" s="1"/>
  <c r="J99" i="9" s="1"/>
  <c r="K100" i="31"/>
  <c r="K101" i="31" s="1"/>
  <c r="K102" i="31" s="1"/>
  <c r="K103" i="31" s="1"/>
  <c r="K100" i="8"/>
  <c r="K101" i="8" s="1"/>
  <c r="K102" i="8" s="1"/>
  <c r="K103" i="8" s="1"/>
  <c r="J100" i="15"/>
  <c r="J101" i="15" s="1"/>
  <c r="J102" i="15" s="1"/>
  <c r="J103" i="15" s="1"/>
  <c r="K100" i="9"/>
  <c r="K101" i="9" s="1"/>
  <c r="K102" i="9" s="1"/>
  <c r="K103" i="9" s="1"/>
  <c r="F99" i="9"/>
  <c r="K100" i="28"/>
  <c r="K101" i="28" s="1"/>
  <c r="K102" i="28" s="1"/>
  <c r="K103" i="28" s="1"/>
  <c r="J96" i="14"/>
  <c r="J97" i="14" s="1"/>
  <c r="J98" i="14" s="1"/>
  <c r="J99" i="14" s="1"/>
  <c r="E99" i="14" s="1"/>
  <c r="K104" i="15" l="1"/>
  <c r="K105" i="15" s="1"/>
  <c r="K106" i="15" s="1"/>
  <c r="K107" i="15" s="1"/>
  <c r="J108" i="8"/>
  <c r="J109" i="8" s="1"/>
  <c r="J110" i="8" s="1"/>
  <c r="J111" i="8" s="1"/>
  <c r="K108" i="14"/>
  <c r="K109" i="14" s="1"/>
  <c r="K110" i="14" s="1"/>
  <c r="K111" i="14" s="1"/>
  <c r="J104" i="28"/>
  <c r="J105" i="28" s="1"/>
  <c r="J106" i="28" s="1"/>
  <c r="J107" i="28" s="1"/>
  <c r="K104" i="28"/>
  <c r="K105" i="28" s="1"/>
  <c r="K106" i="28" s="1"/>
  <c r="K107" i="28" s="1"/>
  <c r="K104" i="31"/>
  <c r="K105" i="31" s="1"/>
  <c r="K106" i="31" s="1"/>
  <c r="K107" i="31" s="1"/>
  <c r="K104" i="9"/>
  <c r="K105" i="9" s="1"/>
  <c r="K106" i="9" s="1"/>
  <c r="K107" i="9" s="1"/>
  <c r="J104" i="15"/>
  <c r="J105" i="15" s="1"/>
  <c r="J106" i="15" s="1"/>
  <c r="J107" i="15" s="1"/>
  <c r="K104" i="8"/>
  <c r="K105" i="8" s="1"/>
  <c r="K106" i="8" s="1"/>
  <c r="K107" i="8" s="1"/>
  <c r="E99" i="9"/>
  <c r="J100" i="9"/>
  <c r="J101" i="9" s="1"/>
  <c r="J102" i="9" s="1"/>
  <c r="J103" i="9" s="1"/>
  <c r="J100" i="31"/>
  <c r="J101" i="31" s="1"/>
  <c r="J102" i="31" s="1"/>
  <c r="J103" i="31" s="1"/>
  <c r="J100" i="14"/>
  <c r="J101" i="14" s="1"/>
  <c r="J102" i="14" s="1"/>
  <c r="J103" i="14" s="1"/>
  <c r="K112" i="14" l="1"/>
  <c r="J112" i="8"/>
  <c r="K108" i="15"/>
  <c r="K109" i="15" s="1"/>
  <c r="K110" i="15" s="1"/>
  <c r="K111" i="15" s="1"/>
  <c r="K108" i="8"/>
  <c r="K109" i="8" s="1"/>
  <c r="K110" i="8" s="1"/>
  <c r="K111" i="8" s="1"/>
  <c r="K108" i="9"/>
  <c r="K109" i="9" s="1"/>
  <c r="K110" i="9" s="1"/>
  <c r="K111" i="9" s="1"/>
  <c r="K108" i="28"/>
  <c r="K109" i="28" s="1"/>
  <c r="K110" i="28" s="1"/>
  <c r="K111" i="28" s="1"/>
  <c r="J108" i="28"/>
  <c r="J109" i="28" s="1"/>
  <c r="J110" i="28" s="1"/>
  <c r="J111" i="28" s="1"/>
  <c r="K108" i="31"/>
  <c r="K109" i="31" s="1"/>
  <c r="K110" i="31" s="1"/>
  <c r="K111" i="31" s="1"/>
  <c r="J108" i="15"/>
  <c r="J109" i="15" s="1"/>
  <c r="J110" i="15" s="1"/>
  <c r="J111" i="15" s="1"/>
  <c r="J104" i="9"/>
  <c r="J105" i="9" s="1"/>
  <c r="J106" i="9" s="1"/>
  <c r="J107" i="9" s="1"/>
  <c r="J104" i="31"/>
  <c r="J105" i="31" s="1"/>
  <c r="J106" i="31" s="1"/>
  <c r="J107" i="31" s="1"/>
  <c r="J104" i="14"/>
  <c r="J105" i="14" s="1"/>
  <c r="J106" i="14" s="1"/>
  <c r="J107" i="14" s="1"/>
  <c r="K112" i="31" l="1"/>
  <c r="K112" i="8"/>
  <c r="K112" i="9"/>
  <c r="J112" i="28"/>
  <c r="J112" i="15"/>
  <c r="K112" i="28"/>
  <c r="K112" i="15"/>
  <c r="J108" i="9"/>
  <c r="J109" i="9" s="1"/>
  <c r="J110" i="9" s="1"/>
  <c r="J111" i="9" s="1"/>
  <c r="J108" i="31"/>
  <c r="J109" i="31" s="1"/>
  <c r="J110" i="31" s="1"/>
  <c r="J111" i="31" s="1"/>
  <c r="J108" i="14"/>
  <c r="J109" i="14" s="1"/>
  <c r="J110" i="14" s="1"/>
  <c r="J111" i="14" s="1"/>
  <c r="J112" i="9" l="1"/>
  <c r="J112" i="14"/>
  <c r="J11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<sst xmlns="http://schemas.openxmlformats.org/spreadsheetml/2006/main" count="3278" uniqueCount="474">
  <si>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</si>
  <si>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</si>
  <si>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</si>
  <si>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</si>
  <si>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</si>
  <si>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</si>
  <si>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</si>
  <si>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</si>
  <si>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</si>
  <si>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</si>
  <si>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</si>
  <si>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</si>
  <si>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</si>
  <si>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</si>
  <si>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</si>
  <si>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</si>
  <si>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</si>
  <si>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</si>
  <si>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</si>
  <si>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</si>
  <si>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</si>
  <si>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</si>
  <si>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</si>
  <si>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</si>
  <si>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</si>
  <si>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</si>
  <si>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</si>
  <si>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</si>
  <si>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</si>
  <si>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</si>
  <si>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</si>
  <si>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</si>
  <si>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</si>
  <si>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</si>
  <si>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</si>
  <si>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</si>
  <si>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</si>
  <si>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</si>
  <si>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</si>
  <si>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</si>
  <si>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</si>
  <si>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</si>
  <si>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</si>
  <si>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</si>
  <si>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</si>
  <si>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</si>
  <si>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</si>
  <si>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</si>
  <si>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</si>
  <si>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</si>
  <si>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</si>
  <si>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</si>
  <si>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</si>
  <si>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</si>
  <si>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</si>
  <si>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</si>
  <si>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</si>
  <si>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</si>
  <si>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</si>
  <si>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</si>
  <si>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</si>
  <si>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</si>
  <si>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</si>
  <si>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</si>
  <si>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</si>
  <si>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</si>
  <si>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</si>
  <si>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</si>
  <si>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</si>
  <si>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</si>
  <si>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</si>
  <si>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</si>
  <si>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</si>
  <si>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</si>
  <si>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</si>
  <si>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</si>
  <si>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</si>
  <si>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</si>
  <si>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</si>
  <si>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</si>
  <si>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</si>
  <si>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</si>
  <si>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</si>
  <si>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</si>
  <si>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</si>
  <si>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</si>
  <si>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</si>
  <si>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</si>
  <si>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</si>
  <si>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</si>
  <si>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</si>
  <si>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</si>
  <si>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</si>
  <si>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</si>
  <si>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</si>
  <si>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</si>
  <si>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</si>
  <si>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</si>
  <si>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</si>
  <si>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</si>
  <si>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</si>
  <si>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</si>
  <si>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</si>
  <si>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</si>
  <si>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</si>
  <si>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</si>
  <si>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</si>
  <si>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</si>
  <si>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</si>
  <si>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</si>
  <si>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</si>
  <si>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</si>
  <si>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</si>
  <si>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</si>
  <si>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</si>
  <si>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</si>
  <si>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</si>
  <si>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</si>
  <si>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</si>
  <si>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</si>
  <si>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</si>
  <si>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</si>
  <si>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</si>
  <si>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</si>
  <si>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</si>
  <si>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</si>
  <si>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</si>
  <si>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</si>
  <si>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</si>
  <si>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</si>
  <si>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</si>
  <si>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</si>
  <si>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</si>
  <si>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</si>
  <si>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</si>
  <si>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</si>
  <si>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</si>
  <si>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</si>
  <si>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</si>
  <si>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</si>
  <si>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</si>
  <si>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</si>
  <si>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</si>
  <si>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Chief Compliance Officer</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</si>
  <si>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</si>
  <si>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</si>
  <si>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</si>
  <si>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</si>
  <si>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</si>
  <si>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</si>
  <si>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</si>
  <si>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</si>
  <si>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</si>
  <si>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</si>
  <si>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</si>
  <si>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</si>
  <si>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</si>
  <si>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</si>
  <si>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</si>
  <si>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</si>
  <si>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</si>
  <si>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</si>
  <si>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</si>
  <si>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</si>
  <si>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</si>
  <si>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</si>
  <si>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</si>
  <si>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</si>
  <si>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</si>
  <si>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</si>
  <si>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</si>
  <si>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</si>
  <si>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</si>
  <si>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</si>
  <si>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</si>
  <si>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</si>
  <si>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</si>
  <si>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</si>
  <si>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</si>
  <si>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</si>
  <si>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</si>
  <si>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</si>
  <si>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</si>
  <si>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</si>
  <si>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</si>
  <si>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</si>
  <si>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</si>
  <si>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</si>
  <si>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</si>
  <si>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</si>
  <si>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</si>
  <si>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</si>
  <si>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</si>
  <si>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</si>
  <si>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</si>
  <si>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</si>
  <si>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</si>
  <si>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</si>
  <si>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</si>
  <si>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</si>
  <si>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</si>
  <si>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</si>
  <si>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</si>
  <si>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</si>
  <si>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</si>
  <si>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</si>
  <si>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</si>
  <si>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</si>
  <si>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</si>
  <si>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</si>
  <si>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</si>
  <si>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</si>
  <si>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</si>
  <si>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</si>
  <si>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</si>
  <si>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</si>
  <si>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</si>
  <si>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</si>
  <si>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</si>
  <si>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</si>
  <si>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</si>
  <si>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</si>
  <si>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</si>
  <si>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</si>
  <si>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</si>
  <si>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</si>
  <si>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</si>
  <si>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</si>
  <si>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</si>
  <si>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</si>
  <si>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</si>
  <si>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</si>
  <si>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</si>
  <si>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</si>
  <si>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</si>
  <si>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</si>
  <si>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</si>
  <si>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</si>
  <si>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</si>
  <si>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</si>
  <si>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</si>
  <si>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</si>
  <si>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</si>
  <si>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</si>
  <si>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</si>
  <si>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</si>
  <si>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</si>
  <si>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</si>
  <si>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</si>
  <si>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</si>
  <si>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</si>
  <si>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</si>
  <si>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</si>
  <si>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</si>
  <si>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</si>
  <si>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</si>
  <si>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</si>
  <si>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</si>
  <si>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</si>
  <si>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</si>
  <si>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</si>
  <si>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</si>
  <si>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</si>
  <si>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</si>
  <si>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</si>
  <si>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</si>
  <si>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</si>
  <si>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</si>
  <si>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</si>
  <si>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</si>
  <si>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</si>
  <si>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</si>
  <si>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</si>
  <si>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</si>
  <si>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</si>
  <si>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</si>
  <si>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</si>
  <si>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</si>
  <si>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</si>
  <si>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</si>
  <si>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</si>
  <si>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</si>
  <si>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</si>
  <si>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</si>
  <si>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</si>
  <si>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</si>
  <si>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</si>
  <si>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</si>
  <si>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</si>
  <si>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</si>
  <si>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</si>
  <si>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</si>
  <si>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</si>
  <si>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</si>
  <si>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</si>
  <si>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</si>
  <si>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</si>
  <si>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</si>
  <si>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</si>
  <si>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</si>
  <si>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</si>
  <si>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</si>
  <si>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</si>
  <si>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</si>
  <si>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</si>
  <si>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</si>
  <si>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</si>
  <si>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</si>
  <si>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</si>
  <si>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</si>
  <si>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</si>
  <si>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</si>
  <si>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</si>
  <si>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</si>
  <si>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</si>
  <si>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</si>
  <si>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</si>
  <si>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</si>
  <si>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</si>
  <si>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</si>
  <si>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</si>
  <si>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</si>
  <si>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</si>
  <si>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</si>
  <si>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</si>
  <si>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</si>
  <si>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</si>
  <si>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</si>
  <si>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</si>
  <si>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</si>
  <si>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</si>
  <si>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</si>
  <si>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</si>
  <si>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</si>
  <si>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</si>
  <si>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</si>
  <si>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</si>
  <si>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</si>
  <si>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</si>
  <si>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</si>
  <si>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</si>
  <si>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</si>
  <si>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</si>
  <si>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</si>
  <si>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</si>
  <si>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</si>
  <si>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</si>
  <si>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</si>
  <si>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</si>
  <si>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</si>
  <si>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</si>
  <si>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</si>
  <si>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</si>
  <si>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</si>
  <si>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</si>
  <si>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</si>
  <si>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</si>
  <si>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</si>
  <si>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</si>
  <si>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</si>
  <si>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</si>
  <si>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</si>
  <si>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</si>
  <si>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</si>
  <si>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</si>
  <si>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</si>
  <si>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</si>
  <si>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</si>
  <si>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</si>
  <si>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</si>
  <si>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</si>
  <si>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</si>
  <si>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</si>
  <si>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</si>
  <si>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</si>
  <si>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</si>
  <si>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</si>
  <si>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</si>
  <si>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</si>
  <si>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</si>
  <si>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</si>
  <si>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</si>
  <si>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</si>
  <si>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</si>
  <si>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</si>
  <si>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</si>
  <si>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</si>
  <si>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</si>
  <si>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</si>
  <si>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</si>
  <si>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</si>
  <si>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</si>
  <si>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</si>
  <si>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</si>
  <si>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</si>
  <si>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</si>
  <si>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</si>
  <si>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</si>
  <si>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</si>
  <si>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</si>
  <si>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</si>
  <si>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</si>
  <si>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</si>
  <si>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</si>
  <si>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</si>
  <si>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</si>
  <si>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</si>
  <si>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</si>
  <si>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</si>
  <si>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</si>
  <si>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</si>
  <si>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</si>
  <si>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</si>
  <si>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</si>
  <si>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</si>
  <si>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</si>
  <si>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</si>
  <si>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</si>
  <si>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</si>
  <si>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</si>
  <si>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</si>
  <si>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</si>
  <si>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</si>
  <si>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</si>
  <si>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</si>
  <si>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</si>
  <si>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</si>
  <si>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</si>
  <si>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</si>
  <si>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</si>
  <si>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</si>
  <si>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</si>
  <si>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</si>
  <si>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</si>
  <si>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</si>
  <si>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</si>
  <si>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</si>
  <si>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</si>
  <si>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</si>
  <si>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</si>
  <si>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</si>
  <si>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</si>
  <si>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</si>
  <si>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</si>
  <si>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</si>
  <si>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</si>
  <si>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</si>
  <si>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</si>
  <si>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</si>
  <si>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</si>
  <si>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</si>
  <si>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</si>
  <si>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</si>
  <si>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</si>
  <si>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</si>
  <si>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</si>
  <si>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</si>
  <si>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</si>
  <si>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</si>
  <si>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</si>
  <si>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</si>
  <si>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</si>
  <si>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</si>
  <si>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</si>
  <si>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</si>
  <si>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</si>
  <si>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</si>
  <si>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</si>
  <si>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</si>
  <si>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</si>
  <si>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</si>
  <si>
    <t>Heather Campbell</t>
  </si>
  <si>
    <t>heather.campbell@lucidma.com</t>
  </si>
  <si>
    <t>646-921-2553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</si>
</sst>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2">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168" fontId="0" fillId="13" borderId="1" xfId="0" applyNumberFormat="1" applyFill="1" applyBorder="1"/>
    <xf numFmtId="168" fontId="8" fillId="3" borderId="1" xfId="2" applyNumberFormat="1" applyFon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andates/Funds/Fund%20Reporting/Form%20PF%20working%20files/2024/01.15.24/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Investor%20Log.xlsx" TargetMode="External"/><Relationship Id="rId1" Type="http://schemas.openxmlformats.org/officeDocument/2006/relationships/externalLinkPath" Target="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1.0048658546172857</v>
          </cell>
          <cell r="AB5">
            <v>1.0046950633712304</v>
          </cell>
        </row>
        <row r="6">
          <cell r="AA6">
            <v>1.0045222900874389</v>
          </cell>
          <cell r="AB6">
            <v>1.0043940437764809</v>
          </cell>
        </row>
        <row r="7">
          <cell r="AA7">
            <v>1.0048147228120896</v>
          </cell>
          <cell r="AB7">
            <v>1.0046978203502785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370000</v>
          </cell>
        </row>
        <row r="38">
          <cell r="G38">
            <v>616346.37999999989</v>
          </cell>
        </row>
        <row r="39">
          <cell r="G39">
            <v>30423.310000000012</v>
          </cell>
        </row>
        <row r="41">
          <cell r="G41">
            <v>122853242.443</v>
          </cell>
        </row>
        <row r="42">
          <cell r="G42">
            <v>3617465.2399999998</v>
          </cell>
        </row>
        <row r="43">
          <cell r="G43">
            <v>0</v>
          </cell>
        </row>
        <row r="46">
          <cell r="G46">
            <v>0</v>
          </cell>
        </row>
        <row r="50">
          <cell r="D50">
            <v>45322</v>
          </cell>
          <cell r="E50">
            <v>45351</v>
          </cell>
          <cell r="F50">
            <v>45382</v>
          </cell>
          <cell r="G50">
            <v>45412</v>
          </cell>
          <cell r="H50">
            <v>45443</v>
          </cell>
          <cell r="I50">
            <v>45473</v>
          </cell>
          <cell r="J50">
            <v>45504</v>
          </cell>
          <cell r="K50">
            <v>45535</v>
          </cell>
          <cell r="P50">
            <v>45565</v>
          </cell>
          <cell r="Q50">
            <v>45596</v>
          </cell>
          <cell r="R50">
            <v>45626</v>
          </cell>
          <cell r="S50">
            <v>45657</v>
          </cell>
        </row>
        <row r="51">
          <cell r="D51">
            <v>72242613.523000002</v>
          </cell>
          <cell r="E51">
            <v>122569657.27300002</v>
          </cell>
          <cell r="F51">
            <v>122853242.443</v>
          </cell>
          <cell r="G51" t="e">
            <v>#N/A</v>
          </cell>
          <cell r="H51" t="e">
            <v>#N/A</v>
          </cell>
          <cell r="I51" t="e">
            <v>#N/A</v>
          </cell>
          <cell r="J51" t="e">
            <v>#N/A</v>
          </cell>
          <cell r="K51" t="e">
            <v>#N/A</v>
          </cell>
          <cell r="P51" t="e">
            <v>#N/A</v>
          </cell>
          <cell r="Q51" t="e">
            <v>#N/A</v>
          </cell>
          <cell r="R51" t="e">
            <v>#N/A</v>
          </cell>
          <cell r="S51" t="e">
            <v>#N/A</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1.005263298638073</v>
          </cell>
          <cell r="AB5">
            <v>1.0050333435255592</v>
          </cell>
        </row>
        <row r="6">
          <cell r="AA6">
            <v>1.0048599949388299</v>
          </cell>
          <cell r="AB6">
            <v>1.0046744168866069</v>
          </cell>
        </row>
        <row r="7">
          <cell r="AA7">
            <v>1.005256736294464</v>
          </cell>
          <cell r="AB7">
            <v>1.0050009492043748</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7484602.8476988794</v>
          </cell>
        </row>
        <row r="52">
          <cell r="G52">
            <v>113646.01999999999</v>
          </cell>
        </row>
        <row r="54">
          <cell r="G54">
            <v>858074119.94959998</v>
          </cell>
        </row>
        <row r="55">
          <cell r="G55">
            <v>17307992.09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779087040.24970007</v>
          </cell>
          <cell r="E64">
            <v>1031183553.0597</v>
          </cell>
          <cell r="F64">
            <v>858074119.94959998</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1">
        <row r="5">
          <cell r="AA5">
            <v>1.0052912765894633</v>
          </cell>
          <cell r="AB5">
            <v>1.0050349344068685</v>
          </cell>
        </row>
        <row r="6">
          <cell r="AA6">
            <v>1.0048687750493663</v>
          </cell>
          <cell r="AB6">
            <v>1.0046912929203287</v>
          </cell>
        </row>
        <row r="7">
          <cell r="AA7">
            <v>1.0052635693529641</v>
          </cell>
          <cell r="AB7">
            <v>1.0050174959335012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735542.60171340348</v>
          </cell>
        </row>
        <row r="52">
          <cell r="G52">
            <v>15048.399999999998</v>
          </cell>
        </row>
        <row r="54">
          <cell r="G54">
            <v>115016182.3</v>
          </cell>
        </row>
        <row r="55">
          <cell r="G55">
            <v>2325830.9900000002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113907596.28</v>
          </cell>
          <cell r="E64">
            <v>114441970.18000001</v>
          </cell>
          <cell r="F64">
            <v>115016182.3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2">
        <row r="5">
          <cell r="AA5">
            <v>1.0054072545347901</v>
          </cell>
          <cell r="AB5">
            <v>1.0051193884686629</v>
          </cell>
        </row>
        <row r="6">
          <cell r="AA6">
            <v>1.0050145045216148</v>
          </cell>
          <cell r="AB6">
            <v>1.0047734522308442</v>
          </cell>
        </row>
        <row r="7">
          <cell r="AA7">
            <v>1.0053870676636574</v>
          </cell>
          <cell r="AB7">
            <v>1.005103645082726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4445756.8196000028</v>
          </cell>
        </row>
        <row r="52">
          <cell r="G52">
            <v>104368.61</v>
          </cell>
        </row>
        <row r="54">
          <cell r="G54">
            <v>676570128.93410003</v>
          </cell>
        </row>
        <row r="55">
          <cell r="G55">
            <v>12828002.5</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511164304.97420001</v>
          </cell>
          <cell r="E64">
            <v>624799077.86409998</v>
          </cell>
          <cell r="F64">
            <v>676570128.93410003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3">
        <row r="5">
          <cell r="AA5">
            <v>1.0055187353954613</v>
          </cell>
          <cell r="AB5">
            <v>1.0051833197696338</v>
          </cell>
        </row>
        <row r="6">
          <cell r="AA6">
            <v>1.0051243755406343</v>
          </cell>
          <cell r="AB6">
            <v>1.004822883661654</v>
          </cell>
        </row>
        <row r="7">
          <cell r="AA7">
            <v>1.0054691847479778</v>
          </cell>
          <cell r="AB7">
            <v>1.0051277320148555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7149.81</v>
          </cell>
        </row>
        <row r="51">
          <cell r="G51">
            <v>5932640.7334000021</v>
          </cell>
        </row>
        <row r="52">
          <cell r="G52">
            <v>428031.70999999996</v>
          </cell>
        </row>
        <row r="54">
          <cell r="G54">
            <v>650924509.66180003</v>
          </cell>
        </row>
        <row r="55">
          <cell r="G55">
            <v>11487396.399999999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574516203.75190008</v>
          </cell>
          <cell r="E64">
            <v>622426825.58179998</v>
          </cell>
          <cell r="F64">
            <v>650924509.66180003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4">
        <row r="5">
          <cell r="AA5">
            <v>1.0057322576102481</v>
          </cell>
          <cell r="AB5">
            <v>1.0053986567291271</v>
          </cell>
        </row>
        <row r="6">
          <cell r="AA6">
            <v>1.0053193907915892</v>
          </cell>
          <cell r="AB6">
            <v>1.0050233844161827</v>
          </cell>
        </row>
        <row r="7">
          <cell r="AA7">
            <v>1.0056145912133387</v>
          </cell>
          <cell r="AB7">
            <v>1.0053060073531912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1850.19</v>
          </cell>
        </row>
        <row r="51">
          <cell r="G51">
            <v>4755424.311466381</v>
          </cell>
        </row>
        <row r="52">
          <cell r="G52">
            <v>143882.31</v>
          </cell>
        </row>
        <row r="54">
          <cell r="G54">
            <v>214247016.15380001</v>
          </cell>
        </row>
        <row r="55">
          <cell r="G55">
            <v>6883561.4500000002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212051006.20379999</v>
          </cell>
          <cell r="E64">
            <v>213116219.92380002</v>
          </cell>
          <cell r="F64">
            <v>214247016.15380001</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5">
        <row r="5">
          <cell r="AA5">
            <v>1.0058955794609765</v>
          </cell>
          <cell r="AB5">
            <v>1.0056147400495008</v>
          </cell>
        </row>
        <row r="6">
          <cell r="AA6">
            <v>1.0054567407757811</v>
          </cell>
          <cell r="AB6">
            <v>1.0052172706828753</v>
          </cell>
        </row>
        <row r="7">
          <cell r="AA7">
            <v>1.0058162468211154</v>
          </cell>
          <cell r="AB7">
            <v>1.0055440287263882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13080904.6189161</v>
          </cell>
        </row>
        <row r="52">
          <cell r="G52">
            <v>260304.85000000003</v>
          </cell>
        </row>
        <row r="54">
          <cell r="G54">
            <v>509317931.60000002</v>
          </cell>
        </row>
        <row r="55">
          <cell r="G55">
            <v>26896977.400000002</v>
          </cell>
        </row>
        <row r="56">
          <cell r="G56">
            <v>4736923.1899999995</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443664030.62</v>
          </cell>
          <cell r="E64">
            <v>445978745.96000004</v>
          </cell>
          <cell r="F64">
            <v>509317931.60000002</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6">
        <row r="5">
          <cell r="AA5">
            <v>1.0052845014148641</v>
          </cell>
          <cell r="AB5">
            <v>1.0051053386541431</v>
          </cell>
        </row>
        <row r="6">
          <cell r="AA6">
            <v>1.0042198748101581</v>
          </cell>
          <cell r="AB6">
            <v>1.0040300772568016</v>
          </cell>
        </row>
        <row r="7">
          <cell r="AA7">
            <v>1.0058338093064407</v>
          </cell>
          <cell r="AB7">
            <v>1.0054870143725889</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839771.37</v>
          </cell>
        </row>
        <row r="52">
          <cell r="G52">
            <v>109952.46</v>
          </cell>
        </row>
        <row r="54">
          <cell r="G54">
            <v>86558561.840000004</v>
          </cell>
        </row>
        <row r="55">
          <cell r="G55">
            <v>1223423.25</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87865658.010000005</v>
          </cell>
          <cell r="E64">
            <v>88219763.400000006</v>
          </cell>
          <cell r="F64">
            <v>86558561.840000004</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7">
        <row r="5">
          <cell r="AA5">
            <v>1.0065812554102398</v>
          </cell>
          <cell r="AB5">
            <v>1.0061098695266519</v>
          </cell>
        </row>
        <row r="6">
          <cell r="AA6">
            <v>1.0061190161025346</v>
          </cell>
          <cell r="AB6">
            <v>1.0056809856864328</v>
          </cell>
        </row>
        <row r="7">
          <cell r="AA7">
            <v>1.0065622199403139</v>
          </cell>
          <cell r="AB7">
            <v>1.0060929601496476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0</v>
          </cell>
        </row>
        <row r="52">
          <cell r="G52">
            <v>98228.72</v>
          </cell>
        </row>
        <row r="54">
          <cell r="G54">
            <v>76379401.450000003</v>
          </cell>
        </row>
        <row r="55">
          <cell r="G55">
            <v>7068807.54</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75487996.920000002</v>
          </cell>
          <cell r="E64">
            <v>75916843.150000006</v>
          </cell>
          <cell r="F64">
            <v>76379401.450000003</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1.6839094909235528</v>
          </cell>
          <cell r="AB16">
            <v>1.2610401812995577</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40.803791453252167</v>
          </cell>
        </row>
        <row r="44">
          <cell r="R44">
            <v>100.00000000000003</v>
          </cell>
        </row>
        <row r="45">
          <cell r="R45">
            <v>4</v>
          </cell>
        </row>
        <row r="48">
          <cell r="R48">
            <v>0</v>
          </cell>
        </row>
        <row r="49">
          <cell r="R49">
            <v>0</v>
          </cell>
        </row>
        <row r="50">
          <cell r="R50">
            <v>0</v>
          </cell>
        </row>
        <row r="51">
          <cell r="R51">
            <v>57.696561100442302</v>
          </cell>
        </row>
        <row r="52">
          <cell r="R52">
            <v>0</v>
          </cell>
        </row>
        <row r="53">
          <cell r="R53">
            <v>0</v>
          </cell>
        </row>
        <row r="54">
          <cell r="R54">
            <v>42.214968696542563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24.997677474248832</v>
          </cell>
          <cell r="S46">
            <v>54.075774971297363</v>
          </cell>
          <cell r="T46">
            <v>80</v>
          </cell>
          <cell r="U46">
            <v>100</v>
          </cell>
          <cell r="V46">
            <v>42.390414137483063</v>
          </cell>
          <cell r="W46">
            <v>23.324540366692727</v>
          </cell>
          <cell r="X46">
            <v>53.090604357665228</v>
          </cell>
          <cell r="Y46">
            <v>52.104780059696544</v>
          </cell>
        </row>
        <row r="47">
          <cell r="R47">
            <v>87.032617389834741</v>
          </cell>
          <cell r="S47">
            <v>100</v>
          </cell>
          <cell r="T47">
            <v>100</v>
          </cell>
          <cell r="U47">
            <v>100</v>
          </cell>
          <cell r="V47">
            <v>96.657889867470388</v>
          </cell>
          <cell r="W47">
            <v>83.335633117234337</v>
          </cell>
          <cell r="X47">
            <v>100</v>
          </cell>
          <cell r="Y47">
            <v>99.897620398949911</v>
          </cell>
        </row>
        <row r="48">
          <cell r="R48">
            <v>6</v>
          </cell>
          <cell r="S48">
            <v>3</v>
          </cell>
          <cell r="T48">
            <v>2</v>
          </cell>
          <cell r="U48">
            <v>1</v>
          </cell>
          <cell r="V48">
            <v>5</v>
          </cell>
          <cell r="W48">
            <v>6</v>
          </cell>
          <cell r="X48">
            <v>4</v>
          </cell>
          <cell r="Y48">
            <v>4</v>
          </cell>
        </row>
        <row r="51">
          <cell r="R51">
            <v>0</v>
          </cell>
          <cell r="S51">
            <v>0</v>
          </cell>
          <cell r="T51">
            <v>0</v>
          </cell>
          <cell r="U51">
            <v>0</v>
          </cell>
          <cell r="V51">
            <v>0</v>
          </cell>
          <cell r="W51">
            <v>0</v>
          </cell>
          <cell r="X51">
            <v>0.3210671617358779</v>
          </cell>
          <cell r="Y51">
            <v>0.7605691362489011</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12.299336155992213</v>
          </cell>
          <cell r="S54">
            <v>82.778415614236508</v>
          </cell>
          <cell r="T54">
            <v>20</v>
          </cell>
          <cell r="U54">
            <v>0</v>
          </cell>
          <cell r="V54">
            <v>57.471619167164533</v>
          </cell>
          <cell r="W54">
            <v>60.915924591012505</v>
          </cell>
          <cell r="X54">
            <v>15.914203179903044</v>
          </cell>
          <cell r="Y54">
            <v>18.19698622192854</v>
          </cell>
        </row>
        <row r="55">
          <cell r="R55">
            <v>0</v>
          </cell>
          <cell r="S55">
            <v>0</v>
          </cell>
          <cell r="T55">
            <v>0</v>
          </cell>
          <cell r="U55">
            <v>0</v>
          </cell>
          <cell r="V55">
            <v>0</v>
          </cell>
          <cell r="W55">
            <v>0</v>
          </cell>
          <cell r="X55">
            <v>0</v>
          </cell>
          <cell r="Y55">
            <v>0</v>
          </cell>
        </row>
        <row r="56">
          <cell r="R56">
            <v>26.809032473769491</v>
          </cell>
          <cell r="S56">
            <v>0</v>
          </cell>
          <cell r="T56">
            <v>0</v>
          </cell>
          <cell r="U56">
            <v>0</v>
          </cell>
          <cell r="V56">
            <v>30.92992905348661</v>
          </cell>
          <cell r="W56">
            <v>0</v>
          </cell>
          <cell r="X56">
            <v>0</v>
          </cell>
          <cell r="Y56">
            <v>0</v>
          </cell>
        </row>
        <row r="57">
          <cell r="R57">
            <v>37.510287785279587</v>
          </cell>
          <cell r="S57">
            <v>17.221584385763492</v>
          </cell>
          <cell r="T57">
            <v>0</v>
          </cell>
          <cell r="U57">
            <v>100</v>
          </cell>
          <cell r="V57">
            <v>11.566620115299594</v>
          </cell>
          <cell r="W57">
            <v>39.084075408987488</v>
          </cell>
          <cell r="X57">
            <v>63.847078619683927</v>
          </cell>
          <cell r="Y57">
            <v>80.940065040772467</v>
          </cell>
        </row>
        <row r="58">
          <cell r="R58">
            <v>0</v>
          </cell>
          <cell r="S58">
            <v>0</v>
          </cell>
          <cell r="T58">
            <v>0</v>
          </cell>
          <cell r="U58">
            <v>0</v>
          </cell>
          <cell r="V58">
            <v>0</v>
          </cell>
          <cell r="W58">
            <v>0</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23.371660153904443</v>
          </cell>
          <cell r="S61">
            <v>0</v>
          </cell>
          <cell r="T61">
            <v>80</v>
          </cell>
          <cell r="U61">
            <v>0</v>
          </cell>
          <cell r="V61">
            <v>0</v>
          </cell>
          <cell r="W61">
            <v>0</v>
          </cell>
          <cell r="X61">
            <v>19.917651038677153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hyperlink" Target="mailto:heather.campbell@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D26" sqref="D26"/>
    </sheetView>
  </sheetViews>
  <sheetFormatPr defaultRowHeight="14.6" x14ac:dyDescent="0.4"/>
  <sheetData>
    <row r="2" spans="2:7" x14ac:dyDescent="0.4">
      <c r="B2" t="s">
        <v>360</v>
      </c>
    </row>
    <row r="3" spans="2:7" x14ac:dyDescent="0.4">
      <c r="B3" t="s">
        <v>361</v>
      </c>
      <c r="F3" t="s">
        <v>386</v>
      </c>
    </row>
    <row r="4" spans="2:7" x14ac:dyDescent="0.4">
      <c r="B4" t="s">
        <v>362</v>
      </c>
      <c r="F4" t="s">
        <v>375</v>
      </c>
    </row>
    <row r="6" spans="2:7" x14ac:dyDescent="0.4">
      <c r="B6" t="s">
        <v>374</v>
      </c>
      <c r="F6" t="s">
        <v>376</v>
      </c>
    </row>
    <row r="7" spans="2:7" x14ac:dyDescent="0.4">
      <c r="B7" t="s">
        <v>361</v>
      </c>
      <c r="F7" t="s">
        <v>377</v>
      </c>
    </row>
    <row r="9" spans="2:7" x14ac:dyDescent="0.4">
      <c r="B9" t="s">
        <v>363</v>
      </c>
    </row>
    <row r="10" spans="2:7" x14ac:dyDescent="0.4">
      <c r="F10" t="s">
        <v>378</v>
      </c>
    </row>
    <row r="12" spans="2:7" x14ac:dyDescent="0.4">
      <c r="B12" t="s">
        <v>370</v>
      </c>
      <c r="G12" t="s">
        <v>382</v>
      </c>
    </row>
    <row r="13" spans="2:7" x14ac:dyDescent="0.4">
      <c r="G13" t="s">
        <v>383</v>
      </c>
    </row>
    <row r="14" spans="2:7" x14ac:dyDescent="0.4">
      <c r="B14" t="s">
        <v>371</v>
      </c>
    </row>
    <row r="16" spans="2:7" x14ac:dyDescent="0.4">
      <c r="B16" t="s">
        <v>380</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381</v>
      </c>
      <c r="D19" s="26"/>
      <c r="E19" s="26"/>
      <c r="F19" s="26"/>
      <c r="G19" s="26"/>
      <c r="H19" s="26"/>
      <c r="I19" s="26"/>
      <c r="J19" s="26"/>
      <c r="K19" s="26"/>
      <c r="L19" s="26"/>
    </row>
    <row r="21" spans="2:12" x14ac:dyDescent="0.4">
      <c r="B21" t="s">
        <v>384</v>
      </c>
    </row>
    <row r="22" spans="2:12" x14ac:dyDescent="0.4">
      <c r="C22" t="s">
        <v>385</v>
      </c>
    </row>
    <row r="23" spans="2:12" x14ac:dyDescent="0.4">
      <c r="C23" t="s">
        <v>387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90" zoomScaleNormal="90"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0" t="s">
        <v>66</v>
      </c>
      <c r="C6" s="37" t="s">
        <v>396</v>
      </c>
    </row>
    <row r="7" spans="1:3" x14ac:dyDescent="0.4">
      <c r="B7" s="10" t="s">
        <v>35</v>
      </c>
      <c r="C7" s="37" t="s">
        <v>397</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C'!O14</f>
        <v>219146000</v>
      </c>
      <c r="E35" s="1" t="s">
        <v>48</v>
      </c>
    </row>
    <row r="36" spans="2:5" x14ac:dyDescent="0.4">
      <c r="B36" t="s">
        <v>70</v>
      </c>
      <c r="C36" s="77">
        <f>'Items B &amp; C'!P14</f>
        <v>214247000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C'!AB14</f>
        <v>11639000</v>
      </c>
      <c r="D60" s="66"/>
      <c r="E60" s="79">
        <f>'Items B &amp; C'!AD14</f>
        <v>207505000</v>
      </c>
      <c r="F60" s="79">
        <f>'Items B &amp; C'!AE14</f>
        <v>0</v>
      </c>
      <c r="G60" s="79">
        <f>'Items B &amp; C'!AF14</f>
        <v>2000</v>
      </c>
      <c r="N60" s="24"/>
    </row>
    <row r="61" spans="2:14" x14ac:dyDescent="0.4">
      <c r="B61" t="s">
        <v>79</v>
      </c>
      <c r="C61" s="79">
        <f>'Items B &amp; C'!AG14</f>
        <v>144000</v>
      </c>
      <c r="D61" s="66"/>
      <c r="E61" s="79">
        <f>'Items B &amp; C'!AI14</f>
        <v>0</v>
      </c>
      <c r="F61" s="79">
        <f>'Items B &amp; C'!AJ14</f>
        <v>0</v>
      </c>
      <c r="G61" s="79">
        <f>'Items B &amp; C'!AK14</f>
        <v>4755000</v>
      </c>
      <c r="N61" s="24"/>
    </row>
    <row r="64" spans="2:14" x14ac:dyDescent="0.4">
      <c r="B64" t="s">
        <v>88</v>
      </c>
      <c r="E64" s="1" t="s">
        <v>86</v>
      </c>
    </row>
    <row r="65" spans="2:5" x14ac:dyDescent="0.4">
      <c r="B65" t="s">
        <v>85</v>
      </c>
      <c r="C65" s="81">
        <f>'Items B &amp; C'!L54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C'!L56</f>
        <v>1</v>
      </c>
    </row>
    <row r="71" spans="2:5" x14ac:dyDescent="0.4">
      <c r="B71" t="s">
        <v>91</v>
      </c>
      <c r="C71" s="81">
        <f>'Items B &amp; C'!L57</f>
        <v>0</v>
      </c>
    </row>
    <row r="72" spans="2:5" x14ac:dyDescent="0.4">
      <c r="B72" t="s">
        <v>92</v>
      </c>
      <c r="C72" s="81">
        <f>'Items B &amp; C'!L58</f>
        <v>0</v>
      </c>
    </row>
    <row r="73" spans="2:5" x14ac:dyDescent="0.4">
      <c r="B73" t="s">
        <v>93</v>
      </c>
      <c r="C73" s="81">
        <f>'Items B &amp; C'!L59</f>
        <v>18</v>
      </c>
      <c r="E73" s="1" t="s">
        <v>103</v>
      </c>
    </row>
    <row r="74" spans="2:5" x14ac:dyDescent="0.4">
      <c r="B74" t="s">
        <v>94</v>
      </c>
      <c r="C74" s="81">
        <f>'Items B &amp; C'!L60</f>
        <v>0</v>
      </c>
      <c r="E74" s="1" t="s">
        <v>104</v>
      </c>
    </row>
    <row r="75" spans="2:5" x14ac:dyDescent="0.4">
      <c r="B75" t="s">
        <v>95</v>
      </c>
      <c r="C75" s="81">
        <f>'Items B &amp; C'!L61</f>
        <v>0</v>
      </c>
      <c r="E75" s="1" t="s">
        <v>105</v>
      </c>
    </row>
    <row r="76" spans="2:5" x14ac:dyDescent="0.4">
      <c r="B76" t="s">
        <v>96</v>
      </c>
      <c r="C76" s="81">
        <f>'Items B &amp; C'!L62</f>
        <v>81</v>
      </c>
      <c r="E76" s="1" t="s">
        <v>106</v>
      </c>
    </row>
    <row r="77" spans="2:5" x14ac:dyDescent="0.4">
      <c r="B77" t="s">
        <v>97</v>
      </c>
      <c r="C77" s="81">
        <f>'Items B &amp; C'!L63</f>
        <v>0</v>
      </c>
    </row>
    <row r="78" spans="2:5" x14ac:dyDescent="0.4">
      <c r="B78" t="s">
        <v>98</v>
      </c>
      <c r="C78" s="81">
        <f>'Items B &amp; C'!L64</f>
        <v>0</v>
      </c>
    </row>
    <row r="79" spans="2:5" x14ac:dyDescent="0.4">
      <c r="B79" t="s">
        <v>101</v>
      </c>
      <c r="C79" s="81">
        <f>'Items B &amp; C'!L65</f>
        <v>0</v>
      </c>
    </row>
    <row r="80" spans="2:5" x14ac:dyDescent="0.4">
      <c r="B80" t="s">
        <v>99</v>
      </c>
      <c r="C80" s="81">
        <f>'Items B &amp; C'!L66</f>
        <v>0</v>
      </c>
    </row>
    <row r="81" spans="2:20" x14ac:dyDescent="0.4">
      <c r="B81" t="s">
        <v>100</v>
      </c>
      <c r="C81" s="81">
        <f>'Items B &amp; C'!L67</f>
        <v>0</v>
      </c>
    </row>
    <row r="82" spans="2:20" x14ac:dyDescent="0.4">
      <c r="B82" t="s">
        <v>102</v>
      </c>
      <c r="C82" s="81">
        <f>'Items B &amp; C'!L68</f>
        <v>0</v>
      </c>
    </row>
    <row r="83" spans="2:20" x14ac:dyDescent="0.4">
      <c r="B83" t="s">
        <v>152</v>
      </c>
      <c r="C83" s="81">
        <f>'Items B &amp; C'!L69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45322</v>
      </c>
      <c r="E96" s="80">
        <f t="shared" ref="E96:F98" si="0">ROUND(H96-1,4)</f>
        <v>5.7000000000000002E-3</v>
      </c>
      <c r="F96" s="80">
        <f t="shared" si="0"/>
        <v>5.4000000000000003E-3</v>
      </c>
      <c r="G96" s="25"/>
      <c r="H96" s="122">
        <f>'Items B &amp; C'!Q39</f>
        <v>1.0057322576102481</v>
      </c>
      <c r="I96" s="122">
        <f>'Items B &amp; C'!R39</f>
        <v>1.0053986567291271</v>
      </c>
      <c r="J96" s="20">
        <f>J95*H96</f>
        <v>1.0057322576102481</v>
      </c>
      <c r="K96" s="20">
        <f t="shared" ref="K96:K107" si="1">K95*I96</f>
        <v>1.0053986567291271</v>
      </c>
      <c r="L96" s="25">
        <f>(I96-1)*360/31</f>
        <v>6.2694078144701737E-2</v>
      </c>
      <c r="N96" s="25"/>
      <c r="O96" s="19"/>
      <c r="P96" s="17"/>
      <c r="R96" s="17"/>
      <c r="S96" s="25"/>
      <c r="T96" s="18"/>
    </row>
    <row r="97" spans="2:20" x14ac:dyDescent="0.4">
      <c r="B97" t="s">
        <v>114</v>
      </c>
      <c r="C97" s="75">
        <v>45351</v>
      </c>
      <c r="E97" s="80">
        <f t="shared" si="0"/>
        <v>5.3E-3</v>
      </c>
      <c r="F97" s="80">
        <f t="shared" si="0"/>
        <v>5.0000000000000001E-3</v>
      </c>
      <c r="G97" s="25"/>
      <c r="H97" s="122">
        <f>'Items B &amp; C'!Q40</f>
        <v>1.0053193907915892</v>
      </c>
      <c r="I97" s="122">
        <f>'Items B &amp; C'!R40</f>
        <v>1.0050233844161827</v>
      </c>
      <c r="J97" s="20">
        <f t="shared" ref="J97:J99" si="2">J96*H97</f>
        <v>1.0110821405201842</v>
      </c>
      <c r="K97" s="20">
        <f t="shared" si="1"/>
        <v>1.0104491606733912</v>
      </c>
      <c r="L97" s="25">
        <f>(I97-1)*360/(C97-C96)</f>
        <v>6.2359254821577892E-2</v>
      </c>
      <c r="N97" s="25"/>
      <c r="O97" s="19"/>
      <c r="P97" s="17"/>
      <c r="R97" s="17"/>
      <c r="S97" s="25"/>
      <c r="T97" s="18"/>
    </row>
    <row r="98" spans="2:20" x14ac:dyDescent="0.4">
      <c r="B98" t="s">
        <v>115</v>
      </c>
      <c r="C98" s="75">
        <v>45382</v>
      </c>
      <c r="E98" s="80">
        <f t="shared" si="0"/>
        <v>5.5999999999999999E-3</v>
      </c>
      <c r="F98" s="80">
        <f t="shared" si="0"/>
        <v>5.3E-3</v>
      </c>
      <c r="G98" s="25"/>
      <c r="H98" s="122">
        <f>'Items B &amp; C'!Q41</f>
        <v>1.0056145912133387</v>
      </c>
      <c r="I98" s="122">
        <f>'Items B &amp; C'!R41</f>
        <v>1.0053060073531912</v>
      </c>
      <c r="J98" s="20">
        <f t="shared" si="2"/>
        <v>1.0167589534223125</v>
      </c>
      <c r="K98" s="20">
        <f t="shared" si="1"/>
        <v>1.0158106113499501</v>
      </c>
      <c r="L98" s="25">
        <f>(I98-1)*360/(C98-C97)</f>
        <v>6.1618149908026838E-2</v>
      </c>
      <c r="N98" s="25"/>
      <c r="O98" s="19"/>
      <c r="P98" s="17"/>
      <c r="R98" s="17"/>
      <c r="S98" s="25"/>
      <c r="T98" s="18"/>
    </row>
    <row r="99" spans="2:20" ht="15" thickBot="1" x14ac:dyDescent="0.45">
      <c r="B99" t="s">
        <v>116</v>
      </c>
      <c r="C99" s="75">
        <v>45382</v>
      </c>
      <c r="E99" s="94">
        <f>ROUND((J99/J95)-1,4)</f>
        <v>1.6799999999999999E-2</v>
      </c>
      <c r="F99" s="94">
        <f>ROUND((K99/K95)-1,4)</f>
        <v>1.5800000000000002E-2</v>
      </c>
      <c r="G99" s="25"/>
      <c r="H99" s="65">
        <v>1</v>
      </c>
      <c r="I99" s="65">
        <v>1</v>
      </c>
      <c r="J99" s="65">
        <f t="shared" si="2"/>
        <v>1.0167589534223125</v>
      </c>
      <c r="K99" s="65">
        <f t="shared" si="1"/>
        <v>1.0158106113499501</v>
      </c>
      <c r="L99" s="25"/>
      <c r="N99" s="25"/>
      <c r="O99" s="19"/>
      <c r="R99" s="17"/>
      <c r="S99" s="25"/>
      <c r="T99" s="18"/>
    </row>
    <row r="100" spans="2:20" ht="15" thickTop="1" x14ac:dyDescent="0.4">
      <c r="B100" t="s">
        <v>117</v>
      </c>
      <c r="C100" s="75"/>
      <c r="E100" s="80"/>
      <c r="F100" s="80"/>
      <c r="G100" s="25"/>
      <c r="H100" s="122">
        <f>'Items B &amp; C'!Q42</f>
        <v>1</v>
      </c>
      <c r="I100" s="122">
        <f>'Items B &amp; C'!R42</f>
        <v>1</v>
      </c>
      <c r="J100" s="20">
        <f>J99*H100</f>
        <v>1.0167589534223125</v>
      </c>
      <c r="K100" s="20">
        <f t="shared" si="1"/>
        <v>1.0158106113499501</v>
      </c>
      <c r="L100" s="25" t="str">
        <f>IF(F100,(I100-1)*360/(C100-C99),"")</f>
        <v/>
      </c>
      <c r="N100" s="25"/>
      <c r="O100" s="19"/>
      <c r="R100" s="17"/>
      <c r="S100" s="25"/>
      <c r="T100" s="18"/>
    </row>
    <row r="101" spans="2:20" x14ac:dyDescent="0.4">
      <c r="B101" t="s">
        <v>118</v>
      </c>
      <c r="C101" s="75"/>
      <c r="E101" s="80"/>
      <c r="F101" s="80"/>
      <c r="G101" s="25"/>
      <c r="H101" s="122">
        <f>'Items B &amp; C'!Q43</f>
        <v>1</v>
      </c>
      <c r="I101" s="122">
        <f>'Items B &amp; C'!R43</f>
        <v>1</v>
      </c>
      <c r="J101" s="20">
        <f t="shared" ref="J101:J107" si="3">J100*H101</f>
        <v>1.0167589534223125</v>
      </c>
      <c r="K101" s="20">
        <f t="shared" si="1"/>
        <v>1.0158106113499501</v>
      </c>
      <c r="L101" s="25" t="str">
        <f t="shared" ref="L101:L110" si="4">IF(F101,(I101-1)*360/(C101-C100),"")</f>
        <v/>
      </c>
      <c r="N101" s="25"/>
      <c r="O101" s="19"/>
      <c r="P101" s="17"/>
      <c r="R101" s="17"/>
      <c r="S101" s="25"/>
      <c r="T101" s="18"/>
    </row>
    <row r="102" spans="2:20" x14ac:dyDescent="0.4">
      <c r="B102" t="s">
        <v>119</v>
      </c>
      <c r="C102" s="75"/>
      <c r="E102" s="80"/>
      <c r="F102" s="80"/>
      <c r="G102" s="25"/>
      <c r="H102" s="122">
        <f>'Items B &amp; C'!Q44</f>
        <v>1</v>
      </c>
      <c r="I102" s="122">
        <f>'Items B &amp; C'!R44</f>
        <v>1</v>
      </c>
      <c r="J102" s="20">
        <f t="shared" si="3"/>
        <v>1.0167589534223125</v>
      </c>
      <c r="K102" s="20">
        <f t="shared" si="1"/>
        <v>1.0158106113499501</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1.0167589534223125</v>
      </c>
      <c r="K103" s="65">
        <f t="shared" si="1"/>
        <v>1.0158106113499501</v>
      </c>
      <c r="L103" s="25"/>
      <c r="N103" s="25"/>
      <c r="O103" s="19"/>
      <c r="R103" s="17"/>
      <c r="S103" s="25"/>
      <c r="T103" s="18"/>
    </row>
    <row r="104" spans="2:20" ht="15" thickTop="1" x14ac:dyDescent="0.4">
      <c r="B104" t="s">
        <v>121</v>
      </c>
      <c r="C104" s="75"/>
      <c r="E104" s="80"/>
      <c r="F104" s="80"/>
      <c r="G104" s="25"/>
      <c r="H104" s="122">
        <f>'Items B &amp; C'!Q45</f>
        <v>1</v>
      </c>
      <c r="I104" s="122">
        <f>'Items B &amp; C'!R45</f>
        <v>1</v>
      </c>
      <c r="J104" s="20">
        <f t="shared" si="3"/>
        <v>1.0167589534223125</v>
      </c>
      <c r="K104" s="20">
        <f t="shared" si="1"/>
        <v>1.0158106113499501</v>
      </c>
      <c r="L104" s="25" t="str">
        <f t="shared" si="4"/>
        <v/>
      </c>
      <c r="N104" s="25"/>
      <c r="O104" s="19"/>
      <c r="P104" s="17"/>
      <c r="R104" s="17"/>
      <c r="S104" s="25"/>
      <c r="T104" s="18"/>
    </row>
    <row r="105" spans="2:20" x14ac:dyDescent="0.4">
      <c r="B105" t="s">
        <v>122</v>
      </c>
      <c r="C105" s="75"/>
      <c r="E105" s="80"/>
      <c r="F105" s="80"/>
      <c r="G105" s="25"/>
      <c r="H105" s="122">
        <f>'Items B &amp; C'!Q46</f>
        <v>1</v>
      </c>
      <c r="I105" s="122">
        <f>'Items B &amp; C'!R46</f>
        <v>1</v>
      </c>
      <c r="J105" s="20">
        <f t="shared" si="3"/>
        <v>1.0167589534223125</v>
      </c>
      <c r="K105" s="20">
        <f t="shared" si="1"/>
        <v>1.0158106113499501</v>
      </c>
      <c r="L105" s="25" t="str">
        <f t="shared" si="4"/>
        <v/>
      </c>
      <c r="N105" s="25"/>
      <c r="O105" s="19"/>
      <c r="R105" s="17"/>
      <c r="S105" s="25"/>
      <c r="T105" s="18"/>
    </row>
    <row r="106" spans="2:20" x14ac:dyDescent="0.4">
      <c r="B106" t="s">
        <v>123</v>
      </c>
      <c r="C106" s="75"/>
      <c r="E106" s="80"/>
      <c r="F106" s="80"/>
      <c r="G106" s="25"/>
      <c r="H106" s="122">
        <f>'Items B &amp; C'!Q47</f>
        <v>1</v>
      </c>
      <c r="I106" s="122">
        <f>'Items B &amp; C'!R47</f>
        <v>1</v>
      </c>
      <c r="J106" s="20">
        <f t="shared" si="3"/>
        <v>1.0167589534223125</v>
      </c>
      <c r="K106" s="20">
        <f t="shared" si="1"/>
        <v>1.0158106113499501</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1.0167589534223125</v>
      </c>
      <c r="K107" s="65">
        <f t="shared" si="1"/>
        <v>1.0158106113499501</v>
      </c>
      <c r="L107" s="25"/>
      <c r="N107" s="25"/>
      <c r="O107" s="19"/>
      <c r="P107" s="17"/>
      <c r="R107" s="17"/>
      <c r="S107" s="25"/>
      <c r="T107" s="18"/>
    </row>
    <row r="108" spans="2:20" ht="15" thickTop="1" x14ac:dyDescent="0.4">
      <c r="B108" t="s">
        <v>125</v>
      </c>
      <c r="C108" s="75"/>
      <c r="E108" s="80"/>
      <c r="F108" s="80"/>
      <c r="G108" s="25"/>
      <c r="H108" s="122">
        <f>'Items B &amp; C'!Q48</f>
        <v>1</v>
      </c>
      <c r="I108" s="122">
        <f>'Items B &amp; C'!R48</f>
        <v>1</v>
      </c>
      <c r="J108" s="20">
        <f>J107*H108</f>
        <v>1.0167589534223125</v>
      </c>
      <c r="K108" s="20">
        <f t="shared" ref="K108:K110" si="5">K107*I108</f>
        <v>1.0158106113499501</v>
      </c>
      <c r="L108" s="25" t="str">
        <f t="shared" si="4"/>
        <v/>
      </c>
    </row>
    <row r="109" spans="2:20" x14ac:dyDescent="0.4">
      <c r="B109" t="s">
        <v>126</v>
      </c>
      <c r="C109" s="75"/>
      <c r="E109" s="80"/>
      <c r="F109" s="80"/>
      <c r="G109" s="25"/>
      <c r="H109" s="122">
        <f>'Items B &amp; C'!Q49</f>
        <v>1</v>
      </c>
      <c r="I109" s="122">
        <f>'Items B &amp; C'!R49</f>
        <v>1</v>
      </c>
      <c r="J109" s="20">
        <f t="shared" ref="J109:J110" si="6">J108*H109</f>
        <v>1.0167589534223125</v>
      </c>
      <c r="K109" s="20">
        <f t="shared" si="5"/>
        <v>1.0158106113499501</v>
      </c>
      <c r="L109" s="25" t="str">
        <f t="shared" si="4"/>
        <v/>
      </c>
    </row>
    <row r="110" spans="2:20" x14ac:dyDescent="0.4">
      <c r="B110" t="s">
        <v>127</v>
      </c>
      <c r="C110" s="75"/>
      <c r="E110" s="80"/>
      <c r="F110" s="80"/>
      <c r="G110" s="25"/>
      <c r="H110" s="122">
        <f>'Items B &amp; C'!Q50</f>
        <v>1</v>
      </c>
      <c r="I110" s="122">
        <f>'Items B &amp; C'!R50</f>
        <v>1</v>
      </c>
      <c r="J110" s="20">
        <f t="shared" si="6"/>
        <v>1.0167589534223125</v>
      </c>
      <c r="K110" s="20">
        <f t="shared" si="5"/>
        <v>1.0158106113499501</v>
      </c>
      <c r="L110" s="25" t="str">
        <f t="shared" si="4"/>
        <v/>
      </c>
    </row>
    <row r="111" spans="2:20" ht="15" thickBot="1" x14ac:dyDescent="0.45">
      <c r="B111" t="s">
        <v>128</v>
      </c>
      <c r="C111" s="75"/>
      <c r="E111" s="94"/>
      <c r="F111" s="94"/>
      <c r="G111" s="62"/>
      <c r="H111" s="65">
        <v>1</v>
      </c>
      <c r="I111" s="65">
        <v>1</v>
      </c>
      <c r="J111" s="65">
        <f t="shared" ref="J111:K112" si="7">J110*H111</f>
        <v>1.0167589534223125</v>
      </c>
      <c r="K111" s="65">
        <f t="shared" si="7"/>
        <v>1.0158106113499501</v>
      </c>
    </row>
    <row r="112" spans="2:20" ht="15" thickTop="1" x14ac:dyDescent="0.4">
      <c r="B112" t="s">
        <v>129</v>
      </c>
      <c r="C112" s="75"/>
      <c r="D112" s="67"/>
      <c r="E112" s="80"/>
      <c r="F112" s="80"/>
      <c r="G112" s="62"/>
      <c r="H112" s="65">
        <v>1</v>
      </c>
      <c r="I112" s="65">
        <v>1</v>
      </c>
      <c r="J112" s="65">
        <f t="shared" si="7"/>
        <v>1.0167589534223125</v>
      </c>
      <c r="K112" s="65">
        <f t="shared" si="7"/>
        <v>1.0158106113499501</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s="11" t="s">
        <v>408</v>
      </c>
      <c r="B1" s="7" t="s">
        <v>34</v>
      </c>
    </row>
    <row r="2" spans="1:3" x14ac:dyDescent="0.4">
      <c r="B2" s="1" t="s">
        <v>50</v>
      </c>
    </row>
    <row r="4" spans="1:3" x14ac:dyDescent="0.4">
      <c r="B4" s="5" t="s">
        <v>51</v>
      </c>
    </row>
    <row r="5" spans="1:3" x14ac:dyDescent="0.4">
      <c r="B5" s="5"/>
    </row>
    <row r="6" spans="1:3" x14ac:dyDescent="0.4">
      <c r="B6" s="10" t="s">
        <v>66</v>
      </c>
      <c r="C6" s="37" t="s">
        <v>406</v>
      </c>
    </row>
    <row r="7" spans="1:3" x14ac:dyDescent="0.4">
      <c r="B7" s="10" t="s">
        <v>35</v>
      </c>
      <c r="C7" s="44" t="s">
        <v>408</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C'!O15</f>
        <v>522659000</v>
      </c>
      <c r="E35" s="1" t="s">
        <v>48</v>
      </c>
    </row>
    <row r="36" spans="2:5" x14ac:dyDescent="0.4">
      <c r="B36" t="s">
        <v>70</v>
      </c>
      <c r="C36" s="77">
        <f>'Items B &amp; C'!P15</f>
        <v>509318000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C'!AB15</f>
        <v>44715000</v>
      </c>
      <c r="D60" s="66"/>
      <c r="E60" s="79">
        <f>'Items B &amp; C'!AD15</f>
        <v>477944000</v>
      </c>
      <c r="F60" s="79">
        <f>'Items B &amp; C'!AE15</f>
        <v>0</v>
      </c>
      <c r="G60" s="79">
        <f>'Items B &amp; C'!AF15</f>
        <v>0</v>
      </c>
      <c r="N60" s="24"/>
    </row>
    <row r="61" spans="2:14" x14ac:dyDescent="0.4">
      <c r="B61" t="s">
        <v>79</v>
      </c>
      <c r="C61" s="79">
        <f>'Items B &amp; C'!AG15</f>
        <v>260000</v>
      </c>
      <c r="D61" s="66"/>
      <c r="E61" s="79">
        <f>'Items B &amp; C'!AI15</f>
        <v>0</v>
      </c>
      <c r="F61" s="79">
        <f>'Items B &amp; C'!AJ15</f>
        <v>0</v>
      </c>
      <c r="G61" s="79">
        <f>'Items B &amp; C'!AK15</f>
        <v>13081000</v>
      </c>
      <c r="N61" s="24"/>
    </row>
    <row r="64" spans="2:14" x14ac:dyDescent="0.4">
      <c r="B64" t="s">
        <v>88</v>
      </c>
      <c r="E64" s="1" t="s">
        <v>86</v>
      </c>
    </row>
    <row r="65" spans="2:5" x14ac:dyDescent="0.4">
      <c r="B65" t="s">
        <v>85</v>
      </c>
      <c r="C65" s="81">
        <f>'Items B &amp; C'!M54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C'!M56</f>
        <v>0</v>
      </c>
    </row>
    <row r="71" spans="2:5" x14ac:dyDescent="0.4">
      <c r="B71" t="s">
        <v>91</v>
      </c>
      <c r="C71" s="81">
        <f>'Items B &amp; C'!M57</f>
        <v>0</v>
      </c>
    </row>
    <row r="72" spans="2:5" x14ac:dyDescent="0.4">
      <c r="B72" t="s">
        <v>92</v>
      </c>
      <c r="C72" s="81">
        <f>'Items B &amp; C'!M58</f>
        <v>0</v>
      </c>
    </row>
    <row r="73" spans="2:5" x14ac:dyDescent="0.4">
      <c r="B73" t="s">
        <v>93</v>
      </c>
      <c r="C73" s="81">
        <f>'Items B &amp; C'!M59</f>
        <v>16</v>
      </c>
      <c r="E73" s="1" t="s">
        <v>103</v>
      </c>
    </row>
    <row r="74" spans="2:5" x14ac:dyDescent="0.4">
      <c r="B74" t="s">
        <v>94</v>
      </c>
      <c r="C74" s="81">
        <f>'Items B &amp; C'!M60</f>
        <v>0</v>
      </c>
      <c r="E74" s="1" t="s">
        <v>104</v>
      </c>
    </row>
    <row r="75" spans="2:5" x14ac:dyDescent="0.4">
      <c r="B75" t="s">
        <v>95</v>
      </c>
      <c r="C75" s="81">
        <f>'Items B &amp; C'!M61</f>
        <v>0</v>
      </c>
      <c r="E75" s="1" t="s">
        <v>105</v>
      </c>
    </row>
    <row r="76" spans="2:5" x14ac:dyDescent="0.4">
      <c r="B76" t="s">
        <v>96</v>
      </c>
      <c r="C76" s="81">
        <f>'Items B &amp; C'!M62</f>
        <v>64</v>
      </c>
      <c r="E76" s="1" t="s">
        <v>106</v>
      </c>
    </row>
    <row r="77" spans="2:5" x14ac:dyDescent="0.4">
      <c r="B77" t="s">
        <v>97</v>
      </c>
      <c r="C77" s="81">
        <f>'Items B &amp; C'!M63</f>
        <v>0</v>
      </c>
    </row>
    <row r="78" spans="2:5" x14ac:dyDescent="0.4">
      <c r="B78" t="s">
        <v>98</v>
      </c>
      <c r="C78" s="81">
        <f>'Items B &amp; C'!M64</f>
        <v>0</v>
      </c>
    </row>
    <row r="79" spans="2:5" x14ac:dyDescent="0.4">
      <c r="B79" t="s">
        <v>101</v>
      </c>
      <c r="C79" s="81">
        <f>'Items B &amp; C'!M65</f>
        <v>0</v>
      </c>
    </row>
    <row r="80" spans="2:5" x14ac:dyDescent="0.4">
      <c r="B80" t="s">
        <v>99</v>
      </c>
      <c r="C80" s="81">
        <f>'Items B &amp; C'!M66</f>
        <v>20</v>
      </c>
    </row>
    <row r="81" spans="2:20" x14ac:dyDescent="0.4">
      <c r="B81" t="s">
        <v>100</v>
      </c>
      <c r="C81" s="81">
        <f>'Items B &amp; C'!M67</f>
        <v>0</v>
      </c>
    </row>
    <row r="82" spans="2:20" x14ac:dyDescent="0.4">
      <c r="B82" t="s">
        <v>102</v>
      </c>
      <c r="C82" s="81">
        <f>'Items B &amp; C'!M68</f>
        <v>0</v>
      </c>
    </row>
    <row r="83" spans="2:20" x14ac:dyDescent="0.4">
      <c r="B83" t="s">
        <v>152</v>
      </c>
      <c r="C83" s="81">
        <f>'Items B &amp; C'!M69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45322</v>
      </c>
      <c r="E96" s="80">
        <f t="shared" ref="E96:F98" si="0">ROUND(H96-1,4)</f>
        <v>5.8999999999999999E-3</v>
      </c>
      <c r="F96" s="80">
        <f t="shared" si="0"/>
        <v>5.5999999999999999E-3</v>
      </c>
      <c r="G96" s="25"/>
      <c r="H96" s="122">
        <f>'Items B &amp; C'!S39</f>
        <v>1.0058955794609765</v>
      </c>
      <c r="I96" s="122">
        <f>'Items B &amp; C'!T39</f>
        <v>1.0056147400495008</v>
      </c>
      <c r="J96" s="20">
        <f>J95*H96</f>
        <v>1.0058955794609765</v>
      </c>
      <c r="K96" s="20">
        <f t="shared" ref="K96:K107" si="1">K95*I96</f>
        <v>1.0056147400495008</v>
      </c>
      <c r="L96" s="25">
        <f>(I96-1)*360/31</f>
        <v>6.5203432832912508E-2</v>
      </c>
      <c r="N96" s="25"/>
      <c r="O96" s="19"/>
      <c r="P96" s="17"/>
      <c r="R96" s="17"/>
      <c r="S96" s="25"/>
      <c r="T96" s="18"/>
    </row>
    <row r="97" spans="2:20" x14ac:dyDescent="0.4">
      <c r="B97" t="s">
        <v>114</v>
      </c>
      <c r="C97" s="75">
        <v>45351</v>
      </c>
      <c r="E97" s="80">
        <f t="shared" si="0"/>
        <v>5.4999999999999997E-3</v>
      </c>
      <c r="F97" s="80">
        <f t="shared" si="0"/>
        <v>5.1999999999999998E-3</v>
      </c>
      <c r="G97" s="25"/>
      <c r="H97" s="122">
        <f>'Items B &amp; C'!S40</f>
        <v>1.0054567407757811</v>
      </c>
      <c r="I97" s="122">
        <f>'Items B &amp; C'!T40</f>
        <v>1.0052172706828753</v>
      </c>
      <c r="J97" s="20">
        <f t="shared" ref="J97:J99" si="2">J96*H97</f>
        <v>1.0113844908855991</v>
      </c>
      <c r="K97" s="20">
        <f t="shared" si="1"/>
        <v>1.0108613043510282</v>
      </c>
      <c r="L97" s="25">
        <f>(I97-1)*360/(C97-C96)</f>
        <v>6.4766118821899685E-2</v>
      </c>
      <c r="N97" s="25"/>
      <c r="O97" s="19"/>
      <c r="P97" s="17"/>
      <c r="R97" s="17"/>
      <c r="S97" s="25"/>
      <c r="T97" s="18"/>
    </row>
    <row r="98" spans="2:20" x14ac:dyDescent="0.4">
      <c r="B98" t="s">
        <v>115</v>
      </c>
      <c r="C98" s="75">
        <v>45382</v>
      </c>
      <c r="E98" s="80">
        <f t="shared" si="0"/>
        <v>5.7999999999999996E-3</v>
      </c>
      <c r="F98" s="80">
        <f t="shared" si="0"/>
        <v>5.4999999999999997E-3</v>
      </c>
      <c r="G98" s="25"/>
      <c r="H98" s="122">
        <f>'Items B &amp; C'!S41</f>
        <v>1.0058162468211154</v>
      </c>
      <c r="I98" s="122">
        <f>'Items B &amp; C'!T41</f>
        <v>1.0055440287263882</v>
      </c>
      <c r="J98" s="20">
        <f t="shared" si="2"/>
        <v>1.0172669527156379</v>
      </c>
      <c r="K98" s="20">
        <f t="shared" si="1"/>
        <v>1.0164655484607446</v>
      </c>
      <c r="L98" s="25">
        <f>(I98-1)*360/(C98-C97)</f>
        <v>6.4382269080636587E-2</v>
      </c>
      <c r="N98" s="25"/>
      <c r="O98" s="19"/>
      <c r="P98" s="17"/>
      <c r="R98" s="17"/>
      <c r="S98" s="25"/>
      <c r="T98" s="18"/>
    </row>
    <row r="99" spans="2:20" ht="15" thickBot="1" x14ac:dyDescent="0.45">
      <c r="B99" t="s">
        <v>116</v>
      </c>
      <c r="C99" s="75">
        <v>45382</v>
      </c>
      <c r="E99" s="94">
        <f>ROUND((J99/J95)-1,4)</f>
        <v>1.7299999999999999E-2</v>
      </c>
      <c r="F99" s="94">
        <f>ROUND((K99/K95)-1,4)</f>
        <v>1.6500000000000001E-2</v>
      </c>
      <c r="G99" s="25"/>
      <c r="H99" s="65">
        <v>1</v>
      </c>
      <c r="I99" s="65">
        <v>1</v>
      </c>
      <c r="J99" s="65">
        <f t="shared" si="2"/>
        <v>1.0172669527156379</v>
      </c>
      <c r="K99" s="65">
        <f t="shared" si="1"/>
        <v>1.0164655484607446</v>
      </c>
      <c r="L99" s="25"/>
      <c r="N99" s="25"/>
      <c r="O99" s="19"/>
      <c r="R99" s="17"/>
      <c r="S99" s="25"/>
      <c r="T99" s="18"/>
    </row>
    <row r="100" spans="2:20" ht="15" thickTop="1" x14ac:dyDescent="0.4">
      <c r="B100" t="s">
        <v>117</v>
      </c>
      <c r="C100" s="75"/>
      <c r="E100" s="80"/>
      <c r="F100" s="80"/>
      <c r="G100" s="25"/>
      <c r="H100" s="122">
        <f>'Items B &amp; C'!S42</f>
        <v>1</v>
      </c>
      <c r="I100" s="122">
        <f>'Items B &amp; C'!T42</f>
        <v>1</v>
      </c>
      <c r="J100" s="20">
        <f>J99*H100</f>
        <v>1.0172669527156379</v>
      </c>
      <c r="K100" s="20">
        <f t="shared" si="1"/>
        <v>1.0164655484607446</v>
      </c>
      <c r="L100" s="25" t="str">
        <f>IF(F100,(I100-1)*360/(C100-C99),"")</f>
        <v/>
      </c>
      <c r="N100" s="25"/>
      <c r="O100" s="19"/>
      <c r="R100" s="17"/>
      <c r="S100" s="25"/>
      <c r="T100" s="18"/>
    </row>
    <row r="101" spans="2:20" x14ac:dyDescent="0.4">
      <c r="B101" t="s">
        <v>118</v>
      </c>
      <c r="C101" s="75"/>
      <c r="E101" s="80"/>
      <c r="F101" s="80"/>
      <c r="G101" s="25"/>
      <c r="H101" s="122">
        <f>'Items B &amp; C'!S43</f>
        <v>1</v>
      </c>
      <c r="I101" s="122">
        <f>'Items B &amp; C'!T43</f>
        <v>1</v>
      </c>
      <c r="J101" s="20">
        <f t="shared" ref="J101:J107" si="3">J100*H101</f>
        <v>1.0172669527156379</v>
      </c>
      <c r="K101" s="20">
        <f t="shared" si="1"/>
        <v>1.0164655484607446</v>
      </c>
      <c r="L101" s="25" t="str">
        <f t="shared" ref="L101:L110" si="4">IF(F101,(I101-1)*360/(C101-C100),"")</f>
        <v/>
      </c>
      <c r="N101" s="25"/>
      <c r="O101" s="19"/>
      <c r="P101" s="17"/>
      <c r="R101" s="17"/>
      <c r="S101" s="25"/>
      <c r="T101" s="18"/>
    </row>
    <row r="102" spans="2:20" x14ac:dyDescent="0.4">
      <c r="B102" t="s">
        <v>119</v>
      </c>
      <c r="C102" s="75"/>
      <c r="E102" s="80"/>
      <c r="F102" s="80"/>
      <c r="G102" s="25"/>
      <c r="H102" s="122">
        <f>'Items B &amp; C'!S44</f>
        <v>1</v>
      </c>
      <c r="I102" s="122">
        <f>'Items B &amp; C'!T44</f>
        <v>1</v>
      </c>
      <c r="J102" s="20">
        <f t="shared" si="3"/>
        <v>1.0172669527156379</v>
      </c>
      <c r="K102" s="20">
        <f t="shared" si="1"/>
        <v>1.0164655484607446</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1.0172669527156379</v>
      </c>
      <c r="K103" s="65">
        <f t="shared" si="1"/>
        <v>1.0164655484607446</v>
      </c>
      <c r="L103" s="25"/>
      <c r="N103" s="25"/>
      <c r="O103" s="19"/>
      <c r="R103" s="17"/>
      <c r="S103" s="25"/>
      <c r="T103" s="18"/>
    </row>
    <row r="104" spans="2:20" ht="15" thickTop="1" x14ac:dyDescent="0.4">
      <c r="B104" t="s">
        <v>121</v>
      </c>
      <c r="C104" s="75"/>
      <c r="E104" s="80"/>
      <c r="F104" s="80"/>
      <c r="G104" s="25"/>
      <c r="H104" s="122">
        <f>'Items B &amp; C'!S45</f>
        <v>1</v>
      </c>
      <c r="I104" s="122">
        <f>'Items B &amp; C'!T45</f>
        <v>1</v>
      </c>
      <c r="J104" s="20">
        <f t="shared" si="3"/>
        <v>1.0172669527156379</v>
      </c>
      <c r="K104" s="20">
        <f t="shared" si="1"/>
        <v>1.0164655484607446</v>
      </c>
      <c r="L104" s="25" t="str">
        <f t="shared" si="4"/>
        <v/>
      </c>
      <c r="N104" s="25"/>
      <c r="O104" s="19"/>
      <c r="P104" s="17"/>
      <c r="R104" s="17"/>
      <c r="S104" s="25"/>
      <c r="T104" s="18"/>
    </row>
    <row r="105" spans="2:20" x14ac:dyDescent="0.4">
      <c r="B105" t="s">
        <v>122</v>
      </c>
      <c r="C105" s="75"/>
      <c r="E105" s="80"/>
      <c r="F105" s="80"/>
      <c r="G105" s="25"/>
      <c r="H105" s="122">
        <f>'Items B &amp; C'!S46</f>
        <v>1</v>
      </c>
      <c r="I105" s="122">
        <f>'Items B &amp; C'!T46</f>
        <v>1</v>
      </c>
      <c r="J105" s="20">
        <f t="shared" si="3"/>
        <v>1.0172669527156379</v>
      </c>
      <c r="K105" s="20">
        <f t="shared" si="1"/>
        <v>1.0164655484607446</v>
      </c>
      <c r="L105" s="25" t="str">
        <f t="shared" si="4"/>
        <v/>
      </c>
      <c r="N105" s="25"/>
      <c r="O105" s="19"/>
      <c r="R105" s="17"/>
      <c r="S105" s="25"/>
      <c r="T105" s="18"/>
    </row>
    <row r="106" spans="2:20" x14ac:dyDescent="0.4">
      <c r="B106" t="s">
        <v>123</v>
      </c>
      <c r="C106" s="75"/>
      <c r="E106" s="80"/>
      <c r="F106" s="80"/>
      <c r="G106" s="25"/>
      <c r="H106" s="122">
        <f>'Items B &amp; C'!S47</f>
        <v>1</v>
      </c>
      <c r="I106" s="122">
        <f>'Items B &amp; C'!T47</f>
        <v>1</v>
      </c>
      <c r="J106" s="20">
        <f t="shared" si="3"/>
        <v>1.0172669527156379</v>
      </c>
      <c r="K106" s="20">
        <f t="shared" si="1"/>
        <v>1.0164655484607446</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1.0172669527156379</v>
      </c>
      <c r="K107" s="65">
        <f t="shared" si="1"/>
        <v>1.0164655484607446</v>
      </c>
      <c r="L107" s="25"/>
      <c r="N107" s="25"/>
      <c r="O107" s="19"/>
      <c r="P107" s="17"/>
      <c r="R107" s="17"/>
      <c r="S107" s="25"/>
      <c r="T107" s="18"/>
    </row>
    <row r="108" spans="2:20" ht="15" thickTop="1" x14ac:dyDescent="0.4">
      <c r="B108" t="s">
        <v>125</v>
      </c>
      <c r="C108" s="75"/>
      <c r="E108" s="80"/>
      <c r="F108" s="80"/>
      <c r="G108" s="25"/>
      <c r="H108" s="122">
        <f>'Items B &amp; C'!S48</f>
        <v>1</v>
      </c>
      <c r="I108" s="122">
        <f>'Items B &amp; C'!T48</f>
        <v>1</v>
      </c>
      <c r="J108" s="20">
        <f>J107*H108</f>
        <v>1.0172669527156379</v>
      </c>
      <c r="K108" s="20">
        <f t="shared" ref="K108:K110" si="5">K107*I108</f>
        <v>1.0164655484607446</v>
      </c>
      <c r="L108" s="25" t="str">
        <f t="shared" si="4"/>
        <v/>
      </c>
    </row>
    <row r="109" spans="2:20" x14ac:dyDescent="0.4">
      <c r="B109" t="s">
        <v>126</v>
      </c>
      <c r="C109" s="75"/>
      <c r="E109" s="80"/>
      <c r="F109" s="80"/>
      <c r="G109" s="25"/>
      <c r="H109" s="122">
        <f>'Items B &amp; C'!S49</f>
        <v>1</v>
      </c>
      <c r="I109" s="122">
        <f>'Items B &amp; C'!T49</f>
        <v>1</v>
      </c>
      <c r="J109" s="20">
        <f t="shared" ref="J109:J110" si="6">J108*H109</f>
        <v>1.0172669527156379</v>
      </c>
      <c r="K109" s="20">
        <f t="shared" si="5"/>
        <v>1.0164655484607446</v>
      </c>
      <c r="L109" s="25" t="str">
        <f t="shared" si="4"/>
        <v/>
      </c>
    </row>
    <row r="110" spans="2:20" x14ac:dyDescent="0.4">
      <c r="B110" t="s">
        <v>127</v>
      </c>
      <c r="C110" s="75"/>
      <c r="E110" s="80"/>
      <c r="F110" s="80"/>
      <c r="G110" s="25"/>
      <c r="H110" s="122">
        <f>'Items B &amp; C'!S50</f>
        <v>1</v>
      </c>
      <c r="I110" s="122">
        <f>'Items B &amp; C'!T50</f>
        <v>1</v>
      </c>
      <c r="J110" s="20">
        <f t="shared" si="6"/>
        <v>1.0172669527156379</v>
      </c>
      <c r="K110" s="20">
        <f t="shared" si="5"/>
        <v>1.0164655484607446</v>
      </c>
      <c r="L110" s="25" t="str">
        <f t="shared" si="4"/>
        <v/>
      </c>
    </row>
    <row r="111" spans="2:20" ht="15" thickBot="1" x14ac:dyDescent="0.45">
      <c r="B111" t="s">
        <v>128</v>
      </c>
      <c r="C111" s="75"/>
      <c r="E111" s="94"/>
      <c r="F111" s="94"/>
      <c r="G111" s="62"/>
      <c r="H111" s="65">
        <v>1</v>
      </c>
      <c r="I111" s="65">
        <v>1</v>
      </c>
      <c r="J111" s="65">
        <f t="shared" ref="J111:K112" si="7">J110*H111</f>
        <v>1.0172669527156379</v>
      </c>
      <c r="K111" s="65">
        <f t="shared" si="7"/>
        <v>1.0164655484607446</v>
      </c>
    </row>
    <row r="112" spans="2:20" ht="15" thickTop="1" x14ac:dyDescent="0.4">
      <c r="B112" t="s">
        <v>129</v>
      </c>
      <c r="C112" s="75"/>
      <c r="D112" s="67"/>
      <c r="E112" s="80"/>
      <c r="F112" s="80"/>
      <c r="G112" s="62"/>
      <c r="H112" s="65">
        <v>1</v>
      </c>
      <c r="I112" s="65">
        <v>1</v>
      </c>
      <c r="J112" s="65">
        <f t="shared" si="7"/>
        <v>1.0172669527156379</v>
      </c>
      <c r="K112" s="65">
        <f t="shared" si="7"/>
        <v>1.0164655484607446</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tabSelected="1" workbookViewId="0"/>
  </sheetViews>
  <sheetFormatPr defaultRowHeight="14.6" x14ac:dyDescent="0.4"/>
  <cols>
    <col min="2" max="2" width="12.84375" customWidth="1"/>
    <col min="3" max="3" width="104.23046875" customWidth="1"/>
  </cols>
  <sheetData>
    <row r="3" spans="2:3" x14ac:dyDescent="0.4">
      <c r="B3" t="s">
        <v>157</v>
      </c>
    </row>
    <row r="4" spans="2:3" x14ac:dyDescent="0.4">
      <c r="B4" t="s">
        <v>158</v>
      </c>
    </row>
    <row r="5" spans="2:3" x14ac:dyDescent="0.4">
      <c r="B5" t="s">
        <v>159</v>
      </c>
    </row>
    <row r="7" spans="2:3" x14ac:dyDescent="0.4">
      <c r="B7" t="s">
        <v>160</v>
      </c>
    </row>
    <row r="9" spans="2:3" x14ac:dyDescent="0.4">
      <c r="B9" s="5" t="s">
        <v>161</v>
      </c>
    </row>
    <row r="10" spans="2:3" ht="58.3" x14ac:dyDescent="0.4">
      <c r="B10" s="5" t="s">
        <v>162</v>
      </c>
      <c r="C10" s="10" t="s">
        <v>163</v>
      </c>
    </row>
    <row r="11" spans="2:3" ht="29.15" x14ac:dyDescent="0.4">
      <c r="C11" s="10" t="s">
        <v>164</v>
      </c>
    </row>
    <row r="12" spans="2:3" x14ac:dyDescent="0.4">
      <c r="C12" s="10"/>
    </row>
    <row r="13" spans="2:3" ht="29.15" x14ac:dyDescent="0.4">
      <c r="B13" s="5" t="s">
        <v>165</v>
      </c>
      <c r="C13" s="10" t="s">
        <v>166</v>
      </c>
    </row>
    <row r="14" spans="2:3" x14ac:dyDescent="0.4">
      <c r="C14" s="10"/>
    </row>
    <row r="15" spans="2:3" ht="43.75" x14ac:dyDescent="0.4">
      <c r="B15" t="s">
        <v>167</v>
      </c>
      <c r="C15" s="10" t="s">
        <v>168</v>
      </c>
    </row>
    <row r="16" spans="2:3" ht="43.75" x14ac:dyDescent="0.4">
      <c r="C16" s="10" t="s">
        <v>169</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148</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37" t="s">
        <v>147</v>
      </c>
    </row>
    <row r="18" spans="2:4" x14ac:dyDescent="0.4">
      <c r="C18" t="s">
        <v>178</v>
      </c>
      <c r="D18" s="37" t="s">
        <v>148</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8" x14ac:dyDescent="0.4">
      <c r="B33" s="5"/>
      <c r="C33" s="10"/>
    </row>
    <row r="34" spans="2:8" x14ac:dyDescent="0.4">
      <c r="B34">
        <v>55</v>
      </c>
      <c r="C34" t="s">
        <v>200</v>
      </c>
    </row>
    <row r="35" spans="2:8" x14ac:dyDescent="0.4">
      <c r="C35" s="10"/>
      <c r="D35" s="2" t="s">
        <v>188</v>
      </c>
      <c r="E35" s="2" t="s">
        <v>189</v>
      </c>
      <c r="F35" s="2" t="s">
        <v>190</v>
      </c>
    </row>
    <row r="36" spans="2:8" x14ac:dyDescent="0.4">
      <c r="C36" s="10" t="s">
        <v>191</v>
      </c>
      <c r="D36" s="69">
        <f>'Items B &amp; C'!AP9</f>
        <v>72243000</v>
      </c>
      <c r="E36" s="69">
        <f>'Items B &amp; C'!AQ9</f>
        <v>122570000</v>
      </c>
      <c r="F36" s="69">
        <f>'Items B &amp; C'!AR9</f>
        <v>122853000</v>
      </c>
      <c r="G36" s="64"/>
    </row>
    <row r="37" spans="2:8" ht="29.15" x14ac:dyDescent="0.4">
      <c r="C37" s="10" t="s">
        <v>192</v>
      </c>
      <c r="D37" s="41" t="s">
        <v>379</v>
      </c>
      <c r="E37" s="41" t="s">
        <v>379</v>
      </c>
      <c r="F37" s="41" t="s">
        <v>379</v>
      </c>
    </row>
    <row r="38" spans="2:8" ht="29.15" x14ac:dyDescent="0.4">
      <c r="C38" s="10" t="s">
        <v>193</v>
      </c>
      <c r="D38" s="41" t="s">
        <v>379</v>
      </c>
      <c r="E38" s="41" t="s">
        <v>379</v>
      </c>
      <c r="F38" s="41" t="s">
        <v>379</v>
      </c>
    </row>
    <row r="39" spans="2:8" x14ac:dyDescent="0.4">
      <c r="C39" s="10" t="s">
        <v>194</v>
      </c>
      <c r="D39" s="70">
        <v>9</v>
      </c>
      <c r="E39" s="70">
        <v>9</v>
      </c>
      <c r="F39" s="70">
        <v>13</v>
      </c>
      <c r="G39" s="85" t="s">
        <v>398</v>
      </c>
    </row>
    <row r="40" spans="2:8" x14ac:dyDescent="0.4">
      <c r="C40" s="10" t="s">
        <v>195</v>
      </c>
      <c r="D40" s="70">
        <v>9</v>
      </c>
      <c r="E40" s="70">
        <v>9</v>
      </c>
      <c r="F40" s="70">
        <v>13</v>
      </c>
      <c r="G40" s="85" t="s">
        <v>398</v>
      </c>
    </row>
    <row r="41" spans="2:8" x14ac:dyDescent="0.4">
      <c r="C41" s="10" t="s">
        <v>196</v>
      </c>
      <c r="D41" s="70">
        <v>4.58E-2</v>
      </c>
      <c r="E41" s="70">
        <v>4.7699999999999999E-2</v>
      </c>
      <c r="F41" s="70">
        <v>4.9000000000000002E-2</v>
      </c>
      <c r="G41" s="85" t="s">
        <v>399</v>
      </c>
    </row>
    <row r="42" spans="2:8" x14ac:dyDescent="0.4">
      <c r="C42" s="10" t="s">
        <v>197</v>
      </c>
      <c r="D42" s="95">
        <v>168818.4</v>
      </c>
      <c r="E42" s="95">
        <v>648617.04</v>
      </c>
      <c r="F42" s="95">
        <v>1293002.44</v>
      </c>
      <c r="G42" s="85" t="s">
        <v>400</v>
      </c>
    </row>
    <row r="43" spans="2:8" x14ac:dyDescent="0.4">
      <c r="C43" s="10" t="s">
        <v>198</v>
      </c>
      <c r="D43" s="95">
        <v>168818.4</v>
      </c>
      <c r="E43" s="95">
        <v>648617.04</v>
      </c>
      <c r="F43" s="95">
        <v>1293002.44</v>
      </c>
      <c r="G43" s="85" t="s">
        <v>401</v>
      </c>
    </row>
    <row r="44" spans="2:8" x14ac:dyDescent="0.4">
      <c r="C44" s="10" t="s">
        <v>199</v>
      </c>
      <c r="D44" s="70">
        <v>0</v>
      </c>
      <c r="E44" s="70">
        <v>0</v>
      </c>
      <c r="F44" s="70">
        <v>0</v>
      </c>
      <c r="G44" s="85"/>
      <c r="H44" t="s">
        <v>407</v>
      </c>
    </row>
    <row r="48" spans="2:8" x14ac:dyDescent="0.4">
      <c r="B48" s="29" t="s">
        <v>201</v>
      </c>
    </row>
    <row r="49" spans="2:8" x14ac:dyDescent="0.4">
      <c r="B49" s="29"/>
    </row>
    <row r="50" spans="2:8" ht="29.15" x14ac:dyDescent="0.4">
      <c r="B50">
        <v>56</v>
      </c>
      <c r="C50" s="10" t="s">
        <v>205</v>
      </c>
      <c r="D50" s="41" t="s">
        <v>150</v>
      </c>
      <c r="E50" s="85" t="s">
        <v>402</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148</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C'!G71</f>
        <v>40.803791453252167</v>
      </c>
      <c r="E9" s="34"/>
      <c r="F9" s="34"/>
      <c r="G9" s="34"/>
      <c r="H9" s="34"/>
    </row>
    <row r="10" spans="1:8" x14ac:dyDescent="0.4">
      <c r="B10" s="34"/>
      <c r="C10" s="36" t="s">
        <v>223</v>
      </c>
      <c r="D10" s="109">
        <f>'Items B &amp; C'!G72</f>
        <v>4</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154</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153</v>
      </c>
    </row>
    <row r="18" spans="2:4" x14ac:dyDescent="0.4">
      <c r="C18" t="s">
        <v>178</v>
      </c>
      <c r="D18" s="44" t="s">
        <v>154</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C'!AP10</f>
        <v>779087000</v>
      </c>
      <c r="E36" s="69">
        <f>'Items B &amp; C'!AQ10</f>
        <v>1031184000</v>
      </c>
      <c r="F36" s="69">
        <f>'Items B &amp; C'!AR10</f>
        <v>858074000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8</v>
      </c>
      <c r="E39" s="70">
        <v>8</v>
      </c>
      <c r="F39" s="70">
        <v>12</v>
      </c>
      <c r="G39" s="85" t="s">
        <v>398</v>
      </c>
    </row>
    <row r="40" spans="2:9" x14ac:dyDescent="0.4">
      <c r="C40" s="10" t="s">
        <v>195</v>
      </c>
      <c r="D40" s="70">
        <v>8</v>
      </c>
      <c r="E40" s="70">
        <v>8</v>
      </c>
      <c r="F40" s="70">
        <v>12</v>
      </c>
      <c r="G40" s="85" t="s">
        <v>398</v>
      </c>
    </row>
    <row r="41" spans="2:9" x14ac:dyDescent="0.4">
      <c r="C41" s="10" t="s">
        <v>196</v>
      </c>
      <c r="D41" s="70">
        <v>5.16E-2</v>
      </c>
      <c r="E41" s="70">
        <v>5.2900000000000003E-2</v>
      </c>
      <c r="F41" s="70">
        <v>5.5E-2</v>
      </c>
      <c r="G41" s="85" t="s">
        <v>399</v>
      </c>
    </row>
    <row r="42" spans="2:9" x14ac:dyDescent="0.4">
      <c r="C42" s="10" t="s">
        <v>197</v>
      </c>
      <c r="D42" s="95">
        <v>60069471.210000001</v>
      </c>
      <c r="E42" s="95">
        <v>141850195.99000001</v>
      </c>
      <c r="F42" s="95">
        <v>35174251.149999999</v>
      </c>
      <c r="G42" s="85" t="s">
        <v>400</v>
      </c>
    </row>
    <row r="43" spans="2:9" x14ac:dyDescent="0.4">
      <c r="C43" s="10" t="s">
        <v>198</v>
      </c>
      <c r="D43" s="95">
        <v>62905836.75</v>
      </c>
      <c r="E43" s="95">
        <v>141850195.99000001</v>
      </c>
      <c r="F43" s="95">
        <v>74678203.159999996</v>
      </c>
      <c r="G43" s="85" t="s">
        <v>401</v>
      </c>
    </row>
    <row r="44" spans="2:9" x14ac:dyDescent="0.4">
      <c r="C44" s="10" t="s">
        <v>199</v>
      </c>
      <c r="D44" s="70">
        <v>0</v>
      </c>
      <c r="E44" s="70">
        <v>0</v>
      </c>
      <c r="F44" s="70">
        <v>0</v>
      </c>
      <c r="H44" s="84" t="s">
        <v>407</v>
      </c>
    </row>
    <row r="45" spans="2:9" x14ac:dyDescent="0.4">
      <c r="H45" s="25"/>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154</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C'!H71</f>
        <v>24.997677474248832</v>
      </c>
      <c r="E9" s="34"/>
      <c r="F9" s="34"/>
      <c r="G9" s="34"/>
      <c r="H9" s="34"/>
    </row>
    <row r="10" spans="1:8" x14ac:dyDescent="0.4">
      <c r="B10" s="34"/>
      <c r="C10" s="36" t="s">
        <v>223</v>
      </c>
      <c r="D10" s="109">
        <f>'Items B &amp; C'!H72</f>
        <v>6</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388</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156</v>
      </c>
    </row>
    <row r="18" spans="2:4" x14ac:dyDescent="0.4">
      <c r="C18" t="s">
        <v>178</v>
      </c>
      <c r="D18" s="44" t="s">
        <v>388</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C'!AP11</f>
        <v>113908000</v>
      </c>
      <c r="E36" s="69">
        <f>'Items B &amp; C'!AQ11</f>
        <v>114442000</v>
      </c>
      <c r="F36" s="69">
        <f>'Items B &amp; C'!AR11</f>
        <v>115016000</v>
      </c>
      <c r="G36" s="64"/>
      <c r="H36" s="64"/>
      <c r="I36" s="64"/>
    </row>
    <row r="37" spans="2:9" ht="29.15" x14ac:dyDescent="0.4">
      <c r="C37" s="10" t="s">
        <v>192</v>
      </c>
      <c r="D37" s="44" t="s">
        <v>379</v>
      </c>
      <c r="E37" s="44" t="s">
        <v>379</v>
      </c>
      <c r="F37" s="44" t="s">
        <v>379</v>
      </c>
    </row>
    <row r="38" spans="2:9" ht="29.15" x14ac:dyDescent="0.4">
      <c r="C38" s="10" t="s">
        <v>193</v>
      </c>
      <c r="D38" s="44" t="s">
        <v>379</v>
      </c>
      <c r="E38" s="44" t="s">
        <v>379</v>
      </c>
      <c r="F38" s="44" t="s">
        <v>379</v>
      </c>
    </row>
    <row r="39" spans="2:9" x14ac:dyDescent="0.4">
      <c r="C39" s="10" t="s">
        <v>194</v>
      </c>
      <c r="D39" s="70">
        <v>8</v>
      </c>
      <c r="E39" s="70">
        <v>8</v>
      </c>
      <c r="F39" s="70">
        <v>12</v>
      </c>
      <c r="G39" s="85" t="s">
        <v>398</v>
      </c>
    </row>
    <row r="40" spans="2:9" x14ac:dyDescent="0.4">
      <c r="C40" s="10" t="s">
        <v>195</v>
      </c>
      <c r="D40" s="70">
        <v>8</v>
      </c>
      <c r="E40" s="70">
        <v>8</v>
      </c>
      <c r="F40" s="70">
        <v>12</v>
      </c>
      <c r="G40" s="85" t="s">
        <v>398</v>
      </c>
    </row>
    <row r="41" spans="2:9" x14ac:dyDescent="0.4">
      <c r="C41" s="10" t="s">
        <v>196</v>
      </c>
      <c r="D41" s="70">
        <v>5.1799999999999999E-2</v>
      </c>
      <c r="E41" s="70">
        <v>5.2900000000000003E-2</v>
      </c>
      <c r="F41" s="70">
        <v>5.5E-2</v>
      </c>
      <c r="G41" s="85" t="s">
        <v>399</v>
      </c>
    </row>
    <row r="42" spans="2:9" x14ac:dyDescent="0.4">
      <c r="C42" s="10" t="s">
        <v>197</v>
      </c>
      <c r="D42" s="70">
        <v>6876921.0499999998</v>
      </c>
      <c r="E42" s="70">
        <v>12776823.23</v>
      </c>
      <c r="F42" s="70">
        <v>3744439.62</v>
      </c>
      <c r="G42" s="85" t="s">
        <v>400</v>
      </c>
    </row>
    <row r="43" spans="2:9" x14ac:dyDescent="0.4">
      <c r="C43" s="10" t="s">
        <v>198</v>
      </c>
      <c r="D43" s="70">
        <v>7232819.9900000002</v>
      </c>
      <c r="E43" s="70">
        <v>12776823.23</v>
      </c>
      <c r="F43" s="70">
        <v>8370668.5300000003</v>
      </c>
      <c r="G43" s="85"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388</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C'!I71</f>
        <v>100</v>
      </c>
      <c r="E9" s="34"/>
      <c r="F9" s="34"/>
      <c r="G9" s="34"/>
      <c r="H9" s="34"/>
    </row>
    <row r="10" spans="1:8" x14ac:dyDescent="0.4">
      <c r="B10" s="34"/>
      <c r="C10" s="36" t="s">
        <v>223</v>
      </c>
      <c r="D10" s="109">
        <f>'Items B &amp; C'!I72</f>
        <v>1</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23046875" bestFit="1" customWidth="1"/>
    <col min="5" max="5" width="16.84375" customWidth="1"/>
    <col min="6" max="6" width="19.15234375" customWidth="1"/>
    <col min="7" max="7" width="15.53515625" customWidth="1"/>
    <col min="8" max="8" width="17.69140625" customWidth="1"/>
  </cols>
  <sheetData>
    <row r="1" spans="1:3" x14ac:dyDescent="0.4">
      <c r="A1" t="s">
        <v>389</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373</v>
      </c>
    </row>
    <row r="18" spans="2:4" x14ac:dyDescent="0.4">
      <c r="C18" t="s">
        <v>178</v>
      </c>
      <c r="D18" s="44" t="s">
        <v>389</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C'!AP12</f>
        <v>511164000</v>
      </c>
      <c r="E36" s="69">
        <f>'Items B &amp; C'!AQ12</f>
        <v>624799000</v>
      </c>
      <c r="F36" s="69">
        <f>'Items B &amp; C'!AR12</f>
        <v>676570000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8</v>
      </c>
      <c r="E39" s="70">
        <v>8</v>
      </c>
      <c r="F39" s="70">
        <v>12</v>
      </c>
      <c r="G39" s="86" t="s">
        <v>398</v>
      </c>
    </row>
    <row r="40" spans="2:9" x14ac:dyDescent="0.4">
      <c r="C40" s="10" t="s">
        <v>195</v>
      </c>
      <c r="D40" s="70">
        <v>8</v>
      </c>
      <c r="E40" s="70">
        <v>8</v>
      </c>
      <c r="F40" s="70">
        <v>12</v>
      </c>
      <c r="G40" s="86" t="s">
        <v>398</v>
      </c>
    </row>
    <row r="41" spans="2:9" x14ac:dyDescent="0.4">
      <c r="C41" s="10" t="s">
        <v>196</v>
      </c>
      <c r="D41" s="70">
        <v>5.2999999999999999E-2</v>
      </c>
      <c r="E41" s="70">
        <v>5.4699999999999999E-2</v>
      </c>
      <c r="F41" s="70">
        <v>5.6500000000000002E-2</v>
      </c>
      <c r="G41" s="86" t="s">
        <v>399</v>
      </c>
    </row>
    <row r="42" spans="2:9" x14ac:dyDescent="0.4">
      <c r="C42" s="10" t="s">
        <v>197</v>
      </c>
      <c r="D42" s="70">
        <v>24160273.73</v>
      </c>
      <c r="E42" s="70">
        <v>31204782.739999998</v>
      </c>
      <c r="F42" s="70">
        <v>9798549.9900000002</v>
      </c>
      <c r="G42" s="86" t="s">
        <v>400</v>
      </c>
    </row>
    <row r="43" spans="2:9" x14ac:dyDescent="0.4">
      <c r="C43" s="10" t="s">
        <v>198</v>
      </c>
      <c r="D43" s="70">
        <v>26953505.149999999</v>
      </c>
      <c r="E43" s="70">
        <v>31204782.739999998</v>
      </c>
      <c r="F43" s="70">
        <v>18206575.259999998</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6" x14ac:dyDescent="0.4"/>
  <cols>
    <col min="3" max="3" width="11.84375" customWidth="1"/>
    <col min="4" max="4" width="14.84375" bestFit="1" customWidth="1"/>
    <col min="7" max="7" width="27.23046875" bestFit="1" customWidth="1"/>
    <col min="8" max="8" width="39.84375" bestFit="1" customWidth="1"/>
  </cols>
  <sheetData>
    <row r="2" spans="3:8" ht="15" thickBot="1" x14ac:dyDescent="0.45">
      <c r="C2" s="108" t="s">
        <v>422</v>
      </c>
      <c r="D2" s="108" t="s">
        <v>423</v>
      </c>
      <c r="G2" s="108" t="s">
        <v>424</v>
      </c>
      <c r="H2" s="108"/>
    </row>
    <row r="3" spans="3:8" ht="15" thickTop="1" x14ac:dyDescent="0.4">
      <c r="C3" t="s">
        <v>351</v>
      </c>
      <c r="D3" t="s">
        <v>148</v>
      </c>
      <c r="G3" t="s">
        <v>21</v>
      </c>
      <c r="H3" t="s">
        <v>425</v>
      </c>
    </row>
    <row r="4" spans="3:8" x14ac:dyDescent="0.4">
      <c r="C4" t="s">
        <v>352</v>
      </c>
      <c r="D4" t="s">
        <v>154</v>
      </c>
      <c r="G4" t="s">
        <v>22</v>
      </c>
      <c r="H4" t="s">
        <v>426</v>
      </c>
    </row>
    <row r="5" spans="3:8" x14ac:dyDescent="0.4">
      <c r="C5" t="s">
        <v>353</v>
      </c>
      <c r="D5" t="s">
        <v>388</v>
      </c>
      <c r="G5" t="s">
        <v>23</v>
      </c>
      <c r="H5" t="s">
        <v>428</v>
      </c>
    </row>
    <row r="6" spans="3:8" x14ac:dyDescent="0.4">
      <c r="C6" t="s">
        <v>354</v>
      </c>
      <c r="D6" t="s">
        <v>390</v>
      </c>
      <c r="G6" t="s">
        <v>24</v>
      </c>
      <c r="H6" t="s">
        <v>429</v>
      </c>
    </row>
    <row r="7" spans="3:8" x14ac:dyDescent="0.4">
      <c r="C7" t="s">
        <v>356</v>
      </c>
      <c r="D7" t="s">
        <v>389</v>
      </c>
      <c r="G7" t="s">
        <v>25</v>
      </c>
      <c r="H7" t="s">
        <v>430</v>
      </c>
    </row>
    <row r="8" spans="3:8" x14ac:dyDescent="0.4">
      <c r="C8" t="s">
        <v>405</v>
      </c>
      <c r="D8" t="s">
        <v>408</v>
      </c>
      <c r="G8" t="s">
        <v>26</v>
      </c>
      <c r="H8" t="s">
        <v>431</v>
      </c>
    </row>
    <row r="9" spans="3:8" x14ac:dyDescent="0.4">
      <c r="C9" t="s">
        <v>395</v>
      </c>
      <c r="D9" t="s">
        <v>397</v>
      </c>
      <c r="G9" t="s">
        <v>27</v>
      </c>
      <c r="H9" t="s">
        <v>427</v>
      </c>
    </row>
    <row r="10" spans="3:8" x14ac:dyDescent="0.4">
      <c r="C10" t="s">
        <v>410</v>
      </c>
      <c r="D10" t="s">
        <v>420</v>
      </c>
      <c r="G10" t="s">
        <v>30</v>
      </c>
    </row>
    <row r="11" spans="3:8" x14ac:dyDescent="0.4">
      <c r="C11" t="s">
        <v>411</v>
      </c>
      <c r="D11" t="s">
        <v>421</v>
      </c>
    </row>
    <row r="12" spans="3:8" x14ac:dyDescent="0.4">
      <c r="C12" t="s">
        <v>432</v>
      </c>
      <c r="D12" t="s">
        <v>409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389</v>
      </c>
    </row>
    <row r="4" spans="1:8" x14ac:dyDescent="0.4">
      <c r="B4" t="s">
        <v>213</v>
      </c>
    </row>
    <row r="5" spans="1:8" x14ac:dyDescent="0.4">
      <c r="B5" s="34">
        <v>58</v>
      </c>
      <c r="C5" s="10" t="s">
        <v>233</v>
      </c>
      <c r="D5" s="41">
        <v>0</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C'!J71</f>
        <v>42.390414137483063</v>
      </c>
      <c r="E9" s="34"/>
      <c r="F9" s="34"/>
      <c r="G9" s="34"/>
      <c r="H9" s="34"/>
    </row>
    <row r="10" spans="1:8" x14ac:dyDescent="0.4">
      <c r="B10" s="34"/>
      <c r="C10" s="36" t="s">
        <v>223</v>
      </c>
      <c r="D10" s="109">
        <f>'Items B &amp; C'!J72</f>
        <v>5</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390</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372</v>
      </c>
    </row>
    <row r="18" spans="2:4" x14ac:dyDescent="0.4">
      <c r="C18" t="s">
        <v>178</v>
      </c>
      <c r="D18" s="44" t="s">
        <v>390</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C'!AP13</f>
        <v>574516000</v>
      </c>
      <c r="E36" s="69">
        <f>'Items B &amp; C'!AQ13</f>
        <v>622427000</v>
      </c>
      <c r="F36" s="69">
        <f>'Items B &amp; C'!AR13</f>
        <v>650925000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52</v>
      </c>
      <c r="E39" s="70">
        <v>39</v>
      </c>
      <c r="F39" s="70">
        <v>11</v>
      </c>
      <c r="G39" s="86" t="s">
        <v>398</v>
      </c>
    </row>
    <row r="40" spans="2:9" x14ac:dyDescent="0.4">
      <c r="C40" s="10" t="s">
        <v>195</v>
      </c>
      <c r="D40" s="70">
        <v>52</v>
      </c>
      <c r="E40" s="70">
        <v>39</v>
      </c>
      <c r="F40" s="70">
        <v>11</v>
      </c>
      <c r="G40" s="86" t="s">
        <v>398</v>
      </c>
    </row>
    <row r="41" spans="2:9" x14ac:dyDescent="0.4">
      <c r="C41" s="10" t="s">
        <v>196</v>
      </c>
      <c r="D41" s="70">
        <v>5.5800000000000002E-2</v>
      </c>
      <c r="E41" s="70">
        <v>5.67E-2</v>
      </c>
      <c r="F41" s="70">
        <v>5.5500000000000001E-2</v>
      </c>
      <c r="G41" s="86" t="s">
        <v>399</v>
      </c>
    </row>
    <row r="42" spans="2:9" x14ac:dyDescent="0.4">
      <c r="C42" s="10" t="s">
        <v>197</v>
      </c>
      <c r="D42" s="95">
        <v>28360413.190000001</v>
      </c>
      <c r="E42" s="95">
        <v>44617813.659999996</v>
      </c>
      <c r="F42" s="95">
        <v>22468972.84</v>
      </c>
      <c r="G42" s="86" t="s">
        <v>400</v>
      </c>
    </row>
    <row r="43" spans="2:9" x14ac:dyDescent="0.4">
      <c r="C43" s="10" t="s">
        <v>198</v>
      </c>
      <c r="D43" s="95">
        <v>31688503.34</v>
      </c>
      <c r="E43" s="95">
        <v>44617813.659999996</v>
      </c>
      <c r="F43" s="95">
        <v>74697620.569999993</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390</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C'!K71</f>
        <v>23.324540366692727</v>
      </c>
      <c r="E9" s="34"/>
      <c r="F9" s="34"/>
      <c r="G9" s="34"/>
      <c r="H9" s="34"/>
    </row>
    <row r="10" spans="1:8" x14ac:dyDescent="0.4">
      <c r="B10" s="34"/>
      <c r="C10" s="36" t="s">
        <v>223</v>
      </c>
      <c r="D10" s="109">
        <f>'Items B &amp; C'!K72</f>
        <v>6</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396</v>
      </c>
    </row>
    <row r="18" spans="2:4" x14ac:dyDescent="0.4">
      <c r="C18" t="s">
        <v>178</v>
      </c>
      <c r="D18" s="44" t="s">
        <v>397</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C'!AP14</f>
        <v>212051000</v>
      </c>
      <c r="E36" s="69">
        <f>'Items B &amp; C'!AQ14</f>
        <v>213116000</v>
      </c>
      <c r="F36" s="69">
        <f>'Items B &amp; C'!AR14</f>
        <v>214247000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63</v>
      </c>
      <c r="E39" s="70">
        <v>38</v>
      </c>
      <c r="F39" s="70">
        <v>13</v>
      </c>
      <c r="G39" s="86" t="s">
        <v>398</v>
      </c>
    </row>
    <row r="40" spans="2:9" x14ac:dyDescent="0.4">
      <c r="C40" s="10" t="s">
        <v>195</v>
      </c>
      <c r="D40" s="70">
        <v>63</v>
      </c>
      <c r="E40" s="70">
        <v>38</v>
      </c>
      <c r="F40" s="70">
        <v>13</v>
      </c>
      <c r="G40" s="86" t="s">
        <v>398</v>
      </c>
    </row>
    <row r="41" spans="2:9" x14ac:dyDescent="0.4">
      <c r="C41" s="10" t="s">
        <v>196</v>
      </c>
      <c r="D41" s="70">
        <v>5.9200000000000003E-2</v>
      </c>
      <c r="E41" s="70">
        <v>5.8700000000000002E-2</v>
      </c>
      <c r="F41" s="70">
        <v>5.9700000000000003E-2</v>
      </c>
      <c r="G41" s="86" t="s">
        <v>399</v>
      </c>
    </row>
    <row r="42" spans="2:9" x14ac:dyDescent="0.4">
      <c r="C42" s="10" t="s">
        <v>197</v>
      </c>
      <c r="D42" s="70">
        <v>12392867.68</v>
      </c>
      <c r="E42" s="70">
        <v>15792962.359999999</v>
      </c>
      <c r="F42" s="70">
        <v>5273288.7300000004</v>
      </c>
      <c r="G42" s="86" t="s">
        <v>400</v>
      </c>
    </row>
    <row r="43" spans="2:9" x14ac:dyDescent="0.4">
      <c r="C43" s="10" t="s">
        <v>198</v>
      </c>
      <c r="D43" s="70">
        <v>14889850.029999999</v>
      </c>
      <c r="E43" s="70">
        <v>15792962.359999999</v>
      </c>
      <c r="F43" s="70">
        <v>13387333.82</v>
      </c>
      <c r="G43" s="86" t="s">
        <v>401</v>
      </c>
    </row>
    <row r="44" spans="2:9" x14ac:dyDescent="0.4">
      <c r="C44" s="10" t="s">
        <v>199</v>
      </c>
      <c r="D44" s="70">
        <v>0</v>
      </c>
      <c r="E44" s="70">
        <v>0</v>
      </c>
      <c r="F44" s="70">
        <v>0</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C'!L71</f>
        <v>52.104780059696544</v>
      </c>
      <c r="E9" s="34"/>
      <c r="F9" s="34"/>
      <c r="G9" s="34"/>
      <c r="H9" s="34"/>
    </row>
    <row r="10" spans="1:8" x14ac:dyDescent="0.4">
      <c r="B10" s="34"/>
      <c r="C10" s="36" t="s">
        <v>223</v>
      </c>
      <c r="D10" s="109">
        <f>'Items B &amp; C'!L72</f>
        <v>4</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100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87"/>
      <c r="E38" s="87"/>
      <c r="F38" s="70"/>
      <c r="G38" s="88" t="s">
        <v>403</v>
      </c>
      <c r="H38" s="52">
        <v>11</v>
      </c>
      <c r="I38" s="53" t="s">
        <v>317</v>
      </c>
      <c r="J38" s="53"/>
      <c r="K38" s="53"/>
      <c r="L38" s="53"/>
      <c r="M38" s="53"/>
      <c r="N38" s="53"/>
      <c r="O38" s="53"/>
      <c r="P38" s="53"/>
      <c r="Q38" s="53"/>
      <c r="R38" s="53"/>
      <c r="S38" s="53"/>
      <c r="T38" s="53"/>
      <c r="U38" s="53"/>
      <c r="V38" s="54"/>
    </row>
    <row r="39" spans="2:22" x14ac:dyDescent="0.4">
      <c r="C39" s="35" t="s">
        <v>245</v>
      </c>
      <c r="D39" s="87"/>
      <c r="E39" s="87"/>
      <c r="F39" s="70"/>
      <c r="G39" s="34"/>
      <c r="H39" s="52">
        <v>12</v>
      </c>
      <c r="I39" s="53" t="s">
        <v>318</v>
      </c>
      <c r="J39" s="53"/>
      <c r="K39" s="53"/>
      <c r="L39" s="53"/>
      <c r="M39" s="53"/>
      <c r="N39" s="53"/>
      <c r="O39" s="53"/>
      <c r="P39" s="53"/>
      <c r="Q39" s="53"/>
      <c r="R39" s="53"/>
      <c r="S39" s="53"/>
      <c r="T39" s="53"/>
      <c r="U39" s="53"/>
      <c r="V39" s="54"/>
    </row>
    <row r="40" spans="2:22" x14ac:dyDescent="0.4">
      <c r="C40" s="35" t="s">
        <v>246</v>
      </c>
      <c r="D40" s="87"/>
      <c r="E40" s="87"/>
      <c r="F40" s="70"/>
      <c r="G40" s="34"/>
      <c r="H40" s="52">
        <v>13</v>
      </c>
      <c r="I40" s="53" t="s">
        <v>319</v>
      </c>
      <c r="J40" s="53"/>
      <c r="K40" s="53"/>
      <c r="L40" s="53"/>
      <c r="M40" s="53"/>
      <c r="N40" s="53"/>
      <c r="O40" s="53"/>
      <c r="P40" s="53"/>
      <c r="Q40" s="53"/>
      <c r="R40" s="53"/>
      <c r="S40" s="53"/>
      <c r="T40" s="53"/>
      <c r="U40" s="53"/>
      <c r="V40" s="54"/>
    </row>
    <row r="41" spans="2:22" x14ac:dyDescent="0.4">
      <c r="C41" s="35" t="s">
        <v>247</v>
      </c>
      <c r="D41" s="87"/>
      <c r="E41" s="87"/>
      <c r="F41" s="70"/>
      <c r="G41" s="34"/>
      <c r="H41" s="52">
        <v>14</v>
      </c>
      <c r="I41" s="53" t="s">
        <v>320</v>
      </c>
      <c r="J41" s="53"/>
      <c r="K41" s="53"/>
      <c r="L41" s="53"/>
      <c r="M41" s="53"/>
      <c r="N41" s="53"/>
      <c r="O41" s="53"/>
      <c r="P41" s="53"/>
      <c r="Q41" s="53"/>
      <c r="R41" s="53"/>
      <c r="S41" s="53"/>
      <c r="T41" s="53"/>
      <c r="U41" s="53"/>
      <c r="V41" s="54"/>
    </row>
    <row r="42" spans="2:22" x14ac:dyDescent="0.4">
      <c r="C42" s="35" t="s">
        <v>248</v>
      </c>
      <c r="D42" s="87"/>
      <c r="E42" s="87"/>
      <c r="F42" s="70"/>
      <c r="G42" s="34"/>
      <c r="H42" s="52">
        <v>15</v>
      </c>
      <c r="I42" s="53" t="s">
        <v>320</v>
      </c>
      <c r="J42" s="53"/>
      <c r="K42" s="53"/>
      <c r="L42" s="53"/>
      <c r="M42" s="53"/>
      <c r="N42" s="53"/>
      <c r="O42" s="53"/>
      <c r="P42" s="53"/>
      <c r="Q42" s="53"/>
      <c r="R42" s="53"/>
      <c r="S42" s="53"/>
      <c r="T42" s="53"/>
      <c r="U42" s="53"/>
      <c r="V42" s="54"/>
    </row>
    <row r="43" spans="2:22" x14ac:dyDescent="0.4">
      <c r="C43" s="38" t="s">
        <v>249</v>
      </c>
      <c r="D43" s="87"/>
      <c r="E43" s="87"/>
      <c r="F43" s="70"/>
      <c r="G43" s="34"/>
      <c r="H43" s="52">
        <v>16</v>
      </c>
      <c r="I43" s="53" t="s">
        <v>321</v>
      </c>
      <c r="J43" s="53"/>
      <c r="K43" s="53"/>
      <c r="L43" s="53"/>
      <c r="M43" s="53"/>
      <c r="N43" s="53"/>
      <c r="O43" s="53"/>
      <c r="P43" s="53"/>
      <c r="Q43" s="53"/>
      <c r="R43" s="53"/>
      <c r="S43" s="53"/>
      <c r="T43" s="53"/>
      <c r="U43" s="53"/>
      <c r="V43" s="54"/>
    </row>
    <row r="44" spans="2:22" x14ac:dyDescent="0.4">
      <c r="C44" s="38" t="s">
        <v>250</v>
      </c>
      <c r="D44" s="87"/>
      <c r="E44" s="87"/>
      <c r="F44" s="70"/>
      <c r="G44" s="34"/>
      <c r="H44" s="52">
        <v>17</v>
      </c>
      <c r="I44" s="53" t="s">
        <v>322</v>
      </c>
      <c r="J44" s="53"/>
      <c r="K44" s="53"/>
      <c r="L44" s="53"/>
      <c r="M44" s="53"/>
      <c r="N44" s="53"/>
      <c r="O44" s="53"/>
      <c r="P44" s="53"/>
      <c r="Q44" s="53"/>
      <c r="R44" s="53"/>
      <c r="S44" s="53"/>
      <c r="T44" s="53"/>
      <c r="U44" s="53"/>
      <c r="V44" s="54"/>
    </row>
    <row r="45" spans="2:22" x14ac:dyDescent="0.4">
      <c r="C45" s="38" t="s">
        <v>251</v>
      </c>
      <c r="D45" s="87"/>
      <c r="E45" s="87"/>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23046875" bestFit="1" customWidth="1"/>
    <col min="5" max="5" width="16.84375" customWidth="1"/>
    <col min="6" max="6" width="19.15234375" customWidth="1"/>
    <col min="7" max="7" width="15.53515625" customWidth="1"/>
    <col min="8" max="8" width="17.69140625" customWidth="1"/>
  </cols>
  <sheetData>
    <row r="1" spans="1:3" x14ac:dyDescent="0.4">
      <c r="A1" t="s">
        <v>408</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406</v>
      </c>
    </row>
    <row r="18" spans="2:4" x14ac:dyDescent="0.4">
      <c r="C18" t="s">
        <v>178</v>
      </c>
      <c r="D18" s="44" t="s">
        <v>408</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C'!AP15</f>
        <v>443664000</v>
      </c>
      <c r="E36" s="69">
        <f>'Items B &amp; C'!AQ15</f>
        <v>445979000</v>
      </c>
      <c r="F36" s="69">
        <f>'Items B &amp; C'!AR15</f>
        <v>509318000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172</v>
      </c>
      <c r="E39" s="70">
        <v>144</v>
      </c>
      <c r="F39" s="70">
        <v>118</v>
      </c>
      <c r="G39" s="86" t="s">
        <v>398</v>
      </c>
    </row>
    <row r="40" spans="2:9" x14ac:dyDescent="0.4">
      <c r="C40" s="10" t="s">
        <v>195</v>
      </c>
      <c r="D40" s="70">
        <v>172</v>
      </c>
      <c r="E40" s="70">
        <v>144</v>
      </c>
      <c r="F40" s="70">
        <v>118</v>
      </c>
      <c r="G40" s="86" t="s">
        <v>398</v>
      </c>
    </row>
    <row r="41" spans="2:9" x14ac:dyDescent="0.4">
      <c r="C41" s="10" t="s">
        <v>196</v>
      </c>
      <c r="D41" s="70">
        <v>6.0100000000000001E-2</v>
      </c>
      <c r="E41" s="70">
        <v>5.8799999999999998E-2</v>
      </c>
      <c r="F41" s="70">
        <v>6.2399999999999997E-2</v>
      </c>
      <c r="G41" s="86" t="s">
        <v>399</v>
      </c>
    </row>
    <row r="42" spans="2:9" x14ac:dyDescent="0.4">
      <c r="C42" s="10" t="s">
        <v>197</v>
      </c>
      <c r="D42" s="70">
        <v>0</v>
      </c>
      <c r="E42" s="70">
        <v>14081969.369999999</v>
      </c>
      <c r="F42" s="70">
        <v>22201955.82</v>
      </c>
      <c r="G42" s="86" t="s">
        <v>400</v>
      </c>
    </row>
    <row r="43" spans="2:9" x14ac:dyDescent="0.4">
      <c r="C43" s="10" t="s">
        <v>198</v>
      </c>
      <c r="D43" s="70">
        <v>0</v>
      </c>
      <c r="E43" s="70">
        <v>14081969.369999999</v>
      </c>
      <c r="F43" s="70">
        <v>22201955.82</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408</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C'!M71</f>
        <v>53.090604357665228</v>
      </c>
      <c r="E9" s="34"/>
      <c r="F9" s="34"/>
      <c r="G9" s="34"/>
      <c r="H9" s="34"/>
    </row>
    <row r="10" spans="1:8" x14ac:dyDescent="0.4">
      <c r="B10" s="34"/>
      <c r="C10" s="36" t="s">
        <v>223</v>
      </c>
      <c r="D10" s="109">
        <f>'Items B &amp; C'!M72</f>
        <v>4</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25</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75</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88"/>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343</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471</v>
      </c>
    </row>
    <row r="28" spans="2:3" x14ac:dyDescent="0.4">
      <c r="B28" t="s">
        <v>9</v>
      </c>
      <c r="C28" s="37" t="s">
        <v>471</v>
      </c>
    </row>
    <row r="29" spans="2:3" x14ac:dyDescent="0.4">
      <c r="B29" t="s">
        <v>10</v>
      </c>
      <c r="C29" s="37" t="s">
        <v>143</v>
      </c>
    </row>
    <row r="30" spans="2:3" x14ac:dyDescent="0.4">
      <c r="B30" t="s">
        <v>11</v>
      </c>
      <c r="C30" s="74" t="s">
        <v>472</v>
      </c>
    </row>
    <row r="31" spans="2:3" x14ac:dyDescent="0.4">
      <c r="B31" t="s">
        <v>14</v>
      </c>
      <c r="C31" s="37" t="s">
        <v>473</v>
      </c>
    </row>
    <row r="32" spans="2:3" x14ac:dyDescent="0.4">
      <c r="B32" t="s">
        <v>12</v>
      </c>
      <c r="C32" s="75">
        <v>45393</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zoomScale="85" zoomScaleNormal="85" workbookViewId="0"/>
  </sheetViews>
  <sheetFormatPr defaultRowHeight="14.6" x14ac:dyDescent="0.4"/>
  <cols>
    <col min="2" max="2" width="36.23046875" customWidth="1"/>
    <col min="3" max="3" width="17.23046875" customWidth="1"/>
    <col min="4" max="4" width="18" customWidth="1"/>
    <col min="7" max="7" width="15.53515625" customWidth="1"/>
    <col min="8" max="8" width="14.53515625" bestFit="1" customWidth="1"/>
    <col min="9" max="9" width="14.23046875" customWidth="1"/>
    <col min="10" max="10" width="14.15234375" customWidth="1"/>
    <col min="11" max="11" width="15.15234375" customWidth="1"/>
    <col min="12" max="12" width="16.23046875" customWidth="1"/>
    <col min="13" max="13" width="17.23046875" bestFit="1" customWidth="1"/>
    <col min="14" max="14" width="21.3828125" bestFit="1" customWidth="1"/>
    <col min="15" max="15" width="16.84375" customWidth="1"/>
    <col min="16" max="16" width="14.84375" customWidth="1"/>
    <col min="17" max="17" width="15.69140625" bestFit="1" customWidth="1"/>
    <col min="18" max="18" width="16.84375" customWidth="1"/>
    <col min="19" max="19" width="19.69140625" bestFit="1" customWidth="1"/>
    <col min="20" max="20" width="16.2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23046875" bestFit="1" customWidth="1"/>
    <col min="40" max="40" width="14.61328125" bestFit="1" customWidth="1"/>
    <col min="41" max="41" width="13.23046875" customWidth="1"/>
    <col min="42" max="42" width="12.84375" bestFit="1" customWidth="1"/>
    <col min="43" max="43" width="14.61328125" bestFit="1" customWidth="1"/>
    <col min="44" max="44" width="12.84375" bestFit="1" customWidth="1"/>
  </cols>
  <sheetData>
    <row r="2" spans="2:45" ht="15.9" x14ac:dyDescent="0.45">
      <c r="B2" s="6" t="s">
        <v>18</v>
      </c>
    </row>
    <row r="3" spans="2:45" ht="15" thickBot="1" x14ac:dyDescent="0.45">
      <c r="AM3" s="113" t="s">
        <v>433</v>
      </c>
      <c r="AN3" s="26"/>
      <c r="AO3" s="26"/>
    </row>
    <row r="4" spans="2:45" ht="15" thickBot="1" x14ac:dyDescent="0.45">
      <c r="B4" t="s">
        <v>19</v>
      </c>
      <c r="P4" s="130" t="s">
        <v>446</v>
      </c>
      <c r="Q4" s="131"/>
      <c r="R4" s="132"/>
      <c r="AM4" s="112">
        <v>45322</v>
      </c>
      <c r="AN4" s="112">
        <v>45351</v>
      </c>
      <c r="AO4" s="112">
        <v>45382</v>
      </c>
    </row>
    <row r="5" spans="2:45" x14ac:dyDescent="0.4">
      <c r="B5" s="1" t="s">
        <v>20</v>
      </c>
    </row>
    <row r="6" spans="2:45" x14ac:dyDescent="0.4">
      <c r="AB6" t="s">
        <v>358</v>
      </c>
      <c r="AD6" t="s">
        <v>358</v>
      </c>
      <c r="AF6" t="s">
        <v>358</v>
      </c>
      <c r="AG6" t="s">
        <v>358</v>
      </c>
      <c r="AI6" t="s">
        <v>358</v>
      </c>
      <c r="AK6" t="s">
        <v>358</v>
      </c>
      <c r="AM6" s="114"/>
      <c r="AP6" s="114" t="s">
        <v>358</v>
      </c>
      <c r="AQ6" t="s">
        <v>358</v>
      </c>
      <c r="AR6" t="s">
        <v>358</v>
      </c>
    </row>
    <row r="7" spans="2:45" x14ac:dyDescent="0.4">
      <c r="H7" s="64"/>
      <c r="I7" s="64"/>
      <c r="M7" s="160" t="s">
        <v>415</v>
      </c>
      <c r="N7" s="161"/>
      <c r="O7" s="160" t="s">
        <v>358</v>
      </c>
      <c r="P7" s="161"/>
      <c r="W7" s="16" t="s">
        <v>78</v>
      </c>
      <c r="X7" s="16" t="s">
        <v>78</v>
      </c>
      <c r="Y7" s="16" t="s">
        <v>78</v>
      </c>
      <c r="Z7" s="16" t="s">
        <v>369</v>
      </c>
      <c r="AA7" s="16" t="s">
        <v>369</v>
      </c>
      <c r="AB7" s="16" t="s">
        <v>78</v>
      </c>
      <c r="AC7" s="16"/>
      <c r="AD7" s="16" t="s">
        <v>78</v>
      </c>
      <c r="AE7" s="16"/>
      <c r="AF7" s="16" t="s">
        <v>78</v>
      </c>
      <c r="AG7" s="16" t="s">
        <v>369</v>
      </c>
      <c r="AI7" s="16" t="s">
        <v>369</v>
      </c>
      <c r="AJ7" s="16"/>
      <c r="AK7" s="16" t="s">
        <v>369</v>
      </c>
      <c r="AM7" s="114" t="s">
        <v>349</v>
      </c>
      <c r="AN7" t="s">
        <v>349</v>
      </c>
      <c r="AO7" t="s">
        <v>349</v>
      </c>
      <c r="AP7" s="114" t="s">
        <v>349</v>
      </c>
      <c r="AQ7" t="s">
        <v>349</v>
      </c>
      <c r="AR7" t="s">
        <v>349</v>
      </c>
    </row>
    <row r="8" spans="2:45" ht="15" thickBot="1" x14ac:dyDescent="0.45">
      <c r="C8" s="9" t="s">
        <v>29</v>
      </c>
      <c r="D8" s="9" t="s">
        <v>28</v>
      </c>
      <c r="G8" s="3" t="s">
        <v>416</v>
      </c>
      <c r="H8" s="3" t="s">
        <v>349</v>
      </c>
      <c r="I8" s="3" t="s">
        <v>412</v>
      </c>
      <c r="J8" s="3" t="s">
        <v>413</v>
      </c>
      <c r="K8" s="3" t="s">
        <v>414</v>
      </c>
      <c r="L8" s="91" t="s">
        <v>350</v>
      </c>
      <c r="M8" s="91" t="s">
        <v>29</v>
      </c>
      <c r="N8" s="91" t="s">
        <v>357</v>
      </c>
      <c r="O8" s="91" t="s">
        <v>29</v>
      </c>
      <c r="P8" s="91" t="s">
        <v>357</v>
      </c>
      <c r="Q8" s="100" t="s">
        <v>367</v>
      </c>
      <c r="R8" s="100" t="s">
        <v>364</v>
      </c>
      <c r="S8" s="100" t="s">
        <v>368</v>
      </c>
      <c r="T8" s="3" t="s">
        <v>365</v>
      </c>
      <c r="U8" s="3" t="s">
        <v>366</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417</v>
      </c>
      <c r="AN8" s="101" t="s">
        <v>418</v>
      </c>
      <c r="AO8" s="101" t="s">
        <v>419</v>
      </c>
      <c r="AP8" s="115" t="s">
        <v>417</v>
      </c>
      <c r="AQ8" s="101" t="s">
        <v>418</v>
      </c>
      <c r="AR8" s="101" t="s">
        <v>419</v>
      </c>
      <c r="AS8" s="3"/>
    </row>
    <row r="9" spans="2:45" ht="15" thickTop="1" x14ac:dyDescent="0.4">
      <c r="B9" s="8" t="s">
        <v>21</v>
      </c>
      <c r="C9" s="76">
        <v>0</v>
      </c>
      <c r="D9" s="76">
        <v>0</v>
      </c>
      <c r="G9" s="4" t="s">
        <v>351</v>
      </c>
      <c r="H9" s="102">
        <f>[2]USG!G41</f>
        <v>122853242.443</v>
      </c>
      <c r="I9" s="102">
        <f>[2]USG!G42</f>
        <v>3617465.2399999998</v>
      </c>
      <c r="J9" s="102">
        <f>[2]USG!G38</f>
        <v>616346.37999999989</v>
      </c>
      <c r="K9" s="102">
        <f>[2]USG!G43</f>
        <v>0</v>
      </c>
      <c r="L9" s="102">
        <f>[2]USG!G39</f>
        <v>30423.310000000012</v>
      </c>
      <c r="M9" s="103">
        <f>H9+J9+L9</f>
        <v>123500012.133</v>
      </c>
      <c r="N9" s="103">
        <f>H9</f>
        <v>122853242.443</v>
      </c>
      <c r="O9" s="104">
        <f>ROUND(M9,-3)</f>
        <v>123500000</v>
      </c>
      <c r="P9" s="104">
        <f>ROUND(N9,-3)</f>
        <v>122853000</v>
      </c>
      <c r="Q9" s="103">
        <f>H9-SUM(S9,T9,U9)+L9</f>
        <v>118896200.51300001</v>
      </c>
      <c r="R9" s="104">
        <f>I9+J9+U9+K9</f>
        <v>4603811.6199999992</v>
      </c>
      <c r="S9" s="104">
        <f>R9-U9-J9</f>
        <v>3617465.2399999993</v>
      </c>
      <c r="T9" s="105">
        <f>[2]USG!G46</f>
        <v>0</v>
      </c>
      <c r="U9" s="106">
        <f>[2]USG!G37</f>
        <v>370000</v>
      </c>
      <c r="V9" s="4"/>
      <c r="W9" s="107">
        <f>SUM(S9:T9,J9)</f>
        <v>4233811.6199999992</v>
      </c>
      <c r="X9" s="107">
        <f t="shared" ref="X9:X11" si="0">Q9</f>
        <v>118896200.51300001</v>
      </c>
      <c r="Y9" s="107">
        <f>U9</f>
        <v>370000</v>
      </c>
      <c r="Z9" s="107">
        <f>L9</f>
        <v>30423.310000000012</v>
      </c>
      <c r="AA9" s="107">
        <f>J9</f>
        <v>616346.37999999989</v>
      </c>
      <c r="AB9" s="107">
        <f t="shared" ref="AB9:AB11" si="1">ROUND(W9,-3)</f>
        <v>4234000</v>
      </c>
      <c r="AC9" s="107"/>
      <c r="AD9" s="107">
        <f t="shared" ref="AD9:AD11" si="2">ROUND(X9,-3)</f>
        <v>118896000</v>
      </c>
      <c r="AE9" s="107"/>
      <c r="AF9" s="107">
        <f t="shared" ref="AF9:AF11" si="3">ROUND(Y9,-3)</f>
        <v>370000</v>
      </c>
      <c r="AG9" s="107">
        <f t="shared" ref="AG9:AG11" si="4">ROUND(Z9,-3)</f>
        <v>30000</v>
      </c>
      <c r="AH9" s="4"/>
      <c r="AI9" s="103">
        <v>0</v>
      </c>
      <c r="AJ9" s="103"/>
      <c r="AK9" s="104">
        <f>ROUND(AA9,-3)</f>
        <v>616000</v>
      </c>
      <c r="AL9" s="4"/>
      <c r="AM9" s="119">
        <f>_xlfn.XLOOKUP(AM4,[2]USG!$D$50:$S$50,[2]USG!$D$51:$S$51)</f>
        <v>72242613.523000002</v>
      </c>
      <c r="AN9" s="102">
        <f>_xlfn.XLOOKUP(AN4,[2]USG!$D$50:$S$50,[2]USG!$D$51:$S$51)</f>
        <v>122569657.27300002</v>
      </c>
      <c r="AO9" s="102">
        <f>_xlfn.XLOOKUP(AO4,[2]USG!$D$50:$S$50,[2]USG!$D$51:$S$51)</f>
        <v>122853242.443</v>
      </c>
      <c r="AP9" s="116">
        <f>ROUND(AM9,-3)</f>
        <v>72243000</v>
      </c>
      <c r="AQ9" s="104">
        <f t="shared" ref="AQ9:AQ11" si="5">ROUND(AN9,-3)</f>
        <v>122570000</v>
      </c>
      <c r="AR9" s="104">
        <f t="shared" ref="AR9:AR11" si="6">ROUND(AO9,-3)</f>
        <v>122853000</v>
      </c>
      <c r="AS9" s="4" t="s">
        <v>351</v>
      </c>
    </row>
    <row r="10" spans="2:45" x14ac:dyDescent="0.4">
      <c r="B10" s="8" t="s">
        <v>22</v>
      </c>
      <c r="C10" s="76">
        <f>O20</f>
        <v>3185319000</v>
      </c>
      <c r="D10" s="76">
        <f>P20</f>
        <v>3147003000</v>
      </c>
      <c r="G10" t="s">
        <v>352</v>
      </c>
      <c r="H10" s="89">
        <f>'[3]FIHI (PBC M)'!G54</f>
        <v>858074119.94959998</v>
      </c>
      <c r="I10" s="89">
        <f>'[3]FIHI (PBC M)'!G55</f>
        <v>17307992.09</v>
      </c>
      <c r="J10" s="89">
        <f>'[3]FIHI (PBC M)'!G51</f>
        <v>7484602.8476988794</v>
      </c>
      <c r="K10" s="89">
        <f>'[3]FIHI (PBC M)'!G56</f>
        <v>0</v>
      </c>
      <c r="L10" s="89">
        <f>'[3]FIHI (PBC M)'!G52</f>
        <v>113646.01999999999</v>
      </c>
      <c r="M10" s="14">
        <f t="shared" ref="M10:M19" si="7">H10+J10+L10</f>
        <v>865672368.81729889</v>
      </c>
      <c r="N10" s="14">
        <f t="shared" ref="N10:N19" si="8">H10</f>
        <v>858074119.94959998</v>
      </c>
      <c r="O10" s="63">
        <f t="shared" ref="O10:O11" si="9">ROUND(M10,-3)</f>
        <v>865672000</v>
      </c>
      <c r="P10" s="63">
        <f t="shared" ref="P10:P11" si="10">ROUND(N10,-3)</f>
        <v>858074000</v>
      </c>
      <c r="Q10" s="14">
        <f t="shared" ref="Q10:Q11" si="11">H10-SUM(S10,T10,U10)+L10</f>
        <v>840879773.87959993</v>
      </c>
      <c r="R10" s="63">
        <f t="shared" ref="R10:R19" si="12">I10+J10+U10+K10</f>
        <v>24792594.937698878</v>
      </c>
      <c r="S10" s="63">
        <f t="shared" ref="S10:S11" si="13">R10-U10-J10</f>
        <v>17307992.09</v>
      </c>
      <c r="T10" s="96">
        <f>'[3]FIHI (PBC M)'!G59</f>
        <v>0</v>
      </c>
      <c r="U10" s="97">
        <f>'[3]FIHI (PBC M)'!G50</f>
        <v>0</v>
      </c>
      <c r="W10" s="64">
        <f t="shared" ref="W10:W19" si="14">SUM(S10:T10,J10)</f>
        <v>24792594.937698878</v>
      </c>
      <c r="X10" s="64">
        <f t="shared" si="0"/>
        <v>840879773.87959993</v>
      </c>
      <c r="Y10" s="64">
        <f t="shared" ref="Y10:Y11" si="15">U10</f>
        <v>0</v>
      </c>
      <c r="Z10" s="64">
        <f t="shared" ref="Z10:Z19" si="16">L10</f>
        <v>113646.01999999999</v>
      </c>
      <c r="AA10" s="64">
        <f t="shared" ref="AA10:AA19" si="17">J10</f>
        <v>7484602.8476988794</v>
      </c>
      <c r="AB10" s="64">
        <f t="shared" si="1"/>
        <v>24793000</v>
      </c>
      <c r="AC10" s="64"/>
      <c r="AD10" s="64">
        <f>ROUND(X10,-3)</f>
        <v>840880000</v>
      </c>
      <c r="AE10" s="64"/>
      <c r="AF10" s="64">
        <f t="shared" si="3"/>
        <v>0</v>
      </c>
      <c r="AG10" s="64">
        <f>ROUND(Z10,-3)</f>
        <v>114000</v>
      </c>
      <c r="AI10" s="14">
        <v>0</v>
      </c>
      <c r="AJ10" s="14"/>
      <c r="AK10" s="63">
        <f t="shared" ref="AK10:AK19" si="18">ROUND(AA10,-3)</f>
        <v>7485000</v>
      </c>
      <c r="AM10" s="120">
        <f>_xlfn.XLOOKUP(AM$4,'[3]FIHI (PBC M)'!D63:S63,'[3]FIHI (PBC M)'!D64:S64)</f>
        <v>779087040.24970007</v>
      </c>
      <c r="AN10" s="89">
        <f>_xlfn.XLOOKUP(AN$4,'[3]FIHI (PBC M)'!$D$63:$S$63,'[3]FIHI (PBC M)'!$D$64:$S$64)</f>
        <v>1031183553.0597</v>
      </c>
      <c r="AO10" s="89">
        <f>_xlfn.XLOOKUP(AO$4,'[3]FIHI (PBC M)'!$D$63:$S$63,'[3]FIHI (PBC M)'!$D$64:$S$64)</f>
        <v>858074119.94959998</v>
      </c>
      <c r="AP10" s="117">
        <f t="shared" ref="AP10:AP11" si="19">ROUND(AM10,-3)</f>
        <v>779087000</v>
      </c>
      <c r="AQ10" s="63">
        <f t="shared" si="5"/>
        <v>1031184000</v>
      </c>
      <c r="AR10" s="63">
        <f t="shared" si="6"/>
        <v>858074000</v>
      </c>
      <c r="AS10" t="s">
        <v>352</v>
      </c>
    </row>
    <row r="11" spans="2:45" x14ac:dyDescent="0.4">
      <c r="B11" s="8" t="s">
        <v>23</v>
      </c>
      <c r="C11" s="76">
        <v>0</v>
      </c>
      <c r="D11" s="76">
        <v>0</v>
      </c>
      <c r="G11" t="s">
        <v>353</v>
      </c>
      <c r="H11" s="89">
        <f>'[3]FIHI (PBC C1)'!G54</f>
        <v>115016182.3</v>
      </c>
      <c r="I11" s="89">
        <f>'[3]FIHI (PBC C1)'!G55</f>
        <v>2325830.9900000002</v>
      </c>
      <c r="J11" s="89">
        <f>'[3]FIHI (PBC C1)'!G51</f>
        <v>735542.60171340348</v>
      </c>
      <c r="K11" s="89">
        <f>'[3]FIHI (PBC C1)'!G56</f>
        <v>0</v>
      </c>
      <c r="L11" s="89">
        <f>'[3]FIHI (PBC C1)'!G52</f>
        <v>15048.399999999998</v>
      </c>
      <c r="M11" s="14">
        <f t="shared" si="7"/>
        <v>115766773.30171341</v>
      </c>
      <c r="N11" s="14">
        <f t="shared" si="8"/>
        <v>115016182.3</v>
      </c>
      <c r="O11" s="63">
        <f t="shared" si="9"/>
        <v>115767000</v>
      </c>
      <c r="P11" s="63">
        <f t="shared" si="10"/>
        <v>115016000</v>
      </c>
      <c r="Q11" s="14">
        <f t="shared" si="11"/>
        <v>112705399.71000001</v>
      </c>
      <c r="R11" s="63">
        <f t="shared" si="12"/>
        <v>3061373.5917134038</v>
      </c>
      <c r="S11" s="63">
        <f t="shared" si="13"/>
        <v>2325830.9900000002</v>
      </c>
      <c r="T11" s="96">
        <f>'[3]FIHI (PBC C1)'!G59</f>
        <v>0</v>
      </c>
      <c r="U11" s="97">
        <f>'[3]FIHI (PBC C1)'!G50</f>
        <v>0</v>
      </c>
      <c r="W11" s="64">
        <f t="shared" si="14"/>
        <v>3061373.5917134038</v>
      </c>
      <c r="X11" s="64">
        <f t="shared" si="0"/>
        <v>112705399.71000001</v>
      </c>
      <c r="Y11" s="64">
        <f t="shared" si="15"/>
        <v>0</v>
      </c>
      <c r="Z11" s="64">
        <f t="shared" si="16"/>
        <v>15048.399999999998</v>
      </c>
      <c r="AA11" s="64">
        <f t="shared" si="17"/>
        <v>735542.60171340348</v>
      </c>
      <c r="AB11" s="64">
        <f t="shared" si="1"/>
        <v>3061000</v>
      </c>
      <c r="AC11" s="64"/>
      <c r="AD11" s="64">
        <f t="shared" si="2"/>
        <v>112705000</v>
      </c>
      <c r="AE11" s="64"/>
      <c r="AF11" s="64">
        <f t="shared" si="3"/>
        <v>0</v>
      </c>
      <c r="AG11" s="64">
        <f t="shared" si="4"/>
        <v>15000</v>
      </c>
      <c r="AI11" s="14">
        <v>0</v>
      </c>
      <c r="AJ11" s="14"/>
      <c r="AK11" s="63">
        <f t="shared" si="18"/>
        <v>736000</v>
      </c>
      <c r="AM11" s="120">
        <f>_xlfn.XLOOKUP(AM$4,'[3]FIHI (PBC C1)'!$D$63:$S$63,'[3]FIHI (PBC C1)'!$D$64:$S$64)</f>
        <v>113907596.28</v>
      </c>
      <c r="AN11" s="89">
        <f>_xlfn.XLOOKUP(AN$4,'[3]FIHI (PBC C1)'!$D$63:$S$63,'[3]FIHI (PBC C1)'!$D$64:$S$64)</f>
        <v>114441970.18000001</v>
      </c>
      <c r="AO11" s="89">
        <f>_xlfn.XLOOKUP(AO$4,'[3]FIHI (PBC C1)'!$D$63:$S$63,'[3]FIHI (PBC C1)'!$D$64:$S$64)</f>
        <v>115016182.3</v>
      </c>
      <c r="AP11" s="117">
        <f t="shared" si="19"/>
        <v>113908000</v>
      </c>
      <c r="AQ11" s="63">
        <f t="shared" si="5"/>
        <v>114442000</v>
      </c>
      <c r="AR11" s="63">
        <f t="shared" si="6"/>
        <v>115016000</v>
      </c>
      <c r="AS11" t="s">
        <v>353</v>
      </c>
    </row>
    <row r="12" spans="2:45" x14ac:dyDescent="0.4">
      <c r="B12" s="8" t="s">
        <v>24</v>
      </c>
      <c r="C12" s="76">
        <v>0</v>
      </c>
      <c r="D12" s="76">
        <v>0</v>
      </c>
      <c r="G12" t="s">
        <v>356</v>
      </c>
      <c r="H12" s="89">
        <f>'[3]FIHI (PBC MIG)'!G54</f>
        <v>676570128.93410003</v>
      </c>
      <c r="I12" s="89">
        <f>'[3]FIHI (PBC MIG)'!G55</f>
        <v>12828002.5</v>
      </c>
      <c r="J12" s="89">
        <f>'[3]FIHI (PBC MIG)'!G51</f>
        <v>4445756.8196000028</v>
      </c>
      <c r="K12" s="89">
        <f>'[3]FIHI (PBC MIG)'!G56</f>
        <v>0</v>
      </c>
      <c r="L12" s="89">
        <f>'[3]FIHI (PBC MIG)'!G52</f>
        <v>104368.61</v>
      </c>
      <c r="M12" s="14">
        <f>H12+J12+L12</f>
        <v>681120254.36370003</v>
      </c>
      <c r="N12" s="14">
        <f>H12</f>
        <v>676570128.93410003</v>
      </c>
      <c r="O12" s="63">
        <f t="shared" ref="O12:P15" si="20">ROUND(M12,-3)</f>
        <v>681120000</v>
      </c>
      <c r="P12" s="63">
        <f t="shared" si="20"/>
        <v>676570000</v>
      </c>
      <c r="Q12" s="14">
        <f>H12-SUM(S12,T12,U12)+L12</f>
        <v>663846495.04410005</v>
      </c>
      <c r="R12" s="63">
        <f>I12+J12+U12+K12</f>
        <v>17273759.319600001</v>
      </c>
      <c r="S12" s="63">
        <f>R12-U12-J12</f>
        <v>12828002.499999998</v>
      </c>
      <c r="T12" s="96">
        <f>'[3]FIHI (PBC MIG)'!G59</f>
        <v>0</v>
      </c>
      <c r="U12" s="97">
        <f>'[3]FIHI (PBC MIG)'!G50</f>
        <v>0</v>
      </c>
      <c r="W12" s="64">
        <f>SUM(S12:T12,J12)</f>
        <v>17273759.319600001</v>
      </c>
      <c r="X12" s="64">
        <f>Q12</f>
        <v>663846495.04410005</v>
      </c>
      <c r="Y12" s="64">
        <f>U12</f>
        <v>0</v>
      </c>
      <c r="Z12" s="64">
        <f>L12</f>
        <v>104368.61</v>
      </c>
      <c r="AA12" s="64">
        <f>J12</f>
        <v>4445756.8196000028</v>
      </c>
      <c r="AB12" s="64">
        <f>ROUND(W12,-3)</f>
        <v>17274000</v>
      </c>
      <c r="AC12" s="64"/>
      <c r="AD12" s="64">
        <f>ROUND(X12,-3)</f>
        <v>663846000</v>
      </c>
      <c r="AE12" s="64"/>
      <c r="AF12" s="64">
        <f t="shared" ref="AF12:AG14" si="21">ROUND(Y12,-3)</f>
        <v>0</v>
      </c>
      <c r="AG12" s="64">
        <f t="shared" si="21"/>
        <v>104000</v>
      </c>
      <c r="AI12" s="14">
        <v>0</v>
      </c>
      <c r="AJ12" s="14"/>
      <c r="AK12" s="63">
        <f>ROUND(AA12,-3)</f>
        <v>4446000</v>
      </c>
      <c r="AM12" s="120">
        <f>_xlfn.XLOOKUP(AM$4,'[3]FIHI (PBC MIG)'!$D$63:$S$63,'[3]FIHI (PBC MIG)'!$D$64:$S$64)</f>
        <v>511164304.97420001</v>
      </c>
      <c r="AN12" s="89">
        <f>_xlfn.XLOOKUP(AN$4,'[3]FIHI (PBC MIG)'!$D$63:$S$63,'[3]FIHI (PBC MIG)'!$D$64:$S$64)</f>
        <v>624799077.86409998</v>
      </c>
      <c r="AO12" s="89">
        <f>_xlfn.XLOOKUP(AO$4,'[3]FIHI (PBC MIG)'!$D$63:$S$63,'[3]FIHI (PBC MIG)'!$D$64:$S$64)</f>
        <v>676570128.93410003</v>
      </c>
      <c r="AP12" s="117">
        <f t="shared" ref="AP12:AR15" si="22">ROUND(AM12,-3)</f>
        <v>511164000</v>
      </c>
      <c r="AQ12" s="63">
        <f t="shared" si="22"/>
        <v>624799000</v>
      </c>
      <c r="AR12" s="63">
        <f t="shared" si="22"/>
        <v>676570000</v>
      </c>
      <c r="AS12" t="s">
        <v>356</v>
      </c>
    </row>
    <row r="13" spans="2:45" x14ac:dyDescent="0.4">
      <c r="B13" s="8" t="s">
        <v>25</v>
      </c>
      <c r="C13" s="76">
        <v>0</v>
      </c>
      <c r="D13" s="76">
        <v>0</v>
      </c>
      <c r="G13" t="s">
        <v>354</v>
      </c>
      <c r="H13" s="89">
        <f>'[3]FIHI (PBC Q1)'!G54</f>
        <v>650924509.66180003</v>
      </c>
      <c r="I13" s="89">
        <f>'[3]FIHI (PBC Q1)'!G55</f>
        <v>11487396.399999999</v>
      </c>
      <c r="J13" s="89">
        <f>'[3]FIHI (PBC Q1)'!G51</f>
        <v>5932640.7334000021</v>
      </c>
      <c r="K13" s="89">
        <f>'[3]FIHI (PBC Q1)'!G56</f>
        <v>0</v>
      </c>
      <c r="L13" s="89">
        <f>'[3]FIHI (PBC Q1)'!G52</f>
        <v>428031.70999999996</v>
      </c>
      <c r="M13" s="14">
        <f>H13+J13+L13</f>
        <v>657285182.10520005</v>
      </c>
      <c r="N13" s="14">
        <f>H13</f>
        <v>650924509.66180003</v>
      </c>
      <c r="O13" s="63">
        <f t="shared" si="20"/>
        <v>657285000</v>
      </c>
      <c r="P13" s="63">
        <f t="shared" si="20"/>
        <v>650925000</v>
      </c>
      <c r="Q13" s="14">
        <f>H13-SUM(S13,T13,U13)+L13</f>
        <v>639857995.16180003</v>
      </c>
      <c r="R13" s="63">
        <f>I13+J13+U13+K13</f>
        <v>17427186.943399999</v>
      </c>
      <c r="S13" s="63">
        <f>R13-U13-J13</f>
        <v>11487396.399999999</v>
      </c>
      <c r="T13" s="96">
        <f>'[3]FIHI (PBC Q1)'!G59</f>
        <v>0</v>
      </c>
      <c r="U13" s="97">
        <f>'[3]FIHI (PBC Q1)'!G50</f>
        <v>7149.81</v>
      </c>
      <c r="V13" s="15"/>
      <c r="W13" s="64">
        <f>SUM(S13:T13,J13)</f>
        <v>17420037.133400001</v>
      </c>
      <c r="X13" s="64">
        <f>Q13</f>
        <v>639857995.16180003</v>
      </c>
      <c r="Y13" s="64">
        <f>U13</f>
        <v>7149.81</v>
      </c>
      <c r="Z13" s="64">
        <f>L13</f>
        <v>428031.70999999996</v>
      </c>
      <c r="AA13" s="64">
        <f>J13</f>
        <v>5932640.7334000021</v>
      </c>
      <c r="AB13" s="64">
        <f>ROUND(W13,-3)</f>
        <v>17420000</v>
      </c>
      <c r="AC13" s="64"/>
      <c r="AD13" s="64">
        <f>ROUND(X13,-3)</f>
        <v>639858000</v>
      </c>
      <c r="AE13" s="64"/>
      <c r="AF13" s="64">
        <f t="shared" si="21"/>
        <v>7000</v>
      </c>
      <c r="AG13" s="64">
        <f t="shared" si="21"/>
        <v>428000</v>
      </c>
      <c r="AI13" s="14">
        <v>0</v>
      </c>
      <c r="AJ13" s="14"/>
      <c r="AK13" s="63">
        <f>ROUND(AA13,-3)</f>
        <v>5933000</v>
      </c>
      <c r="AM13" s="120">
        <f>_xlfn.XLOOKUP(AM$4,'[3]FIHI (PBC Q1)'!$D$63:$S$63,'[3]FIHI (PBC Q1)'!$D$64:$S$64)</f>
        <v>574516203.75190008</v>
      </c>
      <c r="AN13" s="89">
        <f>_xlfn.XLOOKUP(AN$4,'[3]FIHI (PBC Q1)'!$D$63:$S$63,'[3]FIHI (PBC Q1)'!$D$64:$S$64)</f>
        <v>622426825.58179998</v>
      </c>
      <c r="AO13" s="89">
        <f>_xlfn.XLOOKUP(AO$4,'[3]FIHI (PBC Q1)'!$D$63:$S$63,'[3]FIHI (PBC Q1)'!$D$64:$S$64)</f>
        <v>650924509.66180003</v>
      </c>
      <c r="AP13" s="117">
        <f t="shared" si="22"/>
        <v>574516000</v>
      </c>
      <c r="AQ13" s="63">
        <f t="shared" si="22"/>
        <v>622427000</v>
      </c>
      <c r="AR13" s="63">
        <f t="shared" si="22"/>
        <v>650925000</v>
      </c>
      <c r="AS13" t="s">
        <v>354</v>
      </c>
    </row>
    <row r="14" spans="2:45" x14ac:dyDescent="0.4">
      <c r="B14" s="8" t="s">
        <v>26</v>
      </c>
      <c r="C14" s="76">
        <v>0</v>
      </c>
      <c r="D14" s="76">
        <v>0</v>
      </c>
      <c r="G14" t="s">
        <v>395</v>
      </c>
      <c r="H14" s="89">
        <f>'[3]FIHI (PBC QX)'!G54</f>
        <v>214247016.15380001</v>
      </c>
      <c r="I14" s="89">
        <f>'[3]FIHI (PBC QX)'!G55</f>
        <v>6883561.4500000002</v>
      </c>
      <c r="J14" s="89">
        <f>'[3]FIHI (PBC QX)'!G51</f>
        <v>4755424.311466381</v>
      </c>
      <c r="K14" s="89">
        <f>'[3]FIHI (PBC QX)'!G56</f>
        <v>0</v>
      </c>
      <c r="L14" s="89">
        <f>'[3]FIHI (PBC QX)'!G52</f>
        <v>143882.31</v>
      </c>
      <c r="M14" s="14">
        <f>H14+J14+L14</f>
        <v>219146322.77526641</v>
      </c>
      <c r="N14" s="14">
        <f>H14</f>
        <v>214247016.15380001</v>
      </c>
      <c r="O14" s="63">
        <f t="shared" si="20"/>
        <v>219146000</v>
      </c>
      <c r="P14" s="63">
        <f t="shared" si="20"/>
        <v>214247000</v>
      </c>
      <c r="Q14" s="14">
        <f>H14-SUM(S14,T14,U14)+L14</f>
        <v>207505486.82380003</v>
      </c>
      <c r="R14" s="63">
        <f>I14+J14+U14+K14</f>
        <v>11640835.95146638</v>
      </c>
      <c r="S14" s="63">
        <f>R14-U14-J14</f>
        <v>6883561.4499999993</v>
      </c>
      <c r="T14" s="96">
        <f>'[3]FIHI (PBC QX)'!G59</f>
        <v>0</v>
      </c>
      <c r="U14" s="97">
        <f>'[3]FIHI (PBC QX)'!G50</f>
        <v>1850.19</v>
      </c>
      <c r="W14" s="64">
        <f>SUM(S14:T14,J14)</f>
        <v>11638985.76146638</v>
      </c>
      <c r="X14" s="64">
        <f>Q14</f>
        <v>207505486.82380003</v>
      </c>
      <c r="Y14" s="64">
        <f>U14</f>
        <v>1850.19</v>
      </c>
      <c r="Z14" s="64">
        <f>L14</f>
        <v>143882.31</v>
      </c>
      <c r="AA14" s="64">
        <f>J14</f>
        <v>4755424.311466381</v>
      </c>
      <c r="AB14" s="64">
        <f>ROUND(W14,-3)</f>
        <v>11639000</v>
      </c>
      <c r="AC14" s="64"/>
      <c r="AD14" s="64">
        <f>ROUND(X14,-3)</f>
        <v>207505000</v>
      </c>
      <c r="AE14" s="64"/>
      <c r="AF14" s="64">
        <f t="shared" si="21"/>
        <v>2000</v>
      </c>
      <c r="AG14" s="64">
        <f t="shared" si="21"/>
        <v>144000</v>
      </c>
      <c r="AI14" s="14">
        <v>0</v>
      </c>
      <c r="AJ14" s="14"/>
      <c r="AK14" s="63">
        <f>ROUND(AA14,-3)</f>
        <v>4755000</v>
      </c>
      <c r="AM14" s="120">
        <f>_xlfn.XLOOKUP(AM$4,'[3]FIHI (PBC QX)'!$D$63:$S$63,'[3]FIHI (PBC QX)'!$D$64:$S$64)</f>
        <v>212051006.20379999</v>
      </c>
      <c r="AN14" s="89">
        <f>_xlfn.XLOOKUP(AN$4,'[3]FIHI (PBC QX)'!$D$63:$S$63,'[3]FIHI (PBC QX)'!$D$64:$S$64)</f>
        <v>213116219.92380002</v>
      </c>
      <c r="AO14" s="89">
        <f>_xlfn.XLOOKUP(AO$4,'[3]FIHI (PBC QX)'!$D$63:$S$63,'[3]FIHI (PBC QX)'!$D$64:$S$64)</f>
        <v>214247016.15380001</v>
      </c>
      <c r="AP14" s="117">
        <f t="shared" si="22"/>
        <v>212051000</v>
      </c>
      <c r="AQ14" s="63">
        <f t="shared" si="22"/>
        <v>213116000</v>
      </c>
      <c r="AR14" s="63">
        <f t="shared" si="22"/>
        <v>214247000</v>
      </c>
      <c r="AS14" t="s">
        <v>395</v>
      </c>
    </row>
    <row r="15" spans="2:45" x14ac:dyDescent="0.4">
      <c r="B15" s="8" t="s">
        <v>27</v>
      </c>
      <c r="C15" s="155">
        <f>O21+O22</f>
        <v>1557627000</v>
      </c>
      <c r="D15" s="155">
        <f>P21+P22</f>
        <v>519063000</v>
      </c>
      <c r="G15" t="s">
        <v>405</v>
      </c>
      <c r="H15" s="89">
        <f>'[3]FIHI (PBC Q364)'!G54</f>
        <v>509317931.60000002</v>
      </c>
      <c r="I15" s="89">
        <f>'[3]FIHI (PBC Q364)'!G55</f>
        <v>26896977.400000002</v>
      </c>
      <c r="J15" s="89">
        <f>'[3]FIHI (PBC Q364)'!G51</f>
        <v>13080904.6189161</v>
      </c>
      <c r="K15" s="89">
        <f>'[3]FIHI (PBC Q364)'!G56</f>
        <v>4736923.1899999995</v>
      </c>
      <c r="L15" s="89">
        <f>'[3]FIHI (PBC Q364)'!G52</f>
        <v>260304.85000000003</v>
      </c>
      <c r="M15" s="14">
        <f>H15+J15+L15</f>
        <v>522659141.06891614</v>
      </c>
      <c r="N15" s="14">
        <f>H15</f>
        <v>509317931.60000002</v>
      </c>
      <c r="O15" s="63">
        <f t="shared" si="20"/>
        <v>522659000</v>
      </c>
      <c r="P15" s="63">
        <f t="shared" si="20"/>
        <v>509318000</v>
      </c>
      <c r="Q15" s="14">
        <f>H15-SUM(S15,T15,U15)+L15</f>
        <v>477944335.86000007</v>
      </c>
      <c r="R15" s="63">
        <f>I15+J15+U15+K15</f>
        <v>44714805.208916098</v>
      </c>
      <c r="S15" s="63">
        <f>R15-U15-J15</f>
        <v>31633900.589999996</v>
      </c>
      <c r="T15" s="96">
        <f>'[3]FIHI (PBC Q364)'!G59</f>
        <v>0</v>
      </c>
      <c r="U15" s="97">
        <f>'[3]FIHI (PBC Q364)'!G50</f>
        <v>0</v>
      </c>
      <c r="W15" s="64">
        <f>SUM(S15:T15,J15)</f>
        <v>44714805.208916098</v>
      </c>
      <c r="X15" s="64">
        <f t="shared" ref="X15" si="23">Q15</f>
        <v>477944335.86000007</v>
      </c>
      <c r="Y15" s="64">
        <f t="shared" ref="Y15" si="24">U15</f>
        <v>0</v>
      </c>
      <c r="Z15" s="64">
        <f>L15</f>
        <v>260304.85000000003</v>
      </c>
      <c r="AA15" s="64">
        <f>J15</f>
        <v>13080904.6189161</v>
      </c>
      <c r="AB15" s="64">
        <f t="shared" ref="AB15" si="25">ROUND(W15,-3)</f>
        <v>44715000</v>
      </c>
      <c r="AC15" s="64"/>
      <c r="AD15" s="64">
        <f t="shared" ref="AD15" si="26">ROUND(X15,-3)</f>
        <v>477944000</v>
      </c>
      <c r="AE15" s="64"/>
      <c r="AF15" s="64">
        <f t="shared" ref="AF15" si="27">ROUND(Y15,-3)</f>
        <v>0</v>
      </c>
      <c r="AG15" s="64">
        <f t="shared" ref="AG15" si="28">ROUND(Z15,-3)</f>
        <v>260000</v>
      </c>
      <c r="AI15" s="14">
        <v>0</v>
      </c>
      <c r="AJ15" s="14"/>
      <c r="AK15" s="63">
        <f>ROUND(AA15,-3)</f>
        <v>13081000</v>
      </c>
      <c r="AM15" s="120">
        <f>_xlfn.XLOOKUP(AM$4,'[3]FIHI (PBC Q364)'!$D$63:$S$63,'[3]FIHI (PBC Q364)'!$D$64:$S$64)</f>
        <v>443664030.62</v>
      </c>
      <c r="AN15" s="89">
        <f>_xlfn.XLOOKUP(AN$4,'[3]FIHI (PBC Q364)'!$D$63:$S$63,'[3]FIHI (PBC Q364)'!$D$64:$S$64)</f>
        <v>445978745.96000004</v>
      </c>
      <c r="AO15" s="89">
        <f>_xlfn.XLOOKUP(AO$4,'[3]FIHI (PBC Q364)'!$D$63:$S$63,'[3]FIHI (PBC Q364)'!$D$64:$S$64)</f>
        <v>509317931.60000002</v>
      </c>
      <c r="AP15" s="117">
        <f t="shared" si="22"/>
        <v>443664000</v>
      </c>
      <c r="AQ15" s="63">
        <f t="shared" si="22"/>
        <v>445979000</v>
      </c>
      <c r="AR15" s="63">
        <f t="shared" si="22"/>
        <v>509318000</v>
      </c>
      <c r="AS15" t="s">
        <v>405</v>
      </c>
    </row>
    <row r="16" spans="2:45" x14ac:dyDescent="0.4">
      <c r="B16" s="8" t="s">
        <v>30</v>
      </c>
      <c r="C16" s="76">
        <v>0</v>
      </c>
      <c r="D16" s="76">
        <v>0</v>
      </c>
      <c r="G16" t="s">
        <v>411</v>
      </c>
      <c r="H16" s="89">
        <f>'[3]FIHI (PBC 2YIG)'!G54</f>
        <v>86558561.840000004</v>
      </c>
      <c r="I16" s="89">
        <f>'[3]FIHI (PBC 2YIG)'!G55</f>
        <v>1223423.25</v>
      </c>
      <c r="J16" s="89">
        <f>'[3]FIHI (PBC 2YIG)'!G51</f>
        <v>839771.37</v>
      </c>
      <c r="K16" s="89">
        <f>'[3]FIHI (PBC 2YIG)'!G56</f>
        <v>0</v>
      </c>
      <c r="L16" s="89">
        <f>'[3]FIHI (PBC 2YIG)'!G52</f>
        <v>109952.46</v>
      </c>
      <c r="M16" s="14">
        <f t="shared" ref="M16:M17" si="29">H16+J16+L16</f>
        <v>87508285.670000002</v>
      </c>
      <c r="N16" s="14">
        <f t="shared" ref="N16:N17" si="30">H16</f>
        <v>86558561.840000004</v>
      </c>
      <c r="O16" s="63">
        <f t="shared" ref="O16:O17" si="31">ROUND(M16,-3)</f>
        <v>87508000</v>
      </c>
      <c r="P16" s="63">
        <f t="shared" ref="P16:P17" si="32">ROUND(N16,-3)</f>
        <v>86559000</v>
      </c>
      <c r="Q16" s="14">
        <f t="shared" ref="Q16:Q17" si="33">H16-SUM(S16,T16,U16)+L16</f>
        <v>85445091.049999997</v>
      </c>
      <c r="R16" s="63">
        <f t="shared" ref="R16:R17" si="34">I16+J16+U16+K16</f>
        <v>2063194.62</v>
      </c>
      <c r="S16" s="63">
        <f t="shared" ref="S16:S17" si="35">R16-U16-J16</f>
        <v>1223423.25</v>
      </c>
      <c r="T16" s="96">
        <f>'[3]FIHI (PBC 2YIG)'!G59</f>
        <v>0</v>
      </c>
      <c r="U16" s="97">
        <f>'[3]FIHI (PBC 2YIG)'!G50</f>
        <v>0</v>
      </c>
      <c r="W16" s="64">
        <f t="shared" ref="W16:W17" si="36">SUM(S16:T16,J16)</f>
        <v>2063194.62</v>
      </c>
      <c r="X16" s="64">
        <f t="shared" ref="X16:X17" si="37">Q16</f>
        <v>85445091.049999997</v>
      </c>
      <c r="Y16" s="64">
        <f t="shared" ref="Y16:Y17" si="38">U16</f>
        <v>0</v>
      </c>
      <c r="Z16" s="64">
        <f t="shared" ref="Z16:Z17" si="39">L16</f>
        <v>109952.46</v>
      </c>
      <c r="AA16" s="64">
        <f t="shared" ref="AA16:AA17" si="40">J16</f>
        <v>839771.37</v>
      </c>
      <c r="AB16" s="64">
        <f t="shared" ref="AB16:AB17" si="41">ROUND(W16,-3)</f>
        <v>2063000</v>
      </c>
      <c r="AC16" s="64"/>
      <c r="AD16" s="64">
        <f t="shared" ref="AD16:AD17" si="42">ROUND(X16,-3)</f>
        <v>85445000</v>
      </c>
      <c r="AE16" s="64"/>
      <c r="AF16" s="64">
        <f t="shared" ref="AF16:AF17" si="43">ROUND(Y16,-3)</f>
        <v>0</v>
      </c>
      <c r="AG16" s="64">
        <f t="shared" ref="AG16:AG17" si="44">ROUND(Z16,-3)</f>
        <v>110000</v>
      </c>
      <c r="AI16" s="14">
        <v>0</v>
      </c>
      <c r="AJ16" s="14"/>
      <c r="AK16" s="63">
        <f t="shared" ref="AK16:AK17" si="45">ROUND(AA16,-3)</f>
        <v>840000</v>
      </c>
      <c r="AM16" s="120">
        <f>_xlfn.XLOOKUP(AM$4,'[3]FIHI (PBC 2YIG)'!$D$63:$W$63,'[3]FIHI (PBC 2YIG)'!$D$64:$W$64)</f>
        <v>87865658.010000005</v>
      </c>
      <c r="AN16" s="89">
        <f>_xlfn.XLOOKUP(AN$4,'[3]FIHI (PBC 2YIG)'!$D$63:$W$63,'[3]FIHI (PBC 2YIG)'!$D$64:$W$64)</f>
        <v>88219763.400000006</v>
      </c>
      <c r="AO16" s="89">
        <f>_xlfn.XLOOKUP(AO$4,'[3]FIHI (PBC 2YIG)'!$D$63:$W$63,'[3]FIHI (PBC 2YIG)'!$D$64:$W$64)</f>
        <v>86558561.840000004</v>
      </c>
      <c r="AP16" s="117">
        <f t="shared" ref="AP16:AP17" si="46">ROUND(AM16,-3)</f>
        <v>87866000</v>
      </c>
      <c r="AQ16" s="63">
        <f t="shared" ref="AQ16:AQ17" si="47">ROUND(AN16,-3)</f>
        <v>88220000</v>
      </c>
      <c r="AR16" s="63">
        <f t="shared" ref="AR16:AR17" si="48">ROUND(AO16,-3)</f>
        <v>86559000</v>
      </c>
      <c r="AS16" t="s">
        <v>411</v>
      </c>
    </row>
    <row r="17" spans="2:45" x14ac:dyDescent="0.4">
      <c r="B17" s="8"/>
      <c r="G17" t="s">
        <v>410</v>
      </c>
      <c r="H17" s="89">
        <f>'[3]FIHI (PBC A1)'!G54</f>
        <v>76379401.450000003</v>
      </c>
      <c r="I17" s="89">
        <f>'[3]FIHI (PBC A1)'!G55</f>
        <v>7068807.54</v>
      </c>
      <c r="J17" s="89">
        <f>'[3]FIHI (PBC A1)'!G51</f>
        <v>0</v>
      </c>
      <c r="K17" s="89">
        <f>'[3]FIHI (PBC A1)'!G56</f>
        <v>0</v>
      </c>
      <c r="L17" s="89">
        <f>'[3]FIHI (PBC A1)'!G52</f>
        <v>98228.72</v>
      </c>
      <c r="M17" s="14">
        <f t="shared" si="29"/>
        <v>76477630.170000002</v>
      </c>
      <c r="N17" s="14">
        <f t="shared" si="30"/>
        <v>76379401.450000003</v>
      </c>
      <c r="O17" s="63">
        <f t="shared" si="31"/>
        <v>76478000</v>
      </c>
      <c r="P17" s="63">
        <f t="shared" si="32"/>
        <v>76379000</v>
      </c>
      <c r="Q17" s="14">
        <f t="shared" si="33"/>
        <v>69408822.629999995</v>
      </c>
      <c r="R17" s="63">
        <f t="shared" si="34"/>
        <v>7068807.54</v>
      </c>
      <c r="S17" s="63">
        <f t="shared" si="35"/>
        <v>7068807.54</v>
      </c>
      <c r="T17" s="96">
        <f>'[3]FIHI (PBC A1)'!G59</f>
        <v>0</v>
      </c>
      <c r="U17" s="97">
        <f>'[3]FIHI (PBC A1)'!G50</f>
        <v>0</v>
      </c>
      <c r="W17" s="64">
        <f t="shared" si="36"/>
        <v>7068807.54</v>
      </c>
      <c r="X17" s="64">
        <f t="shared" si="37"/>
        <v>69408822.629999995</v>
      </c>
      <c r="Y17" s="64">
        <f t="shared" si="38"/>
        <v>0</v>
      </c>
      <c r="Z17" s="64">
        <f t="shared" si="39"/>
        <v>98228.72</v>
      </c>
      <c r="AA17" s="64">
        <f t="shared" si="40"/>
        <v>0</v>
      </c>
      <c r="AB17" s="64">
        <f t="shared" si="41"/>
        <v>7069000</v>
      </c>
      <c r="AC17" s="64"/>
      <c r="AD17" s="64">
        <f t="shared" si="42"/>
        <v>69409000</v>
      </c>
      <c r="AE17" s="64"/>
      <c r="AF17" s="64">
        <f t="shared" si="43"/>
        <v>0</v>
      </c>
      <c r="AG17" s="64">
        <f t="shared" si="44"/>
        <v>98000</v>
      </c>
      <c r="AI17" s="14">
        <v>0</v>
      </c>
      <c r="AJ17" s="14"/>
      <c r="AK17" s="63">
        <f t="shared" si="45"/>
        <v>0</v>
      </c>
      <c r="AM17" s="120">
        <f>_xlfn.XLOOKUP(AM$4,'[3]FIHI (PBC A1)'!$D$63:$W$63,'[3]FIHI (PBC A1)'!$D$64:$W$64)</f>
        <v>75487996.920000002</v>
      </c>
      <c r="AN17" s="89">
        <f>_xlfn.XLOOKUP(AN$4,'[3]FIHI (PBC A1)'!$D$63:$W$63,'[3]FIHI (PBC A1)'!$D$64:$W$64)</f>
        <v>75916843.150000006</v>
      </c>
      <c r="AO17" s="89">
        <f>_xlfn.XLOOKUP(AO$4,'[3]FIHI (PBC A1)'!$D$63:$W$63,'[3]FIHI (PBC A1)'!$D$64:$W$64)</f>
        <v>76379401.450000003</v>
      </c>
      <c r="AP17" s="117">
        <f t="shared" si="46"/>
        <v>75488000</v>
      </c>
      <c r="AQ17" s="63">
        <f t="shared" si="47"/>
        <v>75917000</v>
      </c>
      <c r="AR17" s="63">
        <f t="shared" si="48"/>
        <v>76379000</v>
      </c>
      <c r="AS17" t="s">
        <v>410</v>
      </c>
    </row>
    <row r="18" spans="2:45" x14ac:dyDescent="0.4">
      <c r="B18" s="8"/>
      <c r="G18" t="s">
        <v>451</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 thickBot="1" x14ac:dyDescent="0.45">
      <c r="B19" s="8"/>
      <c r="G19" s="3" t="s">
        <v>355</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 thickTop="1" x14ac:dyDescent="0.4">
      <c r="C20" s="64"/>
      <c r="G20" t="s">
        <v>359</v>
      </c>
      <c r="H20" s="63">
        <f>SUM(H9:H15,H19)</f>
        <v>3147003131.0422997</v>
      </c>
      <c r="I20" s="63"/>
      <c r="J20" s="63">
        <f>SUM(J9:J15,J19)</f>
        <v>37051218.312794767</v>
      </c>
      <c r="K20" s="63"/>
      <c r="L20" s="63">
        <f t="shared" ref="L20:R20" si="72">SUM(L9:L15,L19)</f>
        <v>1265795.1000000001</v>
      </c>
      <c r="M20" s="63">
        <f t="shared" si="72"/>
        <v>3185320144.4550948</v>
      </c>
      <c r="N20" s="63">
        <f t="shared" si="72"/>
        <v>3147003131.0422997</v>
      </c>
      <c r="O20" s="63">
        <f t="shared" si="72"/>
        <v>3185319000</v>
      </c>
      <c r="P20" s="63">
        <f t="shared" si="72"/>
        <v>3147003000</v>
      </c>
      <c r="Q20" s="63">
        <f t="shared" si="72"/>
        <v>3061635686.9923</v>
      </c>
      <c r="R20" s="63">
        <f t="shared" si="72"/>
        <v>123684457.46279475</v>
      </c>
      <c r="S20" s="63">
        <f t="shared" ref="S20:U20" si="73">SUM(S9:S15,S19)</f>
        <v>86084149.25999999</v>
      </c>
      <c r="T20" s="63">
        <f t="shared" si="73"/>
        <v>0</v>
      </c>
      <c r="U20" s="63">
        <f t="shared" si="73"/>
        <v>379000</v>
      </c>
      <c r="AM20" s="114"/>
      <c r="AP20" s="114"/>
    </row>
    <row r="21" spans="2:45" x14ac:dyDescent="0.4">
      <c r="C21" s="64"/>
      <c r="G21" t="s">
        <v>470</v>
      </c>
      <c r="H21" s="64">
        <f>SUM(H16:H17)</f>
        <v>162937963.29000002</v>
      </c>
      <c r="I21" s="63"/>
      <c r="J21" s="64">
        <f>SUM(J16:J17)</f>
        <v>839771.37</v>
      </c>
      <c r="K21" s="63"/>
      <c r="L21" s="64">
        <f t="shared" ref="L21:R21" si="74">SUM(L16:L17)</f>
        <v>208181.18</v>
      </c>
      <c r="M21" s="64">
        <f t="shared" si="74"/>
        <v>163985915.84</v>
      </c>
      <c r="N21" s="64">
        <f t="shared" si="74"/>
        <v>162937963.29000002</v>
      </c>
      <c r="O21" s="64">
        <f t="shared" si="74"/>
        <v>163986000</v>
      </c>
      <c r="P21" s="64">
        <f t="shared" si="74"/>
        <v>162938000</v>
      </c>
      <c r="Q21" s="64">
        <f t="shared" si="74"/>
        <v>154853913.68000001</v>
      </c>
      <c r="R21" s="64">
        <f t="shared" si="74"/>
        <v>9132002.1600000001</v>
      </c>
      <c r="S21" s="64">
        <f t="shared" ref="S21:U21" si="75">SUM(S16:S17)</f>
        <v>8292230.79</v>
      </c>
      <c r="T21" s="64">
        <f t="shared" si="75"/>
        <v>0</v>
      </c>
      <c r="U21" s="64">
        <f t="shared" si="75"/>
        <v>0</v>
      </c>
      <c r="AM21" s="114"/>
      <c r="AP21" s="114"/>
    </row>
    <row r="22" spans="2:45" s="3" customFormat="1" ht="15" thickBot="1" x14ac:dyDescent="0.45">
      <c r="G22" s="3" t="s">
        <v>451</v>
      </c>
      <c r="M22" s="91">
        <f>N18+C45</f>
        <v>1393641356.9872046</v>
      </c>
      <c r="N22" s="100">
        <f>M22-C40</f>
        <v>356124511.20610547</v>
      </c>
      <c r="O22" s="92">
        <f>ROUND(M22,-3)</f>
        <v>1393641000</v>
      </c>
      <c r="P22" s="92">
        <f>ROUND(N22,-3)</f>
        <v>356125000</v>
      </c>
      <c r="AM22" s="118"/>
      <c r="AP22" s="118"/>
    </row>
    <row r="23" spans="2:45" ht="15" thickTop="1" x14ac:dyDescent="0.4"/>
    <row r="25" spans="2:45" ht="15.9" x14ac:dyDescent="0.45">
      <c r="B25" s="6" t="s">
        <v>31</v>
      </c>
    </row>
    <row r="26" spans="2:45" x14ac:dyDescent="0.4">
      <c r="B26" t="s">
        <v>144</v>
      </c>
    </row>
    <row r="27" spans="2:45" ht="15" customHeight="1" x14ac:dyDescent="0.4">
      <c r="B27" t="s">
        <v>145</v>
      </c>
    </row>
    <row r="28" spans="2:45" ht="15" customHeight="1" x14ac:dyDescent="0.4">
      <c r="B28" t="s">
        <v>146</v>
      </c>
    </row>
    <row r="30" spans="2:45" x14ac:dyDescent="0.4">
      <c r="B30" s="5" t="s">
        <v>33</v>
      </c>
      <c r="C30" s="5" t="s">
        <v>32</v>
      </c>
    </row>
    <row r="31" spans="2:45" ht="91.5" customHeight="1" x14ac:dyDescent="0.4">
      <c r="B31" s="82" t="s">
        <v>391</v>
      </c>
      <c r="C31" s="157" t="s">
        <v>404</v>
      </c>
      <c r="D31" s="158"/>
      <c r="E31" s="158"/>
      <c r="F31" s="158"/>
      <c r="G31" s="158"/>
      <c r="H31" s="158"/>
      <c r="I31" s="158"/>
      <c r="J31" s="158"/>
      <c r="K31" s="158"/>
      <c r="L31" s="159"/>
    </row>
    <row r="33" spans="2:26" ht="15" thickBot="1" x14ac:dyDescent="0.45">
      <c r="B33" s="64"/>
      <c r="C33" s="64"/>
    </row>
    <row r="34" spans="2:26" ht="15" thickBot="1" x14ac:dyDescent="0.45">
      <c r="L34" s="133" t="s">
        <v>446</v>
      </c>
      <c r="M34" s="134"/>
      <c r="N34" s="135"/>
    </row>
    <row r="35" spans="2:26" x14ac:dyDescent="0.4">
      <c r="B35" s="5" t="s">
        <v>460</v>
      </c>
    </row>
    <row r="36" spans="2:26" ht="15" thickBot="1" x14ac:dyDescent="0.45">
      <c r="B36" s="3"/>
      <c r="C36" s="3"/>
      <c r="D36" s="3"/>
      <c r="G36" s="5" t="s">
        <v>447</v>
      </c>
      <c r="H36" s="5" t="s">
        <v>447</v>
      </c>
      <c r="I36" s="5" t="s">
        <v>447</v>
      </c>
      <c r="J36" s="5" t="s">
        <v>447</v>
      </c>
      <c r="K36" s="5" t="s">
        <v>447</v>
      </c>
      <c r="L36" s="5" t="s">
        <v>447</v>
      </c>
      <c r="M36" s="5" t="s">
        <v>447</v>
      </c>
      <c r="N36" s="5" t="s">
        <v>447</v>
      </c>
      <c r="O36" s="5" t="s">
        <v>447</v>
      </c>
      <c r="P36" s="5" t="s">
        <v>447</v>
      </c>
      <c r="Q36" s="5" t="s">
        <v>447</v>
      </c>
      <c r="R36" s="5" t="s">
        <v>447</v>
      </c>
      <c r="S36" s="5" t="s">
        <v>447</v>
      </c>
      <c r="T36" s="5" t="s">
        <v>447</v>
      </c>
      <c r="U36" s="5" t="s">
        <v>447</v>
      </c>
      <c r="V36" s="5" t="s">
        <v>447</v>
      </c>
      <c r="W36" s="5" t="s">
        <v>447</v>
      </c>
      <c r="X36" s="5" t="s">
        <v>447</v>
      </c>
      <c r="Y36" s="5" t="s">
        <v>447</v>
      </c>
      <c r="Z36" s="5" t="s">
        <v>447</v>
      </c>
    </row>
    <row r="37" spans="2:26" ht="15" thickTop="1" x14ac:dyDescent="0.4">
      <c r="B37" s="146" t="s">
        <v>452</v>
      </c>
      <c r="C37" s="149">
        <f>-[4]NAV!$Q$137-([4]NAV!$Q$138*[4]NAV!$I$10)</f>
        <v>927553050.09833014</v>
      </c>
      <c r="D37" s="150">
        <f t="shared" ref="D37:D53" si="76">ROUND(C37,-3)</f>
        <v>927553000</v>
      </c>
      <c r="G37" s="16" t="s">
        <v>351</v>
      </c>
      <c r="H37" s="16" t="s">
        <v>351</v>
      </c>
      <c r="I37" s="16" t="s">
        <v>352</v>
      </c>
      <c r="J37" s="16" t="s">
        <v>352</v>
      </c>
      <c r="K37" s="16" t="s">
        <v>353</v>
      </c>
      <c r="L37" s="16" t="s">
        <v>353</v>
      </c>
      <c r="M37" s="16" t="s">
        <v>356</v>
      </c>
      <c r="N37" s="16" t="s">
        <v>356</v>
      </c>
      <c r="O37" s="16" t="s">
        <v>354</v>
      </c>
      <c r="P37" s="16" t="s">
        <v>354</v>
      </c>
      <c r="Q37" s="16" t="s">
        <v>395</v>
      </c>
      <c r="R37" s="16" t="s">
        <v>395</v>
      </c>
      <c r="S37" s="16" t="s">
        <v>405</v>
      </c>
      <c r="T37" s="16" t="s">
        <v>405</v>
      </c>
      <c r="U37" s="16" t="s">
        <v>411</v>
      </c>
      <c r="V37" s="16" t="s">
        <v>411</v>
      </c>
      <c r="W37" s="16" t="s">
        <v>410</v>
      </c>
      <c r="X37" s="16" t="s">
        <v>410</v>
      </c>
      <c r="Y37" s="16" t="s">
        <v>451</v>
      </c>
      <c r="Z37" s="16" t="s">
        <v>451</v>
      </c>
    </row>
    <row r="38" spans="2:26" ht="15" thickBot="1" x14ac:dyDescent="0.45">
      <c r="B38" s="146" t="s">
        <v>453</v>
      </c>
      <c r="C38" s="147">
        <f>-SUM([4]NAV!$Q$119:$Q$121,[4]NAV!$Q$126)/C37</f>
        <v>0.67783789086433155</v>
      </c>
      <c r="D38" s="148">
        <f>C38</f>
        <v>0.67783789086433155</v>
      </c>
      <c r="G38" s="101" t="s">
        <v>345</v>
      </c>
      <c r="H38" s="129" t="s">
        <v>344</v>
      </c>
      <c r="I38" s="101" t="s">
        <v>345</v>
      </c>
      <c r="J38" s="129" t="s">
        <v>344</v>
      </c>
      <c r="K38" s="101" t="s">
        <v>345</v>
      </c>
      <c r="L38" s="129" t="s">
        <v>344</v>
      </c>
      <c r="M38" s="101" t="s">
        <v>345</v>
      </c>
      <c r="N38" s="129" t="s">
        <v>344</v>
      </c>
      <c r="O38" s="101" t="s">
        <v>345</v>
      </c>
      <c r="P38" s="129" t="s">
        <v>344</v>
      </c>
      <c r="Q38" s="101" t="s">
        <v>345</v>
      </c>
      <c r="R38" s="129" t="s">
        <v>344</v>
      </c>
      <c r="S38" s="101" t="s">
        <v>345</v>
      </c>
      <c r="T38" s="129" t="s">
        <v>344</v>
      </c>
      <c r="U38" s="101" t="s">
        <v>345</v>
      </c>
      <c r="V38" s="129" t="s">
        <v>344</v>
      </c>
      <c r="W38" s="101" t="s">
        <v>345</v>
      </c>
      <c r="X38" s="129" t="s">
        <v>344</v>
      </c>
      <c r="Y38" s="101" t="s">
        <v>345</v>
      </c>
      <c r="Z38" s="129" t="s">
        <v>344</v>
      </c>
    </row>
    <row r="39" spans="2:26" ht="15" thickTop="1" x14ac:dyDescent="0.4">
      <c r="B39" s="146" t="s">
        <v>454</v>
      </c>
      <c r="C39" s="149">
        <f>[4]NAV!$E$34</f>
        <v>4141691.3400619999</v>
      </c>
      <c r="D39" s="150">
        <f t="shared" si="76"/>
        <v>4142000</v>
      </c>
      <c r="F39" s="16" t="s">
        <v>434</v>
      </c>
      <c r="G39" s="124">
        <f>[2]USG!AA5</f>
        <v>1.0048658546172857</v>
      </c>
      <c r="H39" s="125">
        <f>[2]USG!AB5</f>
        <v>1.0046950633712304</v>
      </c>
      <c r="I39" s="123">
        <f>'[3]FIHI (PBC M)'!AA5</f>
        <v>1.005263298638073</v>
      </c>
      <c r="J39" s="125">
        <f>'[3]FIHI (PBC M)'!AB5</f>
        <v>1.0050333435255592</v>
      </c>
      <c r="K39" s="123">
        <f>'[3]FIHI (PBC C1)'!AA5</f>
        <v>1.0052912765894633</v>
      </c>
      <c r="L39" s="125">
        <f>'[3]FIHI (PBC C1)'!AB5</f>
        <v>1.0050349344068685</v>
      </c>
      <c r="M39" s="123">
        <f>'[3]FIHI (PBC MIG)'!AA5</f>
        <v>1.0054072545347901</v>
      </c>
      <c r="N39" s="125">
        <f>'[3]FIHI (PBC MIG)'!AB5</f>
        <v>1.0051193884686629</v>
      </c>
      <c r="O39" s="123">
        <f>'[3]FIHI (PBC Q1)'!AA5</f>
        <v>1.0055187353954613</v>
      </c>
      <c r="P39" s="125">
        <f>'[3]FIHI (PBC Q1)'!AB5</f>
        <v>1.0051833197696338</v>
      </c>
      <c r="Q39" s="123">
        <f>'[3]FIHI (PBC QX)'!AA5</f>
        <v>1.0057322576102481</v>
      </c>
      <c r="R39" s="125">
        <f>'[3]FIHI (PBC QX)'!AB5</f>
        <v>1.0053986567291271</v>
      </c>
      <c r="S39" s="123">
        <f>'[3]FIHI (PBC Q364)'!AA5</f>
        <v>1.0058955794609765</v>
      </c>
      <c r="T39" s="125">
        <f>'[3]FIHI (PBC Q364)'!AB5</f>
        <v>1.0056147400495008</v>
      </c>
      <c r="U39" s="123">
        <f>'[3]FIHI (PBC 2YIG)'!AA5</f>
        <v>1.0052845014148641</v>
      </c>
      <c r="V39" s="125">
        <f>'[3]FIHI (PBC 2YIG)'!AB5</f>
        <v>1.0051053386541431</v>
      </c>
      <c r="W39" s="123">
        <f>'[3]FIHI (PBC A1)'!AA5</f>
        <v>1.0065812554102398</v>
      </c>
      <c r="X39" s="125">
        <f>'[3]FIHI (PBC A1)'!AB5</f>
        <v>1.0061098695266519</v>
      </c>
      <c r="Y39" s="123">
        <f>[4]MMT!AA5</f>
        <v>1.59401204572334</v>
      </c>
      <c r="Z39" s="125">
        <f>[4]MMT!AB5</f>
        <v>1.2113538022298411</v>
      </c>
    </row>
    <row r="40" spans="2:26" x14ac:dyDescent="0.4">
      <c r="B40" s="146" t="s">
        <v>455</v>
      </c>
      <c r="C40" s="149">
        <f>[4]NAV!$E$38</f>
        <v>1037516845.7810991</v>
      </c>
      <c r="D40" s="150">
        <f t="shared" si="76"/>
        <v>1037517000</v>
      </c>
      <c r="F40" s="16" t="s">
        <v>435</v>
      </c>
      <c r="G40" s="124">
        <f>[2]USG!AA6</f>
        <v>1.0045222900874389</v>
      </c>
      <c r="H40" s="125">
        <f>[2]USG!AB6</f>
        <v>1.0043940437764809</v>
      </c>
      <c r="I40" s="123">
        <f>'[3]FIHI (PBC M)'!AA6</f>
        <v>1.0048599949388299</v>
      </c>
      <c r="J40" s="125">
        <f>'[3]FIHI (PBC M)'!AB6</f>
        <v>1.0046744168866069</v>
      </c>
      <c r="K40" s="123">
        <f>'[3]FIHI (PBC C1)'!AA6</f>
        <v>1.0048687750493663</v>
      </c>
      <c r="L40" s="125">
        <f>'[3]FIHI (PBC C1)'!AB6</f>
        <v>1.0046912929203287</v>
      </c>
      <c r="M40" s="123">
        <f>'[3]FIHI (PBC MIG)'!AA6</f>
        <v>1.0050145045216148</v>
      </c>
      <c r="N40" s="125">
        <f>'[3]FIHI (PBC MIG)'!AB6</f>
        <v>1.0047734522308442</v>
      </c>
      <c r="O40" s="123">
        <f>'[3]FIHI (PBC Q1)'!AA6</f>
        <v>1.0051243755406343</v>
      </c>
      <c r="P40" s="125">
        <f>'[3]FIHI (PBC Q1)'!AB6</f>
        <v>1.004822883661654</v>
      </c>
      <c r="Q40" s="123">
        <f>'[3]FIHI (PBC QX)'!AA6</f>
        <v>1.0053193907915892</v>
      </c>
      <c r="R40" s="125">
        <f>'[3]FIHI (PBC QX)'!AB6</f>
        <v>1.0050233844161827</v>
      </c>
      <c r="S40" s="123">
        <f>'[3]FIHI (PBC Q364)'!AA6</f>
        <v>1.0054567407757811</v>
      </c>
      <c r="T40" s="125">
        <f>'[3]FIHI (PBC Q364)'!AB6</f>
        <v>1.0052172706828753</v>
      </c>
      <c r="U40" s="123">
        <f>'[3]FIHI (PBC 2YIG)'!AA6</f>
        <v>1.0042198748101581</v>
      </c>
      <c r="V40" s="125">
        <f>'[3]FIHI (PBC 2YIG)'!AB6</f>
        <v>1.0040300772568016</v>
      </c>
      <c r="W40" s="123">
        <f>'[3]FIHI (PBC A1)'!AA6</f>
        <v>1.0061190161025346</v>
      </c>
      <c r="X40" s="125">
        <f>'[3]FIHI (PBC A1)'!AB6</f>
        <v>1.0056809856864328</v>
      </c>
      <c r="Y40" s="123">
        <f>[4]MMT!AA6</f>
        <v>1.5164663278964976</v>
      </c>
      <c r="Z40" s="125">
        <f>[4]MMT!AB6</f>
        <v>1.1881834759520493</v>
      </c>
    </row>
    <row r="41" spans="2:26" x14ac:dyDescent="0.4">
      <c r="B41" s="146" t="s">
        <v>456</v>
      </c>
      <c r="C41" s="151"/>
      <c r="D41" s="150">
        <f t="shared" si="76"/>
        <v>0</v>
      </c>
      <c r="F41" s="16" t="s">
        <v>436</v>
      </c>
      <c r="G41" s="124">
        <f>[2]USG!AA7</f>
        <v>1.0048147228120896</v>
      </c>
      <c r="H41" s="125">
        <f>[2]USG!AB7</f>
        <v>1.0046978203502785</v>
      </c>
      <c r="I41" s="123">
        <f>'[3]FIHI (PBC M)'!AA7</f>
        <v>1.005256736294464</v>
      </c>
      <c r="J41" s="125">
        <f>'[3]FIHI (PBC M)'!AB7</f>
        <v>1.0050009492043748</v>
      </c>
      <c r="K41" s="123">
        <f>'[3]FIHI (PBC C1)'!AA7</f>
        <v>1.0052635693529641</v>
      </c>
      <c r="L41" s="125">
        <f>'[3]FIHI (PBC C1)'!AB7</f>
        <v>1.0050174959335012</v>
      </c>
      <c r="M41" s="123">
        <f>'[3]FIHI (PBC MIG)'!AA7</f>
        <v>1.0053870676636574</v>
      </c>
      <c r="N41" s="125">
        <f>'[3]FIHI (PBC MIG)'!AB7</f>
        <v>1.005103645082726</v>
      </c>
      <c r="O41" s="123">
        <f>'[3]FIHI (PBC Q1)'!AA7</f>
        <v>1.0054691847479778</v>
      </c>
      <c r="P41" s="125">
        <f>'[3]FIHI (PBC Q1)'!AB7</f>
        <v>1.0051277320148555</v>
      </c>
      <c r="Q41" s="123">
        <f>'[3]FIHI (PBC QX)'!AA7</f>
        <v>1.0056145912133387</v>
      </c>
      <c r="R41" s="125">
        <f>'[3]FIHI (PBC QX)'!AB7</f>
        <v>1.0053060073531912</v>
      </c>
      <c r="S41" s="123">
        <f>'[3]FIHI (PBC Q364)'!AA7</f>
        <v>1.0058162468211154</v>
      </c>
      <c r="T41" s="125">
        <f>'[3]FIHI (PBC Q364)'!AB7</f>
        <v>1.0055440287263882</v>
      </c>
      <c r="U41" s="123">
        <f>'[3]FIHI (PBC 2YIG)'!AA7</f>
        <v>1.0058338093064407</v>
      </c>
      <c r="V41" s="125">
        <f>'[3]FIHI (PBC 2YIG)'!AB7</f>
        <v>1.0054870143725889</v>
      </c>
      <c r="W41" s="123">
        <f>'[3]FIHI (PBC A1)'!AA7</f>
        <v>1.0065622199403139</v>
      </c>
      <c r="X41" s="125">
        <f>'[3]FIHI (PBC A1)'!AB7</f>
        <v>1.0060929601496476</v>
      </c>
      <c r="Y41" s="123">
        <f>[4]MMT!AA7</f>
        <v>1.4092158877764069</v>
      </c>
      <c r="Z41" s="125">
        <f>[4]MMT!AB7</f>
        <v>1.0211331397657379</v>
      </c>
    </row>
    <row r="42" spans="2:26" x14ac:dyDescent="0.4">
      <c r="B42" s="146" t="s">
        <v>457</v>
      </c>
      <c r="C42" s="151"/>
      <c r="D42" s="150">
        <f t="shared" si="76"/>
        <v>0</v>
      </c>
      <c r="F42" s="16" t="s">
        <v>437</v>
      </c>
      <c r="G42" s="124">
        <f>[2]USG!AA8</f>
        <v>1</v>
      </c>
      <c r="H42" s="125">
        <f>[2]USG!AB8</f>
        <v>1</v>
      </c>
      <c r="I42" s="123">
        <f>'[3]FIHI (PBC M)'!AA8</f>
        <v>1</v>
      </c>
      <c r="J42" s="125">
        <f>'[3]FIHI (PBC M)'!AB8</f>
        <v>1</v>
      </c>
      <c r="K42" s="123">
        <f>'[3]FIHI (PBC C1)'!AA8</f>
        <v>1</v>
      </c>
      <c r="L42" s="125">
        <f>'[3]FIHI (PBC C1)'!AB8</f>
        <v>1</v>
      </c>
      <c r="M42" s="123">
        <f>'[3]FIHI (PBC MIG)'!AA8</f>
        <v>1</v>
      </c>
      <c r="N42" s="125">
        <f>'[3]FIHI (PBC MIG)'!AB8</f>
        <v>1</v>
      </c>
      <c r="O42" s="123">
        <f>'[3]FIHI (PBC Q1)'!AA8</f>
        <v>1</v>
      </c>
      <c r="P42" s="125">
        <f>'[3]FIHI (PBC Q1)'!AB8</f>
        <v>1</v>
      </c>
      <c r="Q42" s="123">
        <f>'[3]FIHI (PBC QX)'!AA8</f>
        <v>1</v>
      </c>
      <c r="R42" s="125">
        <f>'[3]FIHI (PBC QX)'!AB8</f>
        <v>1</v>
      </c>
      <c r="S42" s="123">
        <f>'[3]FIHI (PBC Q364)'!AA8</f>
        <v>1</v>
      </c>
      <c r="T42" s="125">
        <f>'[3]FIHI (PBC Q364)'!AB8</f>
        <v>1</v>
      </c>
      <c r="U42" s="123">
        <f>'[3]FIHI (PBC 2YIG)'!AA8</f>
        <v>1</v>
      </c>
      <c r="V42" s="125">
        <f>'[3]FIHI (PBC 2YIG)'!AB8</f>
        <v>1</v>
      </c>
      <c r="W42" s="123">
        <f>'[3]FIHI (PBC A1)'!AA8</f>
        <v>1</v>
      </c>
      <c r="X42" s="125">
        <f>'[3]FIHI (PBC A1)'!AB8</f>
        <v>1</v>
      </c>
      <c r="Y42" s="123">
        <f>[4]MMT!AA8</f>
        <v>1.4179677385949665</v>
      </c>
      <c r="Z42" s="125">
        <f>[4]MMT!AB8</f>
        <v>1.0187416825067754</v>
      </c>
    </row>
    <row r="43" spans="2:26" x14ac:dyDescent="0.4">
      <c r="B43" s="146" t="s">
        <v>458</v>
      </c>
      <c r="C43" s="149">
        <f>C39+C40+C41-C37-H18</f>
        <v>113743425.1186129</v>
      </c>
      <c r="D43" s="150">
        <f>ROUND(C43,-3)</f>
        <v>113743000</v>
      </c>
      <c r="F43" s="16" t="s">
        <v>438</v>
      </c>
      <c r="G43" s="124">
        <f>[2]USG!AA9</f>
        <v>1</v>
      </c>
      <c r="H43" s="125">
        <f>[2]USG!AB9</f>
        <v>1</v>
      </c>
      <c r="I43" s="123">
        <f>'[3]FIHI (PBC M)'!AA9</f>
        <v>1</v>
      </c>
      <c r="J43" s="125">
        <f>'[3]FIHI (PBC M)'!AB9</f>
        <v>1</v>
      </c>
      <c r="K43" s="123">
        <f>'[3]FIHI (PBC C1)'!AA9</f>
        <v>1</v>
      </c>
      <c r="L43" s="125">
        <f>'[3]FIHI (PBC C1)'!AB9</f>
        <v>1</v>
      </c>
      <c r="M43" s="123">
        <f>'[3]FIHI (PBC MIG)'!AA9</f>
        <v>1</v>
      </c>
      <c r="N43" s="125">
        <f>'[3]FIHI (PBC MIG)'!AB9</f>
        <v>1</v>
      </c>
      <c r="O43" s="123">
        <f>'[3]FIHI (PBC Q1)'!AA9</f>
        <v>1</v>
      </c>
      <c r="P43" s="125">
        <f>'[3]FIHI (PBC Q1)'!AB9</f>
        <v>1</v>
      </c>
      <c r="Q43" s="123">
        <f>'[3]FIHI (PBC QX)'!AA9</f>
        <v>1</v>
      </c>
      <c r="R43" s="125">
        <f>'[3]FIHI (PBC QX)'!AB9</f>
        <v>1</v>
      </c>
      <c r="S43" s="123">
        <f>'[3]FIHI (PBC Q364)'!AA9</f>
        <v>1</v>
      </c>
      <c r="T43" s="125">
        <f>'[3]FIHI (PBC Q364)'!AB9</f>
        <v>1</v>
      </c>
      <c r="U43" s="123">
        <f>'[3]FIHI (PBC 2YIG)'!AA9</f>
        <v>1</v>
      </c>
      <c r="V43" s="125">
        <f>'[3]FIHI (PBC 2YIG)'!AB9</f>
        <v>1</v>
      </c>
      <c r="W43" s="123">
        <f>'[3]FIHI (PBC A1)'!AA9</f>
        <v>1</v>
      </c>
      <c r="X43" s="125">
        <f>'[3]FIHI (PBC A1)'!AB9</f>
        <v>1</v>
      </c>
      <c r="Y43" s="123">
        <f>[4]MMT!AA9</f>
        <v>1.5743471865312038</v>
      </c>
      <c r="Z43" s="125">
        <f>[4]MMT!AB9</f>
        <v>1.1778786932834571</v>
      </c>
    </row>
    <row r="44" spans="2:26" x14ac:dyDescent="0.4">
      <c r="B44" s="146" t="s">
        <v>459</v>
      </c>
      <c r="C44" s="149">
        <f>C37</f>
        <v>927553050.09833014</v>
      </c>
      <c r="D44" s="150">
        <f t="shared" si="76"/>
        <v>927553000</v>
      </c>
      <c r="F44" s="16" t="s">
        <v>439</v>
      </c>
      <c r="G44" s="124">
        <f>[2]USG!AA10</f>
        <v>1</v>
      </c>
      <c r="H44" s="125">
        <f>[2]USG!AB10</f>
        <v>1</v>
      </c>
      <c r="I44" s="123">
        <f>'[3]FIHI (PBC M)'!AA10</f>
        <v>1</v>
      </c>
      <c r="J44" s="125">
        <f>'[3]FIHI (PBC M)'!AB10</f>
        <v>1</v>
      </c>
      <c r="K44" s="123">
        <f>'[3]FIHI (PBC C1)'!AA10</f>
        <v>1</v>
      </c>
      <c r="L44" s="125">
        <f>'[3]FIHI (PBC C1)'!AB10</f>
        <v>1</v>
      </c>
      <c r="M44" s="123">
        <f>'[3]FIHI (PBC MIG)'!AA10</f>
        <v>1</v>
      </c>
      <c r="N44" s="125">
        <f>'[3]FIHI (PBC MIG)'!AB10</f>
        <v>1</v>
      </c>
      <c r="O44" s="123">
        <f>'[3]FIHI (PBC Q1)'!AA10</f>
        <v>1</v>
      </c>
      <c r="P44" s="125">
        <f>'[3]FIHI (PBC Q1)'!AB10</f>
        <v>1</v>
      </c>
      <c r="Q44" s="123">
        <f>'[3]FIHI (PBC QX)'!AA10</f>
        <v>1</v>
      </c>
      <c r="R44" s="125">
        <f>'[3]FIHI (PBC QX)'!AB10</f>
        <v>1</v>
      </c>
      <c r="S44" s="123">
        <f>'[3]FIHI (PBC Q364)'!AA10</f>
        <v>1</v>
      </c>
      <c r="T44" s="125">
        <f>'[3]FIHI (PBC Q364)'!AB10</f>
        <v>1</v>
      </c>
      <c r="U44" s="123">
        <f>'[3]FIHI (PBC 2YIG)'!AA10</f>
        <v>1</v>
      </c>
      <c r="V44" s="125">
        <f>'[3]FIHI (PBC 2YIG)'!AB10</f>
        <v>1</v>
      </c>
      <c r="W44" s="123">
        <f>'[3]FIHI (PBC A1)'!AA10</f>
        <v>1</v>
      </c>
      <c r="X44" s="125">
        <f>'[3]FIHI (PBC A1)'!AB10</f>
        <v>1</v>
      </c>
      <c r="Y44" s="123">
        <f>[4]MMT!AA10</f>
        <v>1.6272644528494469</v>
      </c>
      <c r="Z44" s="125">
        <f>[4]MMT!AB10</f>
        <v>1.2238439955377221</v>
      </c>
    </row>
    <row r="45" spans="2:26" x14ac:dyDescent="0.4">
      <c r="B45" s="146" t="s">
        <v>461</v>
      </c>
      <c r="C45" s="149">
        <v>1393279295.0829866</v>
      </c>
      <c r="D45" s="150">
        <f t="shared" si="76"/>
        <v>1393279000</v>
      </c>
      <c r="F45" s="16" t="s">
        <v>440</v>
      </c>
      <c r="G45" s="124">
        <f>[2]USG!AA11</f>
        <v>1</v>
      </c>
      <c r="H45" s="125">
        <f>[2]USG!AB11</f>
        <v>1</v>
      </c>
      <c r="I45" s="123">
        <f>'[3]FIHI (PBC M)'!AA11</f>
        <v>1</v>
      </c>
      <c r="J45" s="125">
        <f>'[3]FIHI (PBC M)'!AB11</f>
        <v>1</v>
      </c>
      <c r="K45" s="123">
        <f>'[3]FIHI (PBC C1)'!AA11</f>
        <v>1</v>
      </c>
      <c r="L45" s="125">
        <f>'[3]FIHI (PBC C1)'!AB11</f>
        <v>1</v>
      </c>
      <c r="M45" s="123">
        <f>'[3]FIHI (PBC MIG)'!AA11</f>
        <v>1</v>
      </c>
      <c r="N45" s="125">
        <f>'[3]FIHI (PBC MIG)'!AB11</f>
        <v>1</v>
      </c>
      <c r="O45" s="123">
        <f>'[3]FIHI (PBC Q1)'!AA11</f>
        <v>1</v>
      </c>
      <c r="P45" s="125">
        <f>'[3]FIHI (PBC Q1)'!AB11</f>
        <v>1</v>
      </c>
      <c r="Q45" s="123">
        <f>'[3]FIHI (PBC QX)'!AA11</f>
        <v>1</v>
      </c>
      <c r="R45" s="125">
        <f>'[3]FIHI (PBC QX)'!AB11</f>
        <v>1</v>
      </c>
      <c r="S45" s="123">
        <f>'[3]FIHI (PBC Q364)'!AA11</f>
        <v>1</v>
      </c>
      <c r="T45" s="125">
        <f>'[3]FIHI (PBC Q364)'!AB11</f>
        <v>1</v>
      </c>
      <c r="U45" s="123">
        <f>'[3]FIHI (PBC 2YIG)'!AA11</f>
        <v>1</v>
      </c>
      <c r="V45" s="125">
        <f>'[3]FIHI (PBC 2YIG)'!AB11</f>
        <v>1</v>
      </c>
      <c r="W45" s="123">
        <f>'[3]FIHI (PBC A1)'!AA11</f>
        <v>1</v>
      </c>
      <c r="X45" s="125">
        <f>'[3]FIHI (PBC A1)'!AB11</f>
        <v>1</v>
      </c>
      <c r="Y45" s="123">
        <f>[4]MMT!AA11</f>
        <v>1.6935482772232238</v>
      </c>
      <c r="Z45" s="125">
        <f>[4]MMT!AB11</f>
        <v>1.2806485938692467</v>
      </c>
    </row>
    <row r="46" spans="2:26" x14ac:dyDescent="0.4">
      <c r="B46" s="146" t="s">
        <v>462</v>
      </c>
      <c r="C46" s="151"/>
      <c r="D46" s="150">
        <f t="shared" si="76"/>
        <v>0</v>
      </c>
      <c r="F46" s="16" t="s">
        <v>441</v>
      </c>
      <c r="G46" s="124">
        <f>[2]USG!AA12</f>
        <v>1</v>
      </c>
      <c r="H46" s="125">
        <f>[2]USG!AB12</f>
        <v>1</v>
      </c>
      <c r="I46" s="123">
        <f>'[3]FIHI (PBC M)'!AA12</f>
        <v>1</v>
      </c>
      <c r="J46" s="125">
        <f>'[3]FIHI (PBC M)'!AB12</f>
        <v>1</v>
      </c>
      <c r="K46" s="123">
        <f>'[3]FIHI (PBC C1)'!AA12</f>
        <v>1</v>
      </c>
      <c r="L46" s="125">
        <f>'[3]FIHI (PBC C1)'!AB12</f>
        <v>1</v>
      </c>
      <c r="M46" s="123">
        <f>'[3]FIHI (PBC MIG)'!AA12</f>
        <v>1</v>
      </c>
      <c r="N46" s="125">
        <f>'[3]FIHI (PBC MIG)'!AB12</f>
        <v>1</v>
      </c>
      <c r="O46" s="123">
        <f>'[3]FIHI (PBC Q1)'!AA12</f>
        <v>1</v>
      </c>
      <c r="P46" s="125">
        <f>'[3]FIHI (PBC Q1)'!AB12</f>
        <v>1</v>
      </c>
      <c r="Q46" s="123">
        <f>'[3]FIHI (PBC QX)'!AA12</f>
        <v>1</v>
      </c>
      <c r="R46" s="125">
        <f>'[3]FIHI (PBC QX)'!AB12</f>
        <v>1</v>
      </c>
      <c r="S46" s="123">
        <f>'[3]FIHI (PBC Q364)'!AA12</f>
        <v>1</v>
      </c>
      <c r="T46" s="125">
        <f>'[3]FIHI (PBC Q364)'!AB12</f>
        <v>1</v>
      </c>
      <c r="U46" s="123">
        <f>'[3]FIHI (PBC 2YIG)'!AA12</f>
        <v>1</v>
      </c>
      <c r="V46" s="125">
        <f>'[3]FIHI (PBC 2YIG)'!AB12</f>
        <v>1</v>
      </c>
      <c r="W46" s="123">
        <f>'[3]FIHI (PBC A1)'!AA12</f>
        <v>1</v>
      </c>
      <c r="X46" s="125">
        <f>'[3]FIHI (PBC A1)'!AB12</f>
        <v>1</v>
      </c>
      <c r="Y46" s="123">
        <f>[4]MMT!AA12</f>
        <v>1.6774664256150504</v>
      </c>
      <c r="Z46" s="125">
        <f>[4]MMT!AB12</f>
        <v>1.2772125744338874</v>
      </c>
    </row>
    <row r="47" spans="2:26" ht="15" thickBot="1" x14ac:dyDescent="0.45">
      <c r="B47" s="152" t="s">
        <v>463</v>
      </c>
      <c r="C47" s="153">
        <f>C40</f>
        <v>1037516845.7810991</v>
      </c>
      <c r="D47" s="154">
        <f t="shared" si="76"/>
        <v>1037517000</v>
      </c>
      <c r="F47" s="16" t="s">
        <v>442</v>
      </c>
      <c r="G47" s="124">
        <f>[2]USG!AA13</f>
        <v>1</v>
      </c>
      <c r="H47" s="125">
        <f>[2]USG!AB13</f>
        <v>1</v>
      </c>
      <c r="I47" s="123">
        <f>'[3]FIHI (PBC M)'!AA13</f>
        <v>1</v>
      </c>
      <c r="J47" s="125">
        <f>'[3]FIHI (PBC M)'!AB13</f>
        <v>1</v>
      </c>
      <c r="K47" s="123">
        <f>'[3]FIHI (PBC C1)'!AA13</f>
        <v>1</v>
      </c>
      <c r="L47" s="125">
        <f>'[3]FIHI (PBC C1)'!AB13</f>
        <v>1</v>
      </c>
      <c r="M47" s="123">
        <f>'[3]FIHI (PBC MIG)'!AA13</f>
        <v>1</v>
      </c>
      <c r="N47" s="125">
        <f>'[3]FIHI (PBC MIG)'!AB13</f>
        <v>1</v>
      </c>
      <c r="O47" s="123">
        <f>'[3]FIHI (PBC Q1)'!AA13</f>
        <v>1</v>
      </c>
      <c r="P47" s="125">
        <f>'[3]FIHI (PBC Q1)'!AB13</f>
        <v>1</v>
      </c>
      <c r="Q47" s="123">
        <f>'[3]FIHI (PBC QX)'!AA13</f>
        <v>1</v>
      </c>
      <c r="R47" s="125">
        <f>'[3]FIHI (PBC QX)'!AB13</f>
        <v>1</v>
      </c>
      <c r="S47" s="123">
        <f>'[3]FIHI (PBC Q364)'!AA13</f>
        <v>1</v>
      </c>
      <c r="T47" s="125">
        <f>'[3]FIHI (PBC Q364)'!AB13</f>
        <v>1</v>
      </c>
      <c r="U47" s="123">
        <f>'[3]FIHI (PBC 2YIG)'!AA13</f>
        <v>1</v>
      </c>
      <c r="V47" s="125">
        <f>'[3]FIHI (PBC 2YIG)'!AB13</f>
        <v>1</v>
      </c>
      <c r="W47" s="123">
        <f>'[3]FIHI (PBC A1)'!AA13</f>
        <v>1</v>
      </c>
      <c r="X47" s="125">
        <f>'[3]FIHI (PBC A1)'!AB13</f>
        <v>1</v>
      </c>
      <c r="Y47" s="123">
        <f>[4]MMT!AA13</f>
        <v>1.6655228235409294</v>
      </c>
      <c r="Z47" s="125">
        <f>[4]MMT!AB13</f>
        <v>1.2537772779901259</v>
      </c>
    </row>
    <row r="48" spans="2:26" x14ac:dyDescent="0.4">
      <c r="B48" s="143" t="s">
        <v>464</v>
      </c>
      <c r="C48" s="144">
        <f>-[4]NAV!Q119</f>
        <v>339527897.0562222</v>
      </c>
      <c r="D48" s="145">
        <f t="shared" si="76"/>
        <v>339528000</v>
      </c>
      <c r="F48" s="16" t="s">
        <v>443</v>
      </c>
      <c r="G48" s="124">
        <f>[2]USG!AA14</f>
        <v>1</v>
      </c>
      <c r="H48" s="125">
        <f>[2]USG!AB14</f>
        <v>1</v>
      </c>
      <c r="I48" s="123">
        <f>'[3]FIHI (PBC M)'!AA14</f>
        <v>1</v>
      </c>
      <c r="J48" s="125">
        <f>'[3]FIHI (PBC M)'!AB14</f>
        <v>1</v>
      </c>
      <c r="K48" s="123">
        <f>'[3]FIHI (PBC C1)'!AA14</f>
        <v>1</v>
      </c>
      <c r="L48" s="125">
        <f>'[3]FIHI (PBC C1)'!AB14</f>
        <v>1</v>
      </c>
      <c r="M48" s="123">
        <f>'[3]FIHI (PBC MIG)'!AA14</f>
        <v>1</v>
      </c>
      <c r="N48" s="125">
        <f>'[3]FIHI (PBC MIG)'!AB14</f>
        <v>1</v>
      </c>
      <c r="O48" s="123">
        <f>'[3]FIHI (PBC Q1)'!AA14</f>
        <v>1</v>
      </c>
      <c r="P48" s="125">
        <f>'[3]FIHI (PBC Q1)'!AB14</f>
        <v>1</v>
      </c>
      <c r="Q48" s="123">
        <f>'[3]FIHI (PBC QX)'!AA14</f>
        <v>1</v>
      </c>
      <c r="R48" s="125">
        <f>'[3]FIHI (PBC QX)'!AB14</f>
        <v>1</v>
      </c>
      <c r="S48" s="123">
        <f>'[3]FIHI (PBC Q364)'!AA14</f>
        <v>1</v>
      </c>
      <c r="T48" s="125">
        <f>'[3]FIHI (PBC Q364)'!AB14</f>
        <v>1</v>
      </c>
      <c r="U48" s="123">
        <f>'[3]FIHI (PBC 2YIG)'!AA14</f>
        <v>1</v>
      </c>
      <c r="V48" s="125">
        <f>'[3]FIHI (PBC 2YIG)'!AB14</f>
        <v>1</v>
      </c>
      <c r="W48" s="123">
        <f>'[3]FIHI (PBC A1)'!AA14</f>
        <v>1</v>
      </c>
      <c r="X48" s="125">
        <f>'[3]FIHI (PBC A1)'!AB14</f>
        <v>1</v>
      </c>
      <c r="Y48" s="123">
        <f>[4]MMT!AA14</f>
        <v>1.6836141798027588</v>
      </c>
      <c r="Z48" s="125">
        <f>[4]MMT!AB14</f>
        <v>1.2446457386732594</v>
      </c>
    </row>
    <row r="49" spans="2:26" x14ac:dyDescent="0.4">
      <c r="B49" s="146" t="s">
        <v>465</v>
      </c>
      <c r="C49" s="149">
        <f>-[4]NAV!Q120</f>
        <v>199287867.16666669</v>
      </c>
      <c r="D49" s="150">
        <f t="shared" si="76"/>
        <v>199288000</v>
      </c>
      <c r="F49" s="16" t="s">
        <v>444</v>
      </c>
      <c r="G49" s="124">
        <f>[2]USG!AA15</f>
        <v>1</v>
      </c>
      <c r="H49" s="125">
        <f>[2]USG!AB15</f>
        <v>1</v>
      </c>
      <c r="I49" s="123">
        <f>'[3]FIHI (PBC M)'!AA15</f>
        <v>1</v>
      </c>
      <c r="J49" s="125">
        <f>'[3]FIHI (PBC M)'!AB15</f>
        <v>1</v>
      </c>
      <c r="K49" s="123">
        <f>'[3]FIHI (PBC C1)'!AA15</f>
        <v>1</v>
      </c>
      <c r="L49" s="125">
        <f>'[3]FIHI (PBC C1)'!AB15</f>
        <v>1</v>
      </c>
      <c r="M49" s="123">
        <f>'[3]FIHI (PBC MIG)'!AA15</f>
        <v>1</v>
      </c>
      <c r="N49" s="125">
        <f>'[3]FIHI (PBC MIG)'!AB15</f>
        <v>1</v>
      </c>
      <c r="O49" s="123">
        <f>'[3]FIHI (PBC Q1)'!AA15</f>
        <v>1</v>
      </c>
      <c r="P49" s="125">
        <f>'[3]FIHI (PBC Q1)'!AB15</f>
        <v>1</v>
      </c>
      <c r="Q49" s="123">
        <f>'[3]FIHI (PBC QX)'!AA15</f>
        <v>1</v>
      </c>
      <c r="R49" s="125">
        <f>'[3]FIHI (PBC QX)'!AB15</f>
        <v>1</v>
      </c>
      <c r="S49" s="123">
        <f>'[3]FIHI (PBC Q364)'!AA15</f>
        <v>1</v>
      </c>
      <c r="T49" s="125">
        <f>'[3]FIHI (PBC Q364)'!AB15</f>
        <v>1</v>
      </c>
      <c r="U49" s="123">
        <f>'[3]FIHI (PBC 2YIG)'!AA15</f>
        <v>1</v>
      </c>
      <c r="V49" s="125">
        <f>'[3]FIHI (PBC 2YIG)'!AB15</f>
        <v>1</v>
      </c>
      <c r="W49" s="123">
        <f>'[3]FIHI (PBC A1)'!AA15</f>
        <v>1</v>
      </c>
      <c r="X49" s="125">
        <f>'[3]FIHI (PBC A1)'!AB15</f>
        <v>1</v>
      </c>
      <c r="Y49" s="123">
        <f>[4]MMT!AA15</f>
        <v>1.6829961833033322</v>
      </c>
      <c r="Z49" s="125">
        <f>[4]MMT!AB15</f>
        <v>1.2391706188996914</v>
      </c>
    </row>
    <row r="50" spans="2:26" ht="15" thickBot="1" x14ac:dyDescent="0.45">
      <c r="B50" s="146" t="s">
        <v>466</v>
      </c>
      <c r="C50" s="149">
        <f>-[4]NAV!Q121</f>
        <v>73487176.253874138</v>
      </c>
      <c r="D50" s="150">
        <f t="shared" si="76"/>
        <v>73487000</v>
      </c>
      <c r="F50" s="16" t="s">
        <v>445</v>
      </c>
      <c r="G50" s="126">
        <f>[2]USG!AA16</f>
        <v>1</v>
      </c>
      <c r="H50" s="127">
        <f>[2]USG!AB16</f>
        <v>1</v>
      </c>
      <c r="I50" s="128">
        <f>'[3]FIHI (PBC M)'!AA16</f>
        <v>1</v>
      </c>
      <c r="J50" s="127">
        <f>'[3]FIHI (PBC M)'!AB16</f>
        <v>1</v>
      </c>
      <c r="K50" s="128">
        <f>'[3]FIHI (PBC C1)'!AA16</f>
        <v>1</v>
      </c>
      <c r="L50" s="127">
        <f>'[3]FIHI (PBC C1)'!AB16</f>
        <v>1</v>
      </c>
      <c r="M50" s="128">
        <f>'[3]FIHI (PBC MIG)'!AA16</f>
        <v>1</v>
      </c>
      <c r="N50" s="127">
        <f>'[3]FIHI (PBC MIG)'!AB16</f>
        <v>1</v>
      </c>
      <c r="O50" s="128">
        <f>'[3]FIHI (PBC Q1)'!AA16</f>
        <v>1</v>
      </c>
      <c r="P50" s="127">
        <f>'[3]FIHI (PBC Q1)'!AB16</f>
        <v>1</v>
      </c>
      <c r="Q50" s="128">
        <f>'[3]FIHI (PBC QX)'!AA16</f>
        <v>1</v>
      </c>
      <c r="R50" s="127">
        <f>'[3]FIHI (PBC QX)'!AB16</f>
        <v>1</v>
      </c>
      <c r="S50" s="128">
        <f>'[3]FIHI (PBC Q364)'!AA16</f>
        <v>1</v>
      </c>
      <c r="T50" s="127">
        <f>'[3]FIHI (PBC Q364)'!AB16</f>
        <v>1</v>
      </c>
      <c r="U50" s="128">
        <f>'[3]FIHI (PBC 2YIG)'!AA16</f>
        <v>1</v>
      </c>
      <c r="V50" s="127">
        <f>'[3]FIHI (PBC 2YIG)'!AB16</f>
        <v>1</v>
      </c>
      <c r="W50" s="128">
        <f>'[3]FIHI (PBC A1)'!AA16</f>
        <v>1</v>
      </c>
      <c r="X50" s="127">
        <f>'[3]FIHI (PBC A1)'!AB16</f>
        <v>1</v>
      </c>
      <c r="Y50" s="128">
        <f>[4]MMT!AA16</f>
        <v>1.6839094909235528</v>
      </c>
      <c r="Z50" s="127">
        <f>[4]MMT!AB16</f>
        <v>1.2610401812995577</v>
      </c>
    </row>
    <row r="51" spans="2:26" x14ac:dyDescent="0.4">
      <c r="B51" s="146" t="s">
        <v>467</v>
      </c>
      <c r="C51" s="149">
        <f>-([4]NAV!$Q$122+[4]NAV!$Q$123)*[4]NAV!$I$10</f>
        <v>224116835.21341252</v>
      </c>
      <c r="D51" s="150">
        <f t="shared" si="76"/>
        <v>224117000</v>
      </c>
    </row>
    <row r="52" spans="2:26" x14ac:dyDescent="0.4">
      <c r="B52" s="146" t="s">
        <v>468</v>
      </c>
      <c r="C52" s="149">
        <f>-([4]NAV!$Q$124+[4]NAV!$Q$125)*[4]NAV!$I$10</f>
        <v>74705611.74148792</v>
      </c>
      <c r="D52" s="150">
        <f t="shared" si="76"/>
        <v>74706000</v>
      </c>
      <c r="G52" s="5" t="s">
        <v>450</v>
      </c>
      <c r="H52" s="5" t="s">
        <v>450</v>
      </c>
      <c r="I52" s="5" t="s">
        <v>450</v>
      </c>
      <c r="J52" s="5" t="s">
        <v>450</v>
      </c>
      <c r="K52" s="5" t="s">
        <v>450</v>
      </c>
      <c r="L52" s="5" t="s">
        <v>450</v>
      </c>
      <c r="M52" s="5" t="s">
        <v>450</v>
      </c>
      <c r="N52" s="5" t="s">
        <v>450</v>
      </c>
      <c r="O52" s="5" t="s">
        <v>450</v>
      </c>
    </row>
    <row r="53" spans="2:26" ht="15" thickBot="1" x14ac:dyDescent="0.45">
      <c r="B53" s="152" t="s">
        <v>469</v>
      </c>
      <c r="C53" s="153">
        <f>-[4]NAV!$Q$126</f>
        <v>16427662.666666666</v>
      </c>
      <c r="D53" s="154">
        <f t="shared" si="76"/>
        <v>16428000</v>
      </c>
      <c r="G53" s="16" t="s">
        <v>351</v>
      </c>
      <c r="H53" s="16" t="s">
        <v>352</v>
      </c>
      <c r="I53" s="16" t="s">
        <v>353</v>
      </c>
      <c r="J53" s="16" t="s">
        <v>356</v>
      </c>
      <c r="K53" s="16" t="s">
        <v>354</v>
      </c>
      <c r="L53" s="16" t="s">
        <v>395</v>
      </c>
      <c r="M53" s="16" t="s">
        <v>405</v>
      </c>
      <c r="N53" s="16" t="s">
        <v>411</v>
      </c>
      <c r="O53" s="16" t="s">
        <v>410</v>
      </c>
    </row>
    <row r="54" spans="2:26" x14ac:dyDescent="0.4">
      <c r="F54">
        <v>15</v>
      </c>
      <c r="G54" s="137">
        <f>ROUND('[5]USG Summary'!$R$44,0)</f>
        <v>100</v>
      </c>
      <c r="H54" s="138">
        <f>ROUND('[6]Prime Summary'!$R$47,0)</f>
        <v>87</v>
      </c>
      <c r="I54" s="138">
        <f>ROUND('[6]Prime Summary'!$U$47,0)</f>
        <v>100</v>
      </c>
      <c r="J54" s="138">
        <f>ROUND('[6]Prime Summary'!$V$47,0)</f>
        <v>97</v>
      </c>
      <c r="K54" s="138">
        <f>ROUND('[6]Prime Summary'!$W$47,0)</f>
        <v>83</v>
      </c>
      <c r="L54" s="139">
        <f>ROUND('[6]Prime Summary'!$Y$47,0)</f>
        <v>100</v>
      </c>
      <c r="M54" s="138">
        <f>ROUND('[6]Prime Summary'!$X$47,0)</f>
        <v>100</v>
      </c>
      <c r="N54" s="138">
        <f>ROUND('[6]Prime Summary'!$S$47,0)</f>
        <v>100</v>
      </c>
      <c r="O54" s="138">
        <f>ROUND('[6]Prime Summary'!$T$47,0)</f>
        <v>100</v>
      </c>
    </row>
    <row r="55" spans="2:26" x14ac:dyDescent="0.4">
      <c r="F55">
        <v>16</v>
      </c>
      <c r="H55" s="63"/>
      <c r="I55" s="63"/>
      <c r="J55" s="63"/>
      <c r="K55" s="63"/>
      <c r="L55" s="63"/>
      <c r="M55" s="63"/>
      <c r="N55" s="63"/>
      <c r="O55" s="63"/>
    </row>
    <row r="56" spans="2:26" x14ac:dyDescent="0.4">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4">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4">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4">
      <c r="F59" s="136" t="s">
        <v>93</v>
      </c>
      <c r="G59" s="137">
        <f>ROUND('[5]USG Summary'!R51,0)</f>
        <v>58</v>
      </c>
      <c r="H59" s="138">
        <f>ROUND('[6]Prime Summary'!R54,0)</f>
        <v>12</v>
      </c>
      <c r="I59" s="138">
        <f>ROUND('[6]Prime Summary'!U54,0)</f>
        <v>0</v>
      </c>
      <c r="J59" s="138">
        <f>ROUND('[6]Prime Summary'!V54,0)</f>
        <v>57</v>
      </c>
      <c r="K59" s="138">
        <f>ROUND('[6]Prime Summary'!W54,0)</f>
        <v>61</v>
      </c>
      <c r="L59" s="139">
        <f>ROUND('[6]Prime Summary'!Y54,0)</f>
        <v>18</v>
      </c>
      <c r="M59" s="138">
        <f>ROUND('[6]Prime Summary'!X54,0)</f>
        <v>16</v>
      </c>
      <c r="N59" s="138">
        <f>ROUND('[6]Prime Summary'!S54,0)</f>
        <v>83</v>
      </c>
      <c r="O59" s="138">
        <f>ROUND('[6]Prime Summary'!T54,0)</f>
        <v>20</v>
      </c>
    </row>
    <row r="60" spans="2:26" x14ac:dyDescent="0.4">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4">
      <c r="F61" s="136" t="s">
        <v>95</v>
      </c>
      <c r="G61" s="137">
        <f>ROUND('[5]USG Summary'!R53,0)</f>
        <v>0</v>
      </c>
      <c r="H61" s="138">
        <f>ROUND('[6]Prime Summary'!R56,0)</f>
        <v>27</v>
      </c>
      <c r="I61" s="138">
        <f>ROUND('[6]Prime Summary'!U56,0)</f>
        <v>0</v>
      </c>
      <c r="J61" s="138">
        <f>ROUND('[6]Prime Summary'!V56,0)</f>
        <v>31</v>
      </c>
      <c r="K61" s="138">
        <f>ROUND('[6]Prime Summary'!W56,0)</f>
        <v>0</v>
      </c>
      <c r="L61" s="139">
        <f>ROUND('[6]Prime Summary'!Y56,0)</f>
        <v>0</v>
      </c>
      <c r="M61" s="138">
        <f>ROUND('[6]Prime Summary'!X56,0)</f>
        <v>0</v>
      </c>
      <c r="N61" s="138">
        <f>ROUND('[6]Prime Summary'!S56,0)</f>
        <v>0</v>
      </c>
      <c r="O61" s="138">
        <f>ROUND('[6]Prime Summary'!T56,0)</f>
        <v>0</v>
      </c>
    </row>
    <row r="62" spans="2:26" x14ac:dyDescent="0.4">
      <c r="F62" s="136" t="s">
        <v>96</v>
      </c>
      <c r="G62" s="137">
        <f>ROUND('[5]USG Summary'!R54,0)</f>
        <v>42</v>
      </c>
      <c r="H62" s="138">
        <f>ROUND('[6]Prime Summary'!R57,0)</f>
        <v>38</v>
      </c>
      <c r="I62" s="138">
        <f>ROUND('[6]Prime Summary'!U57,0)</f>
        <v>100</v>
      </c>
      <c r="J62" s="138">
        <f>ROUND('[6]Prime Summary'!V57,0)</f>
        <v>12</v>
      </c>
      <c r="K62" s="138">
        <f>ROUND('[6]Prime Summary'!W57,0)</f>
        <v>39</v>
      </c>
      <c r="L62" s="139">
        <f>ROUND('[6]Prime Summary'!Y57,0)</f>
        <v>81</v>
      </c>
      <c r="M62" s="138">
        <f>ROUND('[6]Prime Summary'!X57,0)</f>
        <v>64</v>
      </c>
      <c r="N62" s="138">
        <f>ROUND('[6]Prime Summary'!S57,0)</f>
        <v>17</v>
      </c>
      <c r="O62" s="138">
        <f>ROUND('[6]Prime Summary'!T57,0)</f>
        <v>0</v>
      </c>
    </row>
    <row r="63" spans="2:26" x14ac:dyDescent="0.4">
      <c r="F63" s="136" t="s">
        <v>97</v>
      </c>
      <c r="G63" s="137">
        <f>ROUND('[5]USG Summary'!R55,0)</f>
        <v>0</v>
      </c>
      <c r="H63" s="138">
        <f>ROUND('[6]Prime Summary'!R58,0)</f>
        <v>0</v>
      </c>
      <c r="I63" s="138">
        <f>ROUND('[6]Prime Summary'!U58,0)</f>
        <v>0</v>
      </c>
      <c r="J63" s="138">
        <f>ROUND('[6]Prime Summary'!V58,0)</f>
        <v>0</v>
      </c>
      <c r="K63" s="138">
        <f>ROUND('[6]Prime Summary'!W58,0)</f>
        <v>0</v>
      </c>
      <c r="L63" s="139">
        <f>ROUND('[6]Prime Summary'!Y58,0)</f>
        <v>0</v>
      </c>
      <c r="M63" s="138">
        <f>ROUND('[6]Prime Summary'!X58,0)</f>
        <v>0</v>
      </c>
      <c r="N63" s="138">
        <f>ROUND('[6]Prime Summary'!S58,0)</f>
        <v>0</v>
      </c>
      <c r="O63" s="138">
        <f>ROUND('[6]Prime Summary'!T58,0)</f>
        <v>0</v>
      </c>
    </row>
    <row r="64" spans="2:26" x14ac:dyDescent="0.4">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26" x14ac:dyDescent="0.4">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26" x14ac:dyDescent="0.4">
      <c r="F66" s="136" t="s">
        <v>99</v>
      </c>
      <c r="G66" s="137">
        <f>ROUND('[5]USG Summary'!R58,0)</f>
        <v>0</v>
      </c>
      <c r="H66" s="138">
        <f>ROUND('[6]Prime Summary'!R61,0)</f>
        <v>23</v>
      </c>
      <c r="I66" s="138">
        <f>ROUND('[6]Prime Summary'!U61,0)</f>
        <v>0</v>
      </c>
      <c r="J66" s="138">
        <f>ROUND('[6]Prime Summary'!V61,0)</f>
        <v>0</v>
      </c>
      <c r="K66" s="138">
        <f>ROUND('[6]Prime Summary'!W61,0)</f>
        <v>0</v>
      </c>
      <c r="L66" s="139">
        <f>ROUND('[6]Prime Summary'!Y61,0)</f>
        <v>0</v>
      </c>
      <c r="M66" s="138">
        <f>ROUND('[6]Prime Summary'!X61,0)</f>
        <v>20</v>
      </c>
      <c r="N66" s="138">
        <f>ROUND('[6]Prime Summary'!S61,0)</f>
        <v>0</v>
      </c>
      <c r="O66" s="138">
        <f>ROUND('[6]Prime Summary'!T61,0)</f>
        <v>80</v>
      </c>
    </row>
    <row r="67" spans="6:26" x14ac:dyDescent="0.4">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26" x14ac:dyDescent="0.4">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26" x14ac:dyDescent="0.4">
      <c r="F69" s="136" t="s">
        <v>152</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26" x14ac:dyDescent="0.4">
      <c r="F71" s="136" t="s">
        <v>448</v>
      </c>
      <c r="G71" s="140">
        <f>'[5]USG Summary'!$R$43</f>
        <v>40.803791453252167</v>
      </c>
      <c r="H71" s="141">
        <f>'[6]Prime Summary'!$R$46</f>
        <v>24.997677474248832</v>
      </c>
      <c r="I71" s="141">
        <f>'[6]Prime Summary'!$U$46</f>
        <v>100</v>
      </c>
      <c r="J71" s="141">
        <f>'[6]Prime Summary'!$V$46</f>
        <v>42.390414137483063</v>
      </c>
      <c r="K71" s="141">
        <f>'[6]Prime Summary'!$W$46</f>
        <v>23.324540366692727</v>
      </c>
      <c r="L71" s="141">
        <f>'[6]Prime Summary'!$Y$46</f>
        <v>52.104780059696544</v>
      </c>
      <c r="M71" s="141">
        <f>'[6]Prime Summary'!$X$46</f>
        <v>53.090604357665228</v>
      </c>
      <c r="N71" s="141">
        <f>'[6]Prime Summary'!$S$46</f>
        <v>54.075774971297363</v>
      </c>
      <c r="O71" s="141">
        <f>'[6]Prime Summary'!$T$46</f>
        <v>80</v>
      </c>
    </row>
    <row r="72" spans="6:26" x14ac:dyDescent="0.4">
      <c r="F72" s="136" t="s">
        <v>449</v>
      </c>
      <c r="G72" s="142">
        <f>'[5]USG Summary'!$R$45</f>
        <v>4</v>
      </c>
      <c r="H72" s="142">
        <f>'[6]Prime Summary'!$R$48</f>
        <v>6</v>
      </c>
      <c r="I72" s="142">
        <f>'[6]Prime Summary'!$U$48</f>
        <v>1</v>
      </c>
      <c r="J72" s="142">
        <f>'[6]Prime Summary'!$V$48</f>
        <v>5</v>
      </c>
      <c r="K72" s="142">
        <f>'[6]Prime Summary'!$W$48</f>
        <v>6</v>
      </c>
      <c r="L72" s="142">
        <f>'[6]Prime Summary'!$Y$48</f>
        <v>4</v>
      </c>
      <c r="M72" s="142">
        <f>'[6]Prime Summary'!$X$48</f>
        <v>4</v>
      </c>
      <c r="N72" s="142">
        <f>'[6]Prime Summary'!$S$48</f>
        <v>3</v>
      </c>
      <c r="O72" s="142">
        <f>'[6]Prime Summary'!$T$48</f>
        <v>2</v>
      </c>
    </row>
    <row r="74" spans="6:26" x14ac:dyDescent="0.4">
      <c r="G74" s="16"/>
      <c r="H74" s="16"/>
      <c r="I74" s="16"/>
      <c r="J74" s="16"/>
      <c r="K74" s="16"/>
      <c r="L74" s="16"/>
      <c r="M74" s="16"/>
      <c r="N74" s="16"/>
      <c r="O74" s="16"/>
      <c r="P74" s="16"/>
      <c r="Q74" s="16"/>
      <c r="R74" s="16"/>
      <c r="S74" s="16"/>
      <c r="T74" s="16"/>
      <c r="U74" s="16"/>
      <c r="V74" s="16"/>
      <c r="W74" s="16"/>
      <c r="X74" s="16"/>
      <c r="Y74" s="16"/>
      <c r="Z74" s="16"/>
    </row>
    <row r="76" spans="6:26" x14ac:dyDescent="0.4">
      <c r="G76" s="17"/>
      <c r="H76" s="17"/>
      <c r="I76" s="17"/>
      <c r="J76" s="17"/>
      <c r="K76" s="17"/>
      <c r="L76" s="17"/>
      <c r="M76" s="17"/>
      <c r="N76" s="17"/>
      <c r="O76" s="17"/>
      <c r="P76" s="17"/>
      <c r="Q76" s="17"/>
      <c r="R76" s="17"/>
      <c r="S76" s="17"/>
      <c r="T76" s="17"/>
      <c r="U76" s="17"/>
      <c r="V76" s="17"/>
      <c r="W76" s="17"/>
      <c r="X76" s="17"/>
      <c r="Y76" s="17"/>
      <c r="Z76" s="17"/>
    </row>
    <row r="77" spans="6:26" x14ac:dyDescent="0.4">
      <c r="G77" s="17"/>
      <c r="H77" s="17"/>
      <c r="I77" s="17"/>
      <c r="J77" s="17"/>
      <c r="K77" s="17"/>
      <c r="L77" s="17"/>
      <c r="M77" s="17"/>
      <c r="N77" s="17"/>
      <c r="O77" s="17"/>
      <c r="P77" s="17"/>
      <c r="Q77" s="17"/>
      <c r="R77" s="17"/>
      <c r="S77" s="17"/>
      <c r="T77" s="17"/>
      <c r="U77" s="17"/>
      <c r="V77" s="17"/>
      <c r="W77" s="17"/>
      <c r="X77" s="17"/>
      <c r="Y77" s="17"/>
      <c r="Z77" s="17"/>
    </row>
    <row r="78" spans="6:26" x14ac:dyDescent="0.4">
      <c r="G78" s="17"/>
      <c r="H78" s="17"/>
      <c r="I78" s="17"/>
      <c r="J78" s="17"/>
      <c r="K78" s="17"/>
      <c r="L78" s="17"/>
      <c r="M78" s="17"/>
      <c r="N78" s="17"/>
      <c r="O78" s="17"/>
      <c r="P78" s="17"/>
      <c r="Q78" s="17"/>
      <c r="R78" s="17"/>
      <c r="S78" s="17"/>
      <c r="T78" s="17"/>
      <c r="U78" s="17"/>
      <c r="V78" s="17"/>
      <c r="W78" s="17"/>
      <c r="X78" s="17"/>
      <c r="Y78" s="17"/>
      <c r="Z78" s="17"/>
    </row>
    <row r="79" spans="6:26" x14ac:dyDescent="0.4">
      <c r="G79" s="17"/>
      <c r="H79" s="17"/>
      <c r="I79" s="17"/>
      <c r="J79" s="17"/>
      <c r="K79" s="17"/>
      <c r="L79" s="17"/>
      <c r="M79" s="17"/>
      <c r="N79" s="17"/>
      <c r="O79" s="17"/>
      <c r="P79" s="17"/>
      <c r="Q79" s="17"/>
      <c r="R79" s="17"/>
      <c r="S79" s="17"/>
      <c r="T79" s="17"/>
      <c r="U79" s="17"/>
      <c r="V79" s="17"/>
      <c r="W79" s="17"/>
      <c r="X79" s="17"/>
      <c r="Y79" s="17"/>
      <c r="Z79" s="17"/>
    </row>
    <row r="80" spans="6:26" x14ac:dyDescent="0.4">
      <c r="G80" s="17"/>
      <c r="H80" s="17"/>
      <c r="I80" s="17"/>
      <c r="J80" s="17"/>
      <c r="K80" s="17"/>
      <c r="L80" s="17"/>
      <c r="M80" s="17"/>
      <c r="N80" s="17"/>
      <c r="O80" s="17"/>
      <c r="P80" s="17"/>
      <c r="Q80" s="17"/>
      <c r="R80" s="17"/>
      <c r="S80" s="17"/>
      <c r="T80" s="17"/>
      <c r="U80" s="17"/>
      <c r="V80" s="17"/>
      <c r="W80" s="17"/>
      <c r="X80" s="17"/>
      <c r="Y80" s="17"/>
      <c r="Z80" s="17"/>
    </row>
    <row r="81" spans="7:26" x14ac:dyDescent="0.4">
      <c r="G81" s="17"/>
      <c r="H81" s="17"/>
      <c r="I81" s="17"/>
      <c r="J81" s="17"/>
      <c r="K81" s="17"/>
      <c r="L81" s="17"/>
      <c r="M81" s="17"/>
      <c r="N81" s="17"/>
      <c r="O81" s="17"/>
      <c r="P81" s="17"/>
      <c r="Q81" s="17"/>
      <c r="R81" s="17"/>
      <c r="S81" s="17"/>
      <c r="T81" s="17"/>
      <c r="U81" s="17"/>
      <c r="V81" s="17"/>
      <c r="W81" s="17"/>
      <c r="X81" s="17"/>
      <c r="Y81" s="17"/>
      <c r="Z81" s="17"/>
    </row>
    <row r="82" spans="7:26" x14ac:dyDescent="0.4">
      <c r="G82" s="17"/>
      <c r="H82" s="17"/>
      <c r="I82" s="17"/>
      <c r="J82" s="17"/>
      <c r="K82" s="17"/>
      <c r="L82" s="17"/>
      <c r="M82" s="17"/>
      <c r="N82" s="17"/>
      <c r="O82" s="17"/>
      <c r="P82" s="17"/>
      <c r="Q82" s="17"/>
      <c r="R82" s="17"/>
      <c r="S82" s="17"/>
      <c r="T82" s="17"/>
      <c r="U82" s="17"/>
      <c r="V82" s="17"/>
      <c r="W82" s="17"/>
      <c r="X82" s="17"/>
      <c r="Y82" s="17"/>
      <c r="Z82" s="17"/>
    </row>
    <row r="83" spans="7:26" x14ac:dyDescent="0.4">
      <c r="G83" s="17"/>
      <c r="H83" s="17"/>
      <c r="I83" s="17"/>
      <c r="J83" s="17"/>
      <c r="K83" s="17"/>
      <c r="L83" s="17"/>
      <c r="M83" s="17"/>
      <c r="N83" s="17"/>
      <c r="O83" s="17"/>
      <c r="P83" s="17"/>
      <c r="Q83" s="17"/>
      <c r="R83" s="17"/>
      <c r="S83" s="17"/>
      <c r="T83" s="17"/>
      <c r="U83" s="17"/>
      <c r="V83" s="17"/>
      <c r="W83" s="17"/>
      <c r="X83" s="17"/>
      <c r="Y83" s="17"/>
      <c r="Z83" s="17"/>
    </row>
    <row r="84" spans="7:26" x14ac:dyDescent="0.4">
      <c r="G84" s="17"/>
      <c r="H84" s="17"/>
      <c r="I84" s="17"/>
      <c r="J84" s="17"/>
      <c r="K84" s="17"/>
      <c r="L84" s="17"/>
      <c r="M84" s="17"/>
      <c r="N84" s="17"/>
      <c r="O84" s="17"/>
      <c r="P84" s="17"/>
      <c r="Q84" s="17"/>
      <c r="R84" s="17"/>
      <c r="S84" s="17"/>
      <c r="T84" s="17"/>
      <c r="U84" s="17"/>
      <c r="V84" s="17"/>
      <c r="W84" s="17"/>
      <c r="X84" s="17"/>
      <c r="Y84" s="17"/>
      <c r="Z84" s="17"/>
    </row>
    <row r="85" spans="7:26" x14ac:dyDescent="0.4">
      <c r="G85" s="17"/>
      <c r="H85" s="17"/>
      <c r="I85" s="17"/>
      <c r="J85" s="17"/>
      <c r="K85" s="17"/>
      <c r="L85" s="17"/>
      <c r="M85" s="17"/>
      <c r="N85" s="17"/>
      <c r="O85" s="17"/>
      <c r="P85" s="17"/>
      <c r="Q85" s="17"/>
      <c r="R85" s="17"/>
      <c r="S85" s="17"/>
      <c r="T85" s="17"/>
      <c r="U85" s="17"/>
      <c r="V85" s="17"/>
      <c r="W85" s="17"/>
      <c r="X85" s="17"/>
      <c r="Y85" s="17"/>
      <c r="Z85" s="17"/>
    </row>
    <row r="86" spans="7:26" x14ac:dyDescent="0.4">
      <c r="G86" s="17"/>
      <c r="H86" s="17"/>
      <c r="I86" s="17"/>
      <c r="J86" s="17"/>
      <c r="K86" s="17"/>
      <c r="L86" s="17"/>
      <c r="M86" s="17"/>
      <c r="N86" s="17"/>
      <c r="O86" s="17"/>
      <c r="P86" s="17"/>
      <c r="Q86" s="17"/>
      <c r="R86" s="17"/>
      <c r="S86" s="17"/>
      <c r="T86" s="17"/>
      <c r="U86" s="17"/>
      <c r="V86" s="17"/>
      <c r="W86" s="17"/>
      <c r="X86" s="17"/>
      <c r="Y86" s="17"/>
      <c r="Z86" s="17"/>
    </row>
    <row r="87" spans="7:26" x14ac:dyDescent="0.4">
      <c r="G87" s="17"/>
      <c r="H87" s="17"/>
      <c r="I87" s="17"/>
      <c r="J87" s="17"/>
      <c r="K87" s="17"/>
      <c r="L87" s="17"/>
      <c r="M87" s="17"/>
      <c r="N87" s="17"/>
      <c r="O87" s="17"/>
      <c r="P87" s="17"/>
      <c r="Q87" s="17"/>
      <c r="R87" s="17"/>
      <c r="S87" s="17"/>
      <c r="T87" s="17"/>
      <c r="U87" s="17"/>
      <c r="V87" s="17"/>
      <c r="W87" s="17"/>
      <c r="X87" s="17"/>
      <c r="Y87" s="17"/>
      <c r="Z87" s="17"/>
    </row>
  </sheetData>
  <mergeCells count="3">
    <mergeCell ref="C31:L31"/>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148</v>
      </c>
      <c r="B1" s="7" t="s">
        <v>34</v>
      </c>
    </row>
    <row r="2" spans="1:3" x14ac:dyDescent="0.4">
      <c r="B2" s="1" t="s">
        <v>50</v>
      </c>
    </row>
    <row r="4" spans="1:3" x14ac:dyDescent="0.4">
      <c r="B4" s="5" t="s">
        <v>51</v>
      </c>
    </row>
    <row r="5" spans="1:3" x14ac:dyDescent="0.4">
      <c r="B5" s="5"/>
    </row>
    <row r="6" spans="1:3" x14ac:dyDescent="0.4">
      <c r="B6" s="10" t="s">
        <v>66</v>
      </c>
      <c r="C6" s="37" t="s">
        <v>147</v>
      </c>
    </row>
    <row r="7" spans="1:3" x14ac:dyDescent="0.4">
      <c r="B7" s="10" t="s">
        <v>35</v>
      </c>
      <c r="C7" s="37" t="s">
        <v>148</v>
      </c>
    </row>
    <row r="8" spans="1:3" x14ac:dyDescent="0.4">
      <c r="B8" s="10" t="s">
        <v>36</v>
      </c>
      <c r="C8" s="2"/>
    </row>
    <row r="9" spans="1:3" x14ac:dyDescent="0.4">
      <c r="B9" s="10" t="s">
        <v>37</v>
      </c>
      <c r="C9" s="2"/>
    </row>
    <row r="13" spans="1:3" x14ac:dyDescent="0.4">
      <c r="B13" t="s">
        <v>67</v>
      </c>
    </row>
    <row r="14" spans="1:3" x14ac:dyDescent="0.4">
      <c r="B14" t="s">
        <v>38</v>
      </c>
      <c r="C14" s="44" t="s">
        <v>149</v>
      </c>
    </row>
    <row r="15" spans="1:3" x14ac:dyDescent="0.4">
      <c r="B15" t="s">
        <v>52</v>
      </c>
    </row>
    <row r="18" spans="2:3" x14ac:dyDescent="0.4">
      <c r="B18" t="s">
        <v>68</v>
      </c>
    </row>
    <row r="19" spans="2:3" x14ac:dyDescent="0.4">
      <c r="B19" t="s">
        <v>44</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C'!O9</f>
        <v>123500000</v>
      </c>
      <c r="E35" s="1" t="s">
        <v>48</v>
      </c>
    </row>
    <row r="36" spans="2:5" x14ac:dyDescent="0.4">
      <c r="B36" t="s">
        <v>70</v>
      </c>
      <c r="C36" s="77">
        <f>'Items B &amp; C'!P9</f>
        <v>122853000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C'!AB9</f>
        <v>4234000</v>
      </c>
      <c r="D60" s="63"/>
      <c r="E60" s="79">
        <f>'Items B &amp; C'!AD9</f>
        <v>118896000</v>
      </c>
      <c r="F60" s="79">
        <f>'Items B &amp; C'!AE9</f>
        <v>0</v>
      </c>
      <c r="G60" s="79">
        <f>'Items B &amp; C'!AF9</f>
        <v>370000</v>
      </c>
      <c r="I60" s="15"/>
      <c r="N60" s="24"/>
    </row>
    <row r="61" spans="2:14" x14ac:dyDescent="0.4">
      <c r="B61" t="s">
        <v>79</v>
      </c>
      <c r="C61" s="79">
        <f>'Items B &amp; C'!AG9</f>
        <v>30000</v>
      </c>
      <c r="D61" s="63"/>
      <c r="E61" s="79">
        <f>'Items B &amp; C'!AI9</f>
        <v>0</v>
      </c>
      <c r="F61" s="79">
        <f>'Items B &amp; C'!AJ9</f>
        <v>0</v>
      </c>
      <c r="G61" s="79">
        <f>'Items B &amp; C'!AK9</f>
        <v>616000</v>
      </c>
      <c r="N61" s="24"/>
    </row>
    <row r="64" spans="2:14" x14ac:dyDescent="0.4">
      <c r="B64" t="s">
        <v>88</v>
      </c>
      <c r="E64" s="1" t="s">
        <v>86</v>
      </c>
    </row>
    <row r="65" spans="2:5" x14ac:dyDescent="0.4">
      <c r="B65" t="s">
        <v>85</v>
      </c>
      <c r="C65" s="81">
        <f>'Items B &amp; C'!G54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C'!G56</f>
        <v>0</v>
      </c>
    </row>
    <row r="71" spans="2:5" x14ac:dyDescent="0.4">
      <c r="B71" t="s">
        <v>91</v>
      </c>
      <c r="C71" s="81">
        <f>'Items B &amp; C'!G57</f>
        <v>0</v>
      </c>
    </row>
    <row r="72" spans="2:5" x14ac:dyDescent="0.4">
      <c r="B72" t="s">
        <v>92</v>
      </c>
      <c r="C72" s="81">
        <f>'Items B &amp; C'!G58</f>
        <v>0</v>
      </c>
    </row>
    <row r="73" spans="2:5" x14ac:dyDescent="0.4">
      <c r="B73" t="s">
        <v>93</v>
      </c>
      <c r="C73" s="81">
        <f>'Items B &amp; C'!G59</f>
        <v>58</v>
      </c>
      <c r="E73" s="1" t="s">
        <v>103</v>
      </c>
    </row>
    <row r="74" spans="2:5" x14ac:dyDescent="0.4">
      <c r="B74" t="s">
        <v>94</v>
      </c>
      <c r="C74" s="81">
        <f>'Items B &amp; C'!G60</f>
        <v>0</v>
      </c>
      <c r="E74" s="1" t="s">
        <v>104</v>
      </c>
    </row>
    <row r="75" spans="2:5" x14ac:dyDescent="0.4">
      <c r="B75" t="s">
        <v>95</v>
      </c>
      <c r="C75" s="81">
        <f>'Items B &amp; C'!G61</f>
        <v>0</v>
      </c>
      <c r="E75" s="1" t="s">
        <v>105</v>
      </c>
    </row>
    <row r="76" spans="2:5" x14ac:dyDescent="0.4">
      <c r="B76" t="s">
        <v>96</v>
      </c>
      <c r="C76" s="81">
        <f>'Items B &amp; C'!G62</f>
        <v>42</v>
      </c>
      <c r="E76" s="1" t="s">
        <v>106</v>
      </c>
    </row>
    <row r="77" spans="2:5" x14ac:dyDescent="0.4">
      <c r="B77" t="s">
        <v>97</v>
      </c>
      <c r="C77" s="81">
        <f>'Items B &amp; C'!G63</f>
        <v>0</v>
      </c>
    </row>
    <row r="78" spans="2:5" x14ac:dyDescent="0.4">
      <c r="B78" t="s">
        <v>98</v>
      </c>
      <c r="C78" s="81">
        <f>'Items B &amp; C'!G64</f>
        <v>0</v>
      </c>
    </row>
    <row r="79" spans="2:5" x14ac:dyDescent="0.4">
      <c r="B79" t="s">
        <v>101</v>
      </c>
      <c r="C79" s="81">
        <f>'Items B &amp; C'!G65</f>
        <v>0</v>
      </c>
    </row>
    <row r="80" spans="2:5" x14ac:dyDescent="0.4">
      <c r="B80" t="s">
        <v>99</v>
      </c>
      <c r="C80" s="81">
        <f>'Items B &amp; C'!G66</f>
        <v>0</v>
      </c>
    </row>
    <row r="81" spans="2:20" x14ac:dyDescent="0.4">
      <c r="B81" t="s">
        <v>100</v>
      </c>
      <c r="C81" s="81">
        <f>'Items B &amp; C'!G67</f>
        <v>0</v>
      </c>
    </row>
    <row r="82" spans="2:20" x14ac:dyDescent="0.4">
      <c r="B82" t="s">
        <v>102</v>
      </c>
      <c r="C82" s="81">
        <f>'Items B &amp; C'!G68</f>
        <v>0</v>
      </c>
    </row>
    <row r="83" spans="2:20" x14ac:dyDescent="0.4">
      <c r="B83" t="s">
        <v>152</v>
      </c>
      <c r="C83" s="81">
        <f>'Items B &amp; C'!G69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45322</v>
      </c>
      <c r="E96" s="80">
        <f t="shared" ref="E96:F98" si="0">ROUND(H96-1,4)</f>
        <v>4.8999999999999998E-3</v>
      </c>
      <c r="F96" s="80">
        <f t="shared" si="0"/>
        <v>4.7000000000000002E-3</v>
      </c>
      <c r="G96" s="110"/>
      <c r="H96" s="122">
        <f>'Items B &amp; C'!G39</f>
        <v>1.0048658546172857</v>
      </c>
      <c r="I96" s="122">
        <f>'Items B &amp; C'!H39</f>
        <v>1.0046950633712304</v>
      </c>
      <c r="J96" s="20">
        <f>J95*H96</f>
        <v>1.0048658546172857</v>
      </c>
      <c r="K96" s="20">
        <f t="shared" ref="K96:K107" si="1">K95*I96</f>
        <v>1.0046950633712304</v>
      </c>
      <c r="L96" s="25">
        <f>(I96-1)*365/31</f>
        <v>5.52805848548093E-2</v>
      </c>
      <c r="N96" s="25"/>
      <c r="O96" s="19"/>
      <c r="P96" s="17"/>
      <c r="R96" s="17"/>
      <c r="S96" s="25"/>
      <c r="T96" s="18"/>
    </row>
    <row r="97" spans="2:20" x14ac:dyDescent="0.4">
      <c r="B97" t="s">
        <v>114</v>
      </c>
      <c r="C97" s="75">
        <v>45351</v>
      </c>
      <c r="E97" s="80">
        <f t="shared" si="0"/>
        <v>4.4999999999999997E-3</v>
      </c>
      <c r="F97" s="80">
        <f t="shared" si="0"/>
        <v>4.4000000000000003E-3</v>
      </c>
      <c r="G97" s="110"/>
      <c r="H97" s="122">
        <f>'Items B &amp; C'!G40</f>
        <v>1.0045222900874389</v>
      </c>
      <c r="I97" s="122">
        <f>'Items B &amp; C'!H40</f>
        <v>1.0043940437764809</v>
      </c>
      <c r="J97" s="20">
        <f t="shared" ref="J97:J107" si="2">J96*H97</f>
        <v>1.0094101495108272</v>
      </c>
      <c r="K97" s="20">
        <f t="shared" si="1"/>
        <v>1.0091097374616977</v>
      </c>
      <c r="L97" s="25">
        <f>(I97-1)*365/(C97-C96)</f>
        <v>5.5304344083294009E-2</v>
      </c>
      <c r="N97" s="25"/>
      <c r="O97" s="19"/>
      <c r="P97" s="17"/>
      <c r="R97" s="17"/>
      <c r="S97" s="25"/>
      <c r="T97" s="18"/>
    </row>
    <row r="98" spans="2:20" x14ac:dyDescent="0.4">
      <c r="B98" t="s">
        <v>115</v>
      </c>
      <c r="C98" s="75">
        <v>45382</v>
      </c>
      <c r="E98" s="80">
        <f t="shared" si="0"/>
        <v>4.7999999999999996E-3</v>
      </c>
      <c r="F98" s="80">
        <f t="shared" si="0"/>
        <v>4.7000000000000002E-3</v>
      </c>
      <c r="G98" s="110"/>
      <c r="H98" s="122">
        <f>'Items B &amp; C'!G41</f>
        <v>1.0048147228120896</v>
      </c>
      <c r="I98" s="122">
        <f>'Items B &amp; C'!H41</f>
        <v>1.0046978203502785</v>
      </c>
      <c r="J98" s="20">
        <f t="shared" si="2"/>
        <v>1.0142701795844318</v>
      </c>
      <c r="K98" s="20">
        <f t="shared" si="1"/>
        <v>1.0138503537220096</v>
      </c>
      <c r="L98" s="25">
        <f>(I98-1)*365/(C98-C97)</f>
        <v>5.5313046059731287E-2</v>
      </c>
      <c r="N98" s="25"/>
      <c r="O98" s="19"/>
      <c r="P98" s="17"/>
      <c r="R98" s="17"/>
      <c r="S98" s="25"/>
      <c r="T98" s="18"/>
    </row>
    <row r="99" spans="2:20" ht="15" thickBot="1" x14ac:dyDescent="0.45">
      <c r="B99" t="s">
        <v>116</v>
      </c>
      <c r="C99" s="75">
        <v>45382</v>
      </c>
      <c r="E99" s="94">
        <f>ROUND((J99/J95)-1,4)</f>
        <v>1.43E-2</v>
      </c>
      <c r="F99" s="94">
        <f>ROUND((K99/K95)-1,4)</f>
        <v>1.3899999999999999E-2</v>
      </c>
      <c r="G99" s="110"/>
      <c r="H99" s="65">
        <v>1</v>
      </c>
      <c r="I99" s="65">
        <v>1</v>
      </c>
      <c r="J99" s="65">
        <f t="shared" si="2"/>
        <v>1.0142701795844318</v>
      </c>
      <c r="K99" s="65">
        <f t="shared" si="1"/>
        <v>1.0138503537220096</v>
      </c>
      <c r="L99" s="25"/>
      <c r="N99" s="25"/>
      <c r="O99" s="19"/>
      <c r="R99" s="17"/>
      <c r="S99" s="25"/>
      <c r="T99" s="18"/>
    </row>
    <row r="100" spans="2:20" ht="15" thickTop="1" x14ac:dyDescent="0.4">
      <c r="B100" t="s">
        <v>117</v>
      </c>
      <c r="C100" s="75"/>
      <c r="E100" s="80"/>
      <c r="F100" s="80"/>
      <c r="H100" s="122">
        <f>'Items B &amp; C'!G42</f>
        <v>1</v>
      </c>
      <c r="I100" s="122">
        <f>'Items B &amp; C'!H42</f>
        <v>1</v>
      </c>
      <c r="J100" s="20">
        <f t="shared" si="2"/>
        <v>1.0142701795844318</v>
      </c>
      <c r="K100" s="20">
        <f t="shared" si="1"/>
        <v>1.0138503537220096</v>
      </c>
      <c r="L100" s="25" t="str">
        <f>IF(F100,(I100-1)*365/(C100-C99),"")</f>
        <v/>
      </c>
      <c r="N100" s="25"/>
      <c r="O100" s="19"/>
      <c r="R100" s="17"/>
      <c r="S100" s="25"/>
      <c r="T100" s="18"/>
    </row>
    <row r="101" spans="2:20" x14ac:dyDescent="0.4">
      <c r="B101" t="s">
        <v>118</v>
      </c>
      <c r="C101" s="75"/>
      <c r="E101" s="80"/>
      <c r="F101" s="80"/>
      <c r="H101" s="122">
        <f>'Items B &amp; C'!G43</f>
        <v>1</v>
      </c>
      <c r="I101" s="122">
        <f>'Items B &amp; C'!H43</f>
        <v>1</v>
      </c>
      <c r="J101" s="20">
        <f t="shared" si="2"/>
        <v>1.0142701795844318</v>
      </c>
      <c r="K101" s="20">
        <f t="shared" si="1"/>
        <v>1.0138503537220096</v>
      </c>
      <c r="L101" s="25" t="str">
        <f t="shared" ref="L101:L102" si="3">IF(F101,(I101-1)*365/(C101-C100),"")</f>
        <v/>
      </c>
      <c r="N101" s="25"/>
      <c r="O101" s="19"/>
      <c r="P101" s="17"/>
      <c r="R101" s="17"/>
      <c r="S101" s="25"/>
      <c r="T101" s="18"/>
    </row>
    <row r="102" spans="2:20" x14ac:dyDescent="0.4">
      <c r="B102" t="s">
        <v>119</v>
      </c>
      <c r="C102" s="75"/>
      <c r="E102" s="80"/>
      <c r="F102" s="80"/>
      <c r="H102" s="122">
        <f>'Items B &amp; C'!G44</f>
        <v>1</v>
      </c>
      <c r="I102" s="122">
        <f>'Items B &amp; C'!H44</f>
        <v>1</v>
      </c>
      <c r="J102" s="20">
        <f t="shared" si="2"/>
        <v>1.0142701795844318</v>
      </c>
      <c r="K102" s="20">
        <f t="shared" si="1"/>
        <v>1.0138503537220096</v>
      </c>
      <c r="L102" s="25" t="str">
        <f t="shared" si="3"/>
        <v/>
      </c>
      <c r="N102" s="25"/>
      <c r="O102" s="19"/>
      <c r="R102" s="17"/>
      <c r="S102" s="25"/>
      <c r="T102" s="18"/>
    </row>
    <row r="103" spans="2:20" ht="15" thickBot="1" x14ac:dyDescent="0.45">
      <c r="B103" t="s">
        <v>120</v>
      </c>
      <c r="C103" s="75"/>
      <c r="E103" s="94"/>
      <c r="F103" s="94"/>
      <c r="H103" s="65">
        <v>1</v>
      </c>
      <c r="I103" s="65">
        <v>1</v>
      </c>
      <c r="J103" s="65">
        <f t="shared" si="2"/>
        <v>1.0142701795844318</v>
      </c>
      <c r="K103" s="65">
        <f t="shared" si="1"/>
        <v>1.0138503537220096</v>
      </c>
      <c r="L103" s="25"/>
      <c r="N103" s="25"/>
      <c r="O103" s="19"/>
      <c r="R103" s="17"/>
      <c r="S103" s="25"/>
      <c r="T103" s="18"/>
    </row>
    <row r="104" spans="2:20" ht="15" thickTop="1" x14ac:dyDescent="0.4">
      <c r="B104" t="s">
        <v>121</v>
      </c>
      <c r="C104" s="75"/>
      <c r="E104" s="80"/>
      <c r="F104" s="80"/>
      <c r="H104" s="122">
        <f>'Items B &amp; C'!G45</f>
        <v>1</v>
      </c>
      <c r="I104" s="122">
        <f>'Items B &amp; C'!H45</f>
        <v>1</v>
      </c>
      <c r="J104" s="20">
        <f t="shared" si="2"/>
        <v>1.0142701795844318</v>
      </c>
      <c r="K104" s="20">
        <f t="shared" si="1"/>
        <v>1.0138503537220096</v>
      </c>
      <c r="L104" s="25" t="str">
        <f>IF(F104,(I104-1)*365/(C104-C103),"")</f>
        <v/>
      </c>
      <c r="N104" s="25"/>
      <c r="O104" s="19"/>
      <c r="P104" s="17"/>
      <c r="R104" s="17"/>
      <c r="S104" s="25"/>
      <c r="T104" s="18"/>
    </row>
    <row r="105" spans="2:20" x14ac:dyDescent="0.4">
      <c r="B105" t="s">
        <v>122</v>
      </c>
      <c r="C105" s="75"/>
      <c r="E105" s="80"/>
      <c r="F105" s="80"/>
      <c r="H105" s="122">
        <f>'Items B &amp; C'!G46</f>
        <v>1</v>
      </c>
      <c r="I105" s="122">
        <f>'Items B &amp; C'!H46</f>
        <v>1</v>
      </c>
      <c r="J105" s="20">
        <f t="shared" si="2"/>
        <v>1.0142701795844318</v>
      </c>
      <c r="K105" s="20">
        <f t="shared" si="1"/>
        <v>1.0138503537220096</v>
      </c>
      <c r="L105" s="25" t="str">
        <f t="shared" ref="L105:L106" si="4">IF(F105,(I105-1)*365/(C105-C104),"")</f>
        <v/>
      </c>
      <c r="N105" s="25"/>
      <c r="O105" s="19"/>
      <c r="R105" s="17"/>
      <c r="S105" s="25"/>
      <c r="T105" s="18"/>
    </row>
    <row r="106" spans="2:20" x14ac:dyDescent="0.4">
      <c r="B106" t="s">
        <v>123</v>
      </c>
      <c r="C106" s="75"/>
      <c r="E106" s="80"/>
      <c r="F106" s="80"/>
      <c r="H106" s="122">
        <f>'Items B &amp; C'!G47</f>
        <v>1</v>
      </c>
      <c r="I106" s="122">
        <f>'Items B &amp; C'!H47</f>
        <v>1</v>
      </c>
      <c r="J106" s="20">
        <f t="shared" si="2"/>
        <v>1.0142701795844318</v>
      </c>
      <c r="K106" s="20">
        <f t="shared" si="1"/>
        <v>1.0138503537220096</v>
      </c>
      <c r="L106" s="25" t="str">
        <f t="shared" si="4"/>
        <v/>
      </c>
      <c r="N106" s="25"/>
      <c r="O106" s="19"/>
      <c r="R106" s="17"/>
      <c r="S106" s="25"/>
      <c r="T106" s="18"/>
    </row>
    <row r="107" spans="2:20" ht="15" thickBot="1" x14ac:dyDescent="0.45">
      <c r="B107" t="s">
        <v>124</v>
      </c>
      <c r="C107" s="75"/>
      <c r="E107" s="94"/>
      <c r="F107" s="94"/>
      <c r="H107" s="65">
        <v>1</v>
      </c>
      <c r="I107" s="65">
        <v>1</v>
      </c>
      <c r="J107" s="65">
        <f t="shared" si="2"/>
        <v>1.0142701795844318</v>
      </c>
      <c r="K107" s="65">
        <f t="shared" si="1"/>
        <v>1.0138503537220096</v>
      </c>
      <c r="L107" s="25"/>
      <c r="N107" s="25"/>
      <c r="O107" s="19"/>
      <c r="P107" s="17"/>
      <c r="R107" s="17"/>
      <c r="S107" s="25"/>
      <c r="T107" s="18"/>
    </row>
    <row r="108" spans="2:20" ht="15" thickTop="1" x14ac:dyDescent="0.4">
      <c r="B108" t="s">
        <v>125</v>
      </c>
      <c r="C108" s="75"/>
      <c r="E108" s="80"/>
      <c r="F108" s="80"/>
      <c r="H108" s="122">
        <f>'Items B &amp; C'!G48</f>
        <v>1</v>
      </c>
      <c r="I108" s="122">
        <f>'Items B &amp; C'!H48</f>
        <v>1</v>
      </c>
      <c r="J108" s="20">
        <f>J107*H108</f>
        <v>1.0142701795844318</v>
      </c>
      <c r="K108" s="20">
        <f t="shared" ref="K108:K110" si="5">K107*I108</f>
        <v>1.0138503537220096</v>
      </c>
      <c r="L108" s="25" t="str">
        <f>IF(F108,(I108-1)*365/(C108-C107),"")</f>
        <v/>
      </c>
    </row>
    <row r="109" spans="2:20" x14ac:dyDescent="0.4">
      <c r="B109" t="s">
        <v>126</v>
      </c>
      <c r="C109" s="75"/>
      <c r="E109" s="80"/>
      <c r="F109" s="80"/>
      <c r="H109" s="122">
        <f>'Items B &amp; C'!G49</f>
        <v>1</v>
      </c>
      <c r="I109" s="122">
        <f>'Items B &amp; C'!H49</f>
        <v>1</v>
      </c>
      <c r="J109" s="20">
        <f t="shared" ref="J109:J110" si="6">J108*H109</f>
        <v>1.0142701795844318</v>
      </c>
      <c r="K109" s="20">
        <f t="shared" si="5"/>
        <v>1.0138503537220096</v>
      </c>
      <c r="L109" s="25" t="str">
        <f t="shared" ref="L109:L110" si="7">IF(F109,(I109-1)*365/(C109-C108),"")</f>
        <v/>
      </c>
    </row>
    <row r="110" spans="2:20" x14ac:dyDescent="0.4">
      <c r="B110" t="s">
        <v>127</v>
      </c>
      <c r="C110" s="75"/>
      <c r="E110" s="80"/>
      <c r="F110" s="80"/>
      <c r="H110" s="122">
        <f>'Items B &amp; C'!G50</f>
        <v>1</v>
      </c>
      <c r="I110" s="122">
        <f>'Items B &amp; C'!H50</f>
        <v>1</v>
      </c>
      <c r="J110" s="20">
        <f t="shared" si="6"/>
        <v>1.0142701795844318</v>
      </c>
      <c r="K110" s="20">
        <f t="shared" si="5"/>
        <v>1.0138503537220096</v>
      </c>
      <c r="L110" s="25" t="str">
        <f t="shared" si="7"/>
        <v/>
      </c>
    </row>
    <row r="111" spans="2:20" ht="15" thickBot="1" x14ac:dyDescent="0.45">
      <c r="B111" t="s">
        <v>128</v>
      </c>
      <c r="C111" s="75"/>
      <c r="E111" s="94"/>
      <c r="F111" s="94"/>
      <c r="G111" s="25"/>
      <c r="H111" s="65">
        <v>1</v>
      </c>
      <c r="I111" s="65">
        <v>1</v>
      </c>
      <c r="J111" s="65">
        <f t="shared" ref="J111:K112" si="8">J110*H111</f>
        <v>1.0142701795844318</v>
      </c>
      <c r="K111" s="65">
        <f t="shared" si="8"/>
        <v>1.0138503537220096</v>
      </c>
    </row>
    <row r="112" spans="2:20" ht="15" thickTop="1" x14ac:dyDescent="0.4">
      <c r="B112" t="s">
        <v>129</v>
      </c>
      <c r="C112" s="75"/>
      <c r="D112" s="67"/>
      <c r="E112" s="80"/>
      <c r="F112" s="80"/>
      <c r="G112" s="25"/>
      <c r="H112" s="65">
        <v>1</v>
      </c>
      <c r="I112" s="65">
        <v>1</v>
      </c>
      <c r="J112" s="65">
        <f t="shared" si="8"/>
        <v>1.0142701795844318</v>
      </c>
      <c r="K112" s="65">
        <f t="shared" si="8"/>
        <v>1.0138503537220096</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154</v>
      </c>
      <c r="B1" s="7" t="s">
        <v>34</v>
      </c>
    </row>
    <row r="2" spans="1:3" x14ac:dyDescent="0.4">
      <c r="B2" s="1" t="s">
        <v>50</v>
      </c>
    </row>
    <row r="4" spans="1:3" x14ac:dyDescent="0.4">
      <c r="B4" s="5" t="s">
        <v>51</v>
      </c>
    </row>
    <row r="5" spans="1:3" x14ac:dyDescent="0.4">
      <c r="B5" s="5"/>
    </row>
    <row r="6" spans="1:3" x14ac:dyDescent="0.4">
      <c r="B6" s="10" t="s">
        <v>66</v>
      </c>
      <c r="C6" s="37" t="s">
        <v>153</v>
      </c>
    </row>
    <row r="7" spans="1:3" x14ac:dyDescent="0.4">
      <c r="B7" s="10" t="s">
        <v>35</v>
      </c>
      <c r="C7" s="37" t="s">
        <v>154</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C'!O10</f>
        <v>865672000</v>
      </c>
      <c r="E35" s="1" t="s">
        <v>48</v>
      </c>
    </row>
    <row r="36" spans="2:5" x14ac:dyDescent="0.4">
      <c r="B36" t="s">
        <v>70</v>
      </c>
      <c r="C36" s="77">
        <f>'Items B &amp; C'!P10</f>
        <v>858074000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9" x14ac:dyDescent="0.4">
      <c r="C49" s="16"/>
    </row>
    <row r="50" spans="2:9" x14ac:dyDescent="0.4">
      <c r="B50" t="s">
        <v>61</v>
      </c>
      <c r="C50" s="44" t="s">
        <v>150</v>
      </c>
    </row>
    <row r="51" spans="2:9" x14ac:dyDescent="0.4">
      <c r="B51" t="s">
        <v>73</v>
      </c>
      <c r="C51" s="11"/>
    </row>
    <row r="54" spans="2:9" x14ac:dyDescent="0.4">
      <c r="B54" t="s">
        <v>74</v>
      </c>
    </row>
    <row r="55" spans="2:9" x14ac:dyDescent="0.4">
      <c r="B55" t="s">
        <v>75</v>
      </c>
    </row>
    <row r="56" spans="2:9" x14ac:dyDescent="0.4">
      <c r="B56" t="s">
        <v>76</v>
      </c>
    </row>
    <row r="57" spans="2:9" x14ac:dyDescent="0.4">
      <c r="B57" t="s">
        <v>77</v>
      </c>
    </row>
    <row r="59" spans="2:9" x14ac:dyDescent="0.4">
      <c r="C59" t="s">
        <v>80</v>
      </c>
      <c r="E59" t="s">
        <v>81</v>
      </c>
      <c r="F59" t="s">
        <v>82</v>
      </c>
      <c r="G59" t="s">
        <v>83</v>
      </c>
    </row>
    <row r="60" spans="2:9" x14ac:dyDescent="0.4">
      <c r="B60" t="s">
        <v>78</v>
      </c>
      <c r="C60" s="79">
        <f>'Items B &amp; C'!AB10</f>
        <v>24793000</v>
      </c>
      <c r="D60" s="66"/>
      <c r="E60" s="156">
        <f>'Items B &amp; C'!AD10-1000</f>
        <v>840879000</v>
      </c>
      <c r="F60" s="79">
        <f>'Items B &amp; C'!AE10</f>
        <v>0</v>
      </c>
      <c r="G60" s="79">
        <f>'Items B &amp; C'!AF10</f>
        <v>0</v>
      </c>
      <c r="H60" s="15"/>
      <c r="I60" s="15"/>
    </row>
    <row r="61" spans="2:9" x14ac:dyDescent="0.4">
      <c r="B61" t="s">
        <v>79</v>
      </c>
      <c r="C61" s="79">
        <f>'Items B &amp; C'!AG10</f>
        <v>114000</v>
      </c>
      <c r="D61" s="66"/>
      <c r="E61" s="79">
        <f>'Items B &amp; C'!AI10</f>
        <v>0</v>
      </c>
      <c r="F61" s="79">
        <f>'Items B &amp; C'!AJ10</f>
        <v>0</v>
      </c>
      <c r="G61" s="79">
        <f>'Items B &amp; C'!AK10</f>
        <v>7485000</v>
      </c>
    </row>
    <row r="64" spans="2:9" x14ac:dyDescent="0.4">
      <c r="B64" t="s">
        <v>88</v>
      </c>
      <c r="E64" s="1" t="s">
        <v>86</v>
      </c>
    </row>
    <row r="65" spans="2:5" x14ac:dyDescent="0.4">
      <c r="B65" t="s">
        <v>85</v>
      </c>
      <c r="C65" s="81">
        <f>'Items B &amp; C'!H54</f>
        <v>87</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C'!H56</f>
        <v>0</v>
      </c>
    </row>
    <row r="71" spans="2:5" x14ac:dyDescent="0.4">
      <c r="B71" t="s">
        <v>91</v>
      </c>
      <c r="C71" s="81">
        <f>'Items B &amp; C'!H57</f>
        <v>0</v>
      </c>
    </row>
    <row r="72" spans="2:5" x14ac:dyDescent="0.4">
      <c r="B72" t="s">
        <v>92</v>
      </c>
      <c r="C72" s="81">
        <f>'Items B &amp; C'!H58</f>
        <v>0</v>
      </c>
    </row>
    <row r="73" spans="2:5" x14ac:dyDescent="0.4">
      <c r="B73" t="s">
        <v>93</v>
      </c>
      <c r="C73" s="81">
        <f>'Items B &amp; C'!H59</f>
        <v>12</v>
      </c>
      <c r="E73" s="1" t="s">
        <v>103</v>
      </c>
    </row>
    <row r="74" spans="2:5" x14ac:dyDescent="0.4">
      <c r="B74" t="s">
        <v>94</v>
      </c>
      <c r="C74" s="81">
        <f>'Items B &amp; C'!H60</f>
        <v>0</v>
      </c>
      <c r="E74" s="1" t="s">
        <v>104</v>
      </c>
    </row>
    <row r="75" spans="2:5" x14ac:dyDescent="0.4">
      <c r="B75" t="s">
        <v>95</v>
      </c>
      <c r="C75" s="81">
        <f>'Items B &amp; C'!H61</f>
        <v>27</v>
      </c>
      <c r="E75" s="1" t="s">
        <v>105</v>
      </c>
    </row>
    <row r="76" spans="2:5" x14ac:dyDescent="0.4">
      <c r="B76" t="s">
        <v>96</v>
      </c>
      <c r="C76" s="81">
        <f>'Items B &amp; C'!H62</f>
        <v>38</v>
      </c>
      <c r="E76" s="1" t="s">
        <v>106</v>
      </c>
    </row>
    <row r="77" spans="2:5" x14ac:dyDescent="0.4">
      <c r="B77" t="s">
        <v>97</v>
      </c>
      <c r="C77" s="81">
        <f>'Items B &amp; C'!H63</f>
        <v>0</v>
      </c>
    </row>
    <row r="78" spans="2:5" x14ac:dyDescent="0.4">
      <c r="B78" t="s">
        <v>98</v>
      </c>
      <c r="C78" s="81">
        <f>'Items B &amp; C'!H64</f>
        <v>0</v>
      </c>
    </row>
    <row r="79" spans="2:5" x14ac:dyDescent="0.4">
      <c r="B79" t="s">
        <v>348</v>
      </c>
      <c r="C79" s="81">
        <f>'Items B &amp; C'!H65</f>
        <v>0</v>
      </c>
    </row>
    <row r="80" spans="2:5" x14ac:dyDescent="0.4">
      <c r="B80" t="s">
        <v>99</v>
      </c>
      <c r="C80" s="81">
        <f>'Items B &amp; C'!H66</f>
        <v>23</v>
      </c>
    </row>
    <row r="81" spans="2:20" x14ac:dyDescent="0.4">
      <c r="B81" t="s">
        <v>100</v>
      </c>
      <c r="C81" s="81">
        <f>'Items B &amp; C'!H67</f>
        <v>0</v>
      </c>
    </row>
    <row r="82" spans="2:20" x14ac:dyDescent="0.4">
      <c r="B82" t="s">
        <v>102</v>
      </c>
      <c r="C82" s="81">
        <f>'Items B &amp; C'!H68</f>
        <v>0</v>
      </c>
    </row>
    <row r="83" spans="2:20" x14ac:dyDescent="0.4">
      <c r="B83" t="s">
        <v>152</v>
      </c>
      <c r="C83" s="81">
        <f>'Items B &amp; C'!H69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G95" s="22"/>
      <c r="H95" s="65">
        <v>1</v>
      </c>
      <c r="I95" s="65">
        <v>1</v>
      </c>
      <c r="J95" s="65">
        <f>H95</f>
        <v>1</v>
      </c>
      <c r="K95" s="65">
        <f>I95</f>
        <v>1</v>
      </c>
      <c r="L95" s="111"/>
      <c r="O95" s="19"/>
    </row>
    <row r="96" spans="2:20" x14ac:dyDescent="0.4">
      <c r="B96" t="s">
        <v>113</v>
      </c>
      <c r="C96" s="75">
        <v>45322</v>
      </c>
      <c r="E96" s="80">
        <f t="shared" ref="E96:F98" si="0">ROUND(H96-1,4)</f>
        <v>5.3E-3</v>
      </c>
      <c r="F96" s="80">
        <f t="shared" si="0"/>
        <v>5.0000000000000001E-3</v>
      </c>
      <c r="G96" s="25"/>
      <c r="H96" s="122">
        <f>'Items B &amp; C'!I39</f>
        <v>1.005263298638073</v>
      </c>
      <c r="I96" s="122">
        <f>'Items B &amp; C'!J39</f>
        <v>1.0050333435255592</v>
      </c>
      <c r="J96" s="20">
        <f>J95*H96</f>
        <v>1.005263298638073</v>
      </c>
      <c r="K96" s="20">
        <f t="shared" ref="K96:K107" si="1">K95*I96</f>
        <v>1.0050333435255592</v>
      </c>
      <c r="L96" s="25">
        <f>(I96-1)*360/31</f>
        <v>5.8451731264558167E-2</v>
      </c>
      <c r="N96" s="25"/>
      <c r="O96" s="19"/>
      <c r="P96" s="17"/>
      <c r="R96" s="17"/>
      <c r="S96" s="25"/>
      <c r="T96" s="18"/>
    </row>
    <row r="97" spans="2:20" x14ac:dyDescent="0.4">
      <c r="B97" t="s">
        <v>114</v>
      </c>
      <c r="C97" s="75">
        <v>45351</v>
      </c>
      <c r="E97" s="80">
        <f t="shared" si="0"/>
        <v>4.8999999999999998E-3</v>
      </c>
      <c r="F97" s="80">
        <f t="shared" si="0"/>
        <v>4.7000000000000002E-3</v>
      </c>
      <c r="G97" s="25"/>
      <c r="H97" s="122">
        <f>'Items B &amp; C'!I40</f>
        <v>1.0048599949388299</v>
      </c>
      <c r="I97" s="122">
        <f>'Items B &amp; C'!J40</f>
        <v>1.0046744168866069</v>
      </c>
      <c r="J97" s="20">
        <f t="shared" ref="J97:J99" si="2">J96*H97</f>
        <v>1.0101488731816455</v>
      </c>
      <c r="K97" s="20">
        <f t="shared" si="1"/>
        <v>1.009731288358138</v>
      </c>
      <c r="L97" s="25">
        <f>(I97-1)*360/(C97-C96)</f>
        <v>5.8027244109602374E-2</v>
      </c>
      <c r="N97" s="25"/>
      <c r="O97" s="19"/>
      <c r="P97" s="17"/>
      <c r="R97" s="17"/>
      <c r="S97" s="25"/>
      <c r="T97" s="18"/>
    </row>
    <row r="98" spans="2:20" x14ac:dyDescent="0.4">
      <c r="B98" t="s">
        <v>115</v>
      </c>
      <c r="C98" s="75">
        <v>45382</v>
      </c>
      <c r="E98" s="80">
        <f t="shared" si="0"/>
        <v>5.3E-3</v>
      </c>
      <c r="F98" s="80">
        <f t="shared" si="0"/>
        <v>5.0000000000000001E-3</v>
      </c>
      <c r="G98" s="25"/>
      <c r="H98" s="122">
        <f>'Items B &amp; C'!I41</f>
        <v>1.005256736294464</v>
      </c>
      <c r="I98" s="122">
        <f>'Items B &amp; C'!J41</f>
        <v>1.0050009492043748</v>
      </c>
      <c r="J98" s="20">
        <f t="shared" si="2"/>
        <v>1.0154589594261114</v>
      </c>
      <c r="K98" s="20">
        <f t="shared" si="1"/>
        <v>1.0147809032412849</v>
      </c>
      <c r="L98" s="25">
        <f>(I98-1)*360/(C98-C97)</f>
        <v>5.8075539147577994E-2</v>
      </c>
      <c r="N98" s="25"/>
      <c r="O98" s="19"/>
      <c r="P98" s="17"/>
      <c r="R98" s="17"/>
      <c r="S98" s="25"/>
      <c r="T98" s="18"/>
    </row>
    <row r="99" spans="2:20" ht="15" thickBot="1" x14ac:dyDescent="0.45">
      <c r="B99" t="s">
        <v>116</v>
      </c>
      <c r="C99" s="75">
        <v>45382</v>
      </c>
      <c r="E99" s="94">
        <f>ROUND((J99/J95)-1,4)</f>
        <v>1.55E-2</v>
      </c>
      <c r="F99" s="94">
        <f>ROUND((K99/K95)-1,4)</f>
        <v>1.4800000000000001E-2</v>
      </c>
      <c r="G99" s="25"/>
      <c r="H99" s="65">
        <v>1</v>
      </c>
      <c r="I99" s="65">
        <v>1</v>
      </c>
      <c r="J99" s="65">
        <f t="shared" si="2"/>
        <v>1.0154589594261114</v>
      </c>
      <c r="K99" s="65">
        <f t="shared" si="1"/>
        <v>1.0147809032412849</v>
      </c>
      <c r="L99" s="25"/>
      <c r="N99" s="25"/>
      <c r="O99" s="19"/>
      <c r="R99" s="17"/>
      <c r="S99" s="25"/>
      <c r="T99" s="18"/>
    </row>
    <row r="100" spans="2:20" ht="15" thickTop="1" x14ac:dyDescent="0.4">
      <c r="B100" t="s">
        <v>117</v>
      </c>
      <c r="C100" s="75"/>
      <c r="E100" s="80"/>
      <c r="F100" s="80"/>
      <c r="G100" s="25"/>
      <c r="H100" s="122">
        <f>'Items B &amp; C'!I42</f>
        <v>1</v>
      </c>
      <c r="I100" s="122">
        <f>'Items B &amp; C'!J42</f>
        <v>1</v>
      </c>
      <c r="J100" s="20">
        <f>J99*H100</f>
        <v>1.0154589594261114</v>
      </c>
      <c r="K100" s="20">
        <f t="shared" si="1"/>
        <v>1.0147809032412849</v>
      </c>
      <c r="L100" s="25" t="str">
        <f>IF(F100,(I100-1)*360/(C100-C99),"")</f>
        <v/>
      </c>
      <c r="N100" s="25"/>
      <c r="O100" s="19"/>
      <c r="R100" s="17"/>
      <c r="S100" s="25"/>
      <c r="T100" s="18"/>
    </row>
    <row r="101" spans="2:20" x14ac:dyDescent="0.4">
      <c r="B101" t="s">
        <v>118</v>
      </c>
      <c r="C101" s="75"/>
      <c r="E101" s="80"/>
      <c r="F101" s="80"/>
      <c r="G101" s="25"/>
      <c r="H101" s="122">
        <f>'Items B &amp; C'!I43</f>
        <v>1</v>
      </c>
      <c r="I101" s="122">
        <f>'Items B &amp; C'!J43</f>
        <v>1</v>
      </c>
      <c r="J101" s="20">
        <f t="shared" ref="J101:J107" si="3">J100*H101</f>
        <v>1.0154589594261114</v>
      </c>
      <c r="K101" s="20">
        <f t="shared" si="1"/>
        <v>1.0147809032412849</v>
      </c>
      <c r="L101" s="25" t="str">
        <f t="shared" ref="L101:L110" si="4">IF(F101,(I101-1)*360/(C101-C100),"")</f>
        <v/>
      </c>
      <c r="N101" s="25"/>
      <c r="O101" s="19"/>
      <c r="P101" s="17"/>
      <c r="R101" s="17"/>
      <c r="S101" s="25"/>
      <c r="T101" s="18"/>
    </row>
    <row r="102" spans="2:20" x14ac:dyDescent="0.4">
      <c r="B102" t="s">
        <v>119</v>
      </c>
      <c r="C102" s="75"/>
      <c r="E102" s="80"/>
      <c r="F102" s="80"/>
      <c r="G102" s="25"/>
      <c r="H102" s="122">
        <f>'Items B &amp; C'!I44</f>
        <v>1</v>
      </c>
      <c r="I102" s="122">
        <f>'Items B &amp; C'!J44</f>
        <v>1</v>
      </c>
      <c r="J102" s="20">
        <f t="shared" si="3"/>
        <v>1.0154589594261114</v>
      </c>
      <c r="K102" s="20">
        <f t="shared" si="1"/>
        <v>1.0147809032412849</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1.0154589594261114</v>
      </c>
      <c r="K103" s="65">
        <f t="shared" si="1"/>
        <v>1.0147809032412849</v>
      </c>
      <c r="L103" s="25"/>
      <c r="N103" s="25"/>
      <c r="O103" s="19"/>
      <c r="R103" s="17"/>
      <c r="S103" s="25"/>
      <c r="T103" s="18"/>
    </row>
    <row r="104" spans="2:20" ht="15" thickTop="1" x14ac:dyDescent="0.4">
      <c r="B104" t="s">
        <v>121</v>
      </c>
      <c r="C104" s="75"/>
      <c r="E104" s="80"/>
      <c r="F104" s="80"/>
      <c r="G104" s="25"/>
      <c r="H104" s="122">
        <f>'Items B &amp; C'!I45</f>
        <v>1</v>
      </c>
      <c r="I104" s="122">
        <f>'Items B &amp; C'!J45</f>
        <v>1</v>
      </c>
      <c r="J104" s="20">
        <f t="shared" si="3"/>
        <v>1.0154589594261114</v>
      </c>
      <c r="K104" s="20">
        <f t="shared" si="1"/>
        <v>1.0147809032412849</v>
      </c>
      <c r="L104" s="25" t="str">
        <f t="shared" si="4"/>
        <v/>
      </c>
      <c r="N104" s="25"/>
      <c r="O104" s="19"/>
      <c r="P104" s="17"/>
      <c r="R104" s="17"/>
      <c r="S104" s="25"/>
      <c r="T104" s="18"/>
    </row>
    <row r="105" spans="2:20" x14ac:dyDescent="0.4">
      <c r="B105" t="s">
        <v>122</v>
      </c>
      <c r="C105" s="75"/>
      <c r="E105" s="80"/>
      <c r="F105" s="80"/>
      <c r="G105" s="25"/>
      <c r="H105" s="122">
        <f>'Items B &amp; C'!I46</f>
        <v>1</v>
      </c>
      <c r="I105" s="122">
        <f>'Items B &amp; C'!J46</f>
        <v>1</v>
      </c>
      <c r="J105" s="20">
        <f t="shared" si="3"/>
        <v>1.0154589594261114</v>
      </c>
      <c r="K105" s="20">
        <f t="shared" si="1"/>
        <v>1.0147809032412849</v>
      </c>
      <c r="L105" s="25" t="str">
        <f t="shared" si="4"/>
        <v/>
      </c>
      <c r="N105" s="25"/>
      <c r="O105" s="19"/>
      <c r="R105" s="17"/>
      <c r="S105" s="25"/>
      <c r="T105" s="18"/>
    </row>
    <row r="106" spans="2:20" x14ac:dyDescent="0.4">
      <c r="B106" t="s">
        <v>123</v>
      </c>
      <c r="C106" s="75"/>
      <c r="E106" s="80"/>
      <c r="F106" s="80"/>
      <c r="G106" s="25"/>
      <c r="H106" s="122">
        <f>'Items B &amp; C'!I47</f>
        <v>1</v>
      </c>
      <c r="I106" s="122">
        <f>'Items B &amp; C'!J47</f>
        <v>1</v>
      </c>
      <c r="J106" s="20">
        <f t="shared" si="3"/>
        <v>1.0154589594261114</v>
      </c>
      <c r="K106" s="20">
        <f t="shared" si="1"/>
        <v>1.0147809032412849</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1.0154589594261114</v>
      </c>
      <c r="K107" s="65">
        <f t="shared" si="1"/>
        <v>1.0147809032412849</v>
      </c>
      <c r="L107" s="25"/>
      <c r="N107" s="25"/>
      <c r="O107" s="19"/>
      <c r="P107" s="17"/>
      <c r="R107" s="17"/>
      <c r="S107" s="25"/>
      <c r="T107" s="18"/>
    </row>
    <row r="108" spans="2:20" ht="15" thickTop="1" x14ac:dyDescent="0.4">
      <c r="B108" t="s">
        <v>125</v>
      </c>
      <c r="C108" s="75"/>
      <c r="E108" s="80"/>
      <c r="F108" s="80"/>
      <c r="G108" s="25"/>
      <c r="H108" s="122">
        <f>'Items B &amp; C'!I48</f>
        <v>1</v>
      </c>
      <c r="I108" s="122">
        <f>'Items B &amp; C'!J48</f>
        <v>1</v>
      </c>
      <c r="J108" s="20">
        <f>J107*H108</f>
        <v>1.0154589594261114</v>
      </c>
      <c r="K108" s="20">
        <f t="shared" ref="K108:K110" si="5">K107*I108</f>
        <v>1.0147809032412849</v>
      </c>
      <c r="L108" s="25" t="str">
        <f t="shared" si="4"/>
        <v/>
      </c>
    </row>
    <row r="109" spans="2:20" x14ac:dyDescent="0.4">
      <c r="B109" t="s">
        <v>126</v>
      </c>
      <c r="C109" s="75"/>
      <c r="E109" s="80"/>
      <c r="F109" s="80"/>
      <c r="G109" s="25"/>
      <c r="H109" s="122">
        <f>'Items B &amp; C'!I49</f>
        <v>1</v>
      </c>
      <c r="I109" s="122">
        <f>'Items B &amp; C'!J49</f>
        <v>1</v>
      </c>
      <c r="J109" s="20">
        <f t="shared" ref="J109:J110" si="6">J108*H109</f>
        <v>1.0154589594261114</v>
      </c>
      <c r="K109" s="20">
        <f t="shared" si="5"/>
        <v>1.0147809032412849</v>
      </c>
      <c r="L109" s="25" t="str">
        <f t="shared" si="4"/>
        <v/>
      </c>
    </row>
    <row r="110" spans="2:20" x14ac:dyDescent="0.4">
      <c r="B110" t="s">
        <v>127</v>
      </c>
      <c r="C110" s="75"/>
      <c r="E110" s="80"/>
      <c r="F110" s="80"/>
      <c r="G110" s="25"/>
      <c r="H110" s="122">
        <f>'Items B &amp; C'!I50</f>
        <v>1</v>
      </c>
      <c r="I110" s="122">
        <f>'Items B &amp; C'!J50</f>
        <v>1</v>
      </c>
      <c r="J110" s="20">
        <f t="shared" si="6"/>
        <v>1.0154589594261114</v>
      </c>
      <c r="K110" s="20">
        <f t="shared" si="5"/>
        <v>1.0147809032412849</v>
      </c>
      <c r="L110" s="25" t="str">
        <f t="shared" si="4"/>
        <v/>
      </c>
    </row>
    <row r="111" spans="2:20" ht="15" thickBot="1" x14ac:dyDescent="0.45">
      <c r="B111" t="s">
        <v>128</v>
      </c>
      <c r="C111" s="75"/>
      <c r="E111" s="94"/>
      <c r="F111" s="94"/>
      <c r="G111" s="62"/>
      <c r="H111" s="65">
        <v>1</v>
      </c>
      <c r="I111" s="65">
        <v>1</v>
      </c>
      <c r="J111" s="65">
        <f t="shared" ref="J111:K112" si="7">J110*H111</f>
        <v>1.0154589594261114</v>
      </c>
      <c r="K111" s="65">
        <f t="shared" si="7"/>
        <v>1.0147809032412849</v>
      </c>
    </row>
    <row r="112" spans="2:20" ht="15" thickTop="1" x14ac:dyDescent="0.4">
      <c r="B112" t="s">
        <v>129</v>
      </c>
      <c r="C112" s="75"/>
      <c r="D112" s="67"/>
      <c r="E112" s="80"/>
      <c r="F112" s="80"/>
      <c r="G112" s="62"/>
      <c r="H112" s="65">
        <v>1</v>
      </c>
      <c r="I112" s="65">
        <v>1</v>
      </c>
      <c r="J112" s="65">
        <f t="shared" si="7"/>
        <v>1.0154589594261114</v>
      </c>
      <c r="K112" s="65">
        <f t="shared" si="7"/>
        <v>1.0147809032412849</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388</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44" t="s">
        <v>388</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C'!O11</f>
        <v>115767000</v>
      </c>
      <c r="E35" s="1" t="s">
        <v>48</v>
      </c>
    </row>
    <row r="36" spans="2:5" x14ac:dyDescent="0.4">
      <c r="B36" t="s">
        <v>70</v>
      </c>
      <c r="C36" s="77">
        <f>'Items B &amp; C'!P11</f>
        <v>115016000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9" x14ac:dyDescent="0.4">
      <c r="C49" s="16"/>
    </row>
    <row r="50" spans="2:9" x14ac:dyDescent="0.4">
      <c r="B50" t="s">
        <v>61</v>
      </c>
      <c r="C50" s="44" t="s">
        <v>150</v>
      </c>
    </row>
    <row r="51" spans="2:9" x14ac:dyDescent="0.4">
      <c r="B51" t="s">
        <v>73</v>
      </c>
      <c r="C51" s="11"/>
    </row>
    <row r="54" spans="2:9" x14ac:dyDescent="0.4">
      <c r="B54" t="s">
        <v>74</v>
      </c>
    </row>
    <row r="55" spans="2:9" x14ac:dyDescent="0.4">
      <c r="B55" t="s">
        <v>75</v>
      </c>
    </row>
    <row r="56" spans="2:9" x14ac:dyDescent="0.4">
      <c r="B56" t="s">
        <v>76</v>
      </c>
    </row>
    <row r="57" spans="2:9" x14ac:dyDescent="0.4">
      <c r="B57" t="s">
        <v>77</v>
      </c>
    </row>
    <row r="59" spans="2:9" x14ac:dyDescent="0.4">
      <c r="C59" t="s">
        <v>80</v>
      </c>
      <c r="E59" t="s">
        <v>81</v>
      </c>
      <c r="F59" t="s">
        <v>82</v>
      </c>
      <c r="G59" t="s">
        <v>83</v>
      </c>
    </row>
    <row r="60" spans="2:9" x14ac:dyDescent="0.4">
      <c r="B60" t="s">
        <v>78</v>
      </c>
      <c r="C60" s="79">
        <f>'Items B &amp; C'!AB11</f>
        <v>3061000</v>
      </c>
      <c r="D60" s="66"/>
      <c r="E60" s="156">
        <f>'Items B &amp; C'!AD11+1000</f>
        <v>112706000</v>
      </c>
      <c r="F60" s="79">
        <f>'Items B &amp; C'!AE11</f>
        <v>0</v>
      </c>
      <c r="G60" s="79">
        <f>'Items B &amp; C'!AF11</f>
        <v>0</v>
      </c>
      <c r="I60" s="15"/>
    </row>
    <row r="61" spans="2:9" x14ac:dyDescent="0.4">
      <c r="B61" t="s">
        <v>79</v>
      </c>
      <c r="C61" s="79">
        <f>'Items B &amp; C'!AG11</f>
        <v>15000</v>
      </c>
      <c r="D61" s="66"/>
      <c r="E61" s="79">
        <f>'Items B &amp; C'!AI11</f>
        <v>0</v>
      </c>
      <c r="F61" s="79">
        <f>'Items B &amp; C'!AJ11</f>
        <v>0</v>
      </c>
      <c r="G61" s="79">
        <f>'Items B &amp; C'!AK11</f>
        <v>736000</v>
      </c>
    </row>
    <row r="64" spans="2:9" x14ac:dyDescent="0.4">
      <c r="B64" t="s">
        <v>88</v>
      </c>
      <c r="E64" s="1" t="s">
        <v>86</v>
      </c>
    </row>
    <row r="65" spans="2:5" x14ac:dyDescent="0.4">
      <c r="B65" t="s">
        <v>85</v>
      </c>
      <c r="C65" s="81">
        <f>'Items B &amp; C'!I54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C'!I56</f>
        <v>0</v>
      </c>
    </row>
    <row r="71" spans="2:5" x14ac:dyDescent="0.4">
      <c r="B71" t="s">
        <v>91</v>
      </c>
      <c r="C71" s="81">
        <f>'Items B &amp; C'!I57</f>
        <v>0</v>
      </c>
    </row>
    <row r="72" spans="2:5" x14ac:dyDescent="0.4">
      <c r="B72" t="s">
        <v>92</v>
      </c>
      <c r="C72" s="81">
        <f>'Items B &amp; C'!I58</f>
        <v>0</v>
      </c>
    </row>
    <row r="73" spans="2:5" x14ac:dyDescent="0.4">
      <c r="B73" t="s">
        <v>93</v>
      </c>
      <c r="C73" s="81">
        <f>'Items B &amp; C'!I59</f>
        <v>0</v>
      </c>
      <c r="E73" s="1" t="s">
        <v>103</v>
      </c>
    </row>
    <row r="74" spans="2:5" x14ac:dyDescent="0.4">
      <c r="B74" t="s">
        <v>94</v>
      </c>
      <c r="C74" s="81">
        <f>'Items B &amp; C'!I60</f>
        <v>0</v>
      </c>
      <c r="E74" s="1" t="s">
        <v>104</v>
      </c>
    </row>
    <row r="75" spans="2:5" x14ac:dyDescent="0.4">
      <c r="B75" t="s">
        <v>95</v>
      </c>
      <c r="C75" s="81">
        <f>'Items B &amp; C'!I61</f>
        <v>0</v>
      </c>
      <c r="E75" s="1" t="s">
        <v>105</v>
      </c>
    </row>
    <row r="76" spans="2:5" x14ac:dyDescent="0.4">
      <c r="B76" t="s">
        <v>96</v>
      </c>
      <c r="C76" s="81">
        <f>'Items B &amp; C'!I62</f>
        <v>100</v>
      </c>
      <c r="E76" s="1" t="s">
        <v>106</v>
      </c>
    </row>
    <row r="77" spans="2:5" x14ac:dyDescent="0.4">
      <c r="B77" t="s">
        <v>97</v>
      </c>
      <c r="C77" s="81">
        <f>'Items B &amp; C'!I63</f>
        <v>0</v>
      </c>
    </row>
    <row r="78" spans="2:5" x14ac:dyDescent="0.4">
      <c r="B78" t="s">
        <v>98</v>
      </c>
      <c r="C78" s="81">
        <f>'Items B &amp; C'!I64</f>
        <v>0</v>
      </c>
    </row>
    <row r="79" spans="2:5" x14ac:dyDescent="0.4">
      <c r="B79" t="s">
        <v>348</v>
      </c>
      <c r="C79" s="81">
        <f>'Items B &amp; C'!I65</f>
        <v>0</v>
      </c>
    </row>
    <row r="80" spans="2:5" x14ac:dyDescent="0.4">
      <c r="B80" t="s">
        <v>99</v>
      </c>
      <c r="C80" s="81">
        <f>'Items B &amp; C'!I66</f>
        <v>0</v>
      </c>
    </row>
    <row r="81" spans="2:20" x14ac:dyDescent="0.4">
      <c r="B81" t="s">
        <v>100</v>
      </c>
      <c r="C81" s="81">
        <f>'Items B &amp; C'!I67</f>
        <v>0</v>
      </c>
    </row>
    <row r="82" spans="2:20" x14ac:dyDescent="0.4">
      <c r="B82" t="s">
        <v>102</v>
      </c>
      <c r="C82" s="81">
        <f>'Items B &amp; C'!I68</f>
        <v>0</v>
      </c>
    </row>
    <row r="83" spans="2:20" x14ac:dyDescent="0.4">
      <c r="B83" t="s">
        <v>152</v>
      </c>
      <c r="C83" s="81">
        <f>'Items B &amp; C'!I69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45322</v>
      </c>
      <c r="E96" s="80">
        <f t="shared" ref="E96:F98" si="0">ROUND(H96-1,4)</f>
        <v>5.3E-3</v>
      </c>
      <c r="F96" s="80">
        <f t="shared" si="0"/>
        <v>5.0000000000000001E-3</v>
      </c>
      <c r="G96" s="25"/>
      <c r="H96" s="122">
        <f>'Items B &amp; C'!K39</f>
        <v>1.0052912765894633</v>
      </c>
      <c r="I96" s="122">
        <f>'Items B &amp; C'!L39</f>
        <v>1.0050349344068685</v>
      </c>
      <c r="J96" s="20">
        <f>J95*H96</f>
        <v>1.0052912765894633</v>
      </c>
      <c r="K96" s="20">
        <f t="shared" ref="K96:K107" si="1">K95*I96</f>
        <v>1.0050349344068685</v>
      </c>
      <c r="L96" s="25">
        <f>(I96-1)*360/31</f>
        <v>5.8470206015247446E-2</v>
      </c>
      <c r="N96" s="25"/>
      <c r="O96" s="19"/>
      <c r="P96" s="17"/>
      <c r="R96" s="17"/>
      <c r="S96" s="25"/>
      <c r="T96" s="18"/>
    </row>
    <row r="97" spans="2:20" x14ac:dyDescent="0.4">
      <c r="B97" t="s">
        <v>114</v>
      </c>
      <c r="C97" s="75">
        <v>45351</v>
      </c>
      <c r="E97" s="80">
        <f t="shared" si="0"/>
        <v>4.8999999999999998E-3</v>
      </c>
      <c r="F97" s="80">
        <f t="shared" si="0"/>
        <v>4.7000000000000002E-3</v>
      </c>
      <c r="G97" s="25"/>
      <c r="H97" s="122">
        <f>'Items B &amp; C'!K40</f>
        <v>1.0048687750493663</v>
      </c>
      <c r="I97" s="122">
        <f>'Items B &amp; C'!L40</f>
        <v>1.0046912929203287</v>
      </c>
      <c r="J97" s="20">
        <f t="shared" ref="J97:J99" si="2">J96*H97</f>
        <v>1.0101858136742676</v>
      </c>
      <c r="K97" s="20">
        <f t="shared" si="1"/>
        <v>1.0097498476793345</v>
      </c>
      <c r="L97" s="25">
        <f>(I97-1)*360/(C97-C96)</f>
        <v>5.8236739700631646E-2</v>
      </c>
      <c r="N97" s="25"/>
      <c r="O97" s="19"/>
      <c r="P97" s="17"/>
      <c r="R97" s="17"/>
      <c r="S97" s="25"/>
      <c r="T97" s="18"/>
    </row>
    <row r="98" spans="2:20" x14ac:dyDescent="0.4">
      <c r="B98" t="s">
        <v>115</v>
      </c>
      <c r="C98" s="75">
        <v>45382</v>
      </c>
      <c r="E98" s="80">
        <f t="shared" si="0"/>
        <v>5.3E-3</v>
      </c>
      <c r="F98" s="80">
        <f t="shared" si="0"/>
        <v>5.0000000000000001E-3</v>
      </c>
      <c r="G98" s="25"/>
      <c r="H98" s="122">
        <f>'Items B &amp; C'!K41</f>
        <v>1.0052635693529641</v>
      </c>
      <c r="I98" s="122">
        <f>'Items B &amp; C'!L41</f>
        <v>1.0050174959335012</v>
      </c>
      <c r="J98" s="20">
        <f t="shared" si="2"/>
        <v>1.0155029967639226</v>
      </c>
      <c r="K98" s="20">
        <f t="shared" si="1"/>
        <v>1.0148162634339191</v>
      </c>
      <c r="L98" s="25">
        <f>(I98-1)*360/(C98-C97)</f>
        <v>5.8267694711626884E-2</v>
      </c>
      <c r="N98" s="25"/>
      <c r="O98" s="19"/>
      <c r="P98" s="17"/>
      <c r="R98" s="17"/>
      <c r="S98" s="25"/>
      <c r="T98" s="18"/>
    </row>
    <row r="99" spans="2:20" ht="15" thickBot="1" x14ac:dyDescent="0.45">
      <c r="B99" t="s">
        <v>116</v>
      </c>
      <c r="C99" s="75">
        <v>45382</v>
      </c>
      <c r="E99" s="94">
        <f>ROUND((J99/J95)-1,4)</f>
        <v>1.55E-2</v>
      </c>
      <c r="F99" s="94">
        <f>ROUND((K99/K95)-1,4)</f>
        <v>1.4800000000000001E-2</v>
      </c>
      <c r="G99" s="25"/>
      <c r="H99" s="65">
        <v>1</v>
      </c>
      <c r="I99" s="65">
        <v>1</v>
      </c>
      <c r="J99" s="65">
        <f t="shared" si="2"/>
        <v>1.0155029967639226</v>
      </c>
      <c r="K99" s="65">
        <f t="shared" si="1"/>
        <v>1.0148162634339191</v>
      </c>
      <c r="L99" s="25"/>
      <c r="O99" s="19"/>
      <c r="R99" s="17"/>
      <c r="S99" s="25"/>
      <c r="T99" s="18"/>
    </row>
    <row r="100" spans="2:20" ht="15" thickTop="1" x14ac:dyDescent="0.4">
      <c r="B100" t="s">
        <v>117</v>
      </c>
      <c r="C100" s="75"/>
      <c r="E100" s="80"/>
      <c r="F100" s="80"/>
      <c r="G100" s="25"/>
      <c r="H100" s="122">
        <f>'Items B &amp; C'!K42</f>
        <v>1</v>
      </c>
      <c r="I100" s="122">
        <f>'Items B &amp; C'!L42</f>
        <v>1</v>
      </c>
      <c r="J100" s="20">
        <f>J99*H100</f>
        <v>1.0155029967639226</v>
      </c>
      <c r="K100" s="20">
        <f t="shared" si="1"/>
        <v>1.0148162634339191</v>
      </c>
      <c r="L100" s="25" t="str">
        <f>IF(F100,(I100-1)*360/(C100-C99),"")</f>
        <v/>
      </c>
      <c r="N100" s="25"/>
      <c r="O100" s="19"/>
      <c r="R100" s="17"/>
      <c r="S100" s="25"/>
      <c r="T100" s="18"/>
    </row>
    <row r="101" spans="2:20" x14ac:dyDescent="0.4">
      <c r="B101" t="s">
        <v>118</v>
      </c>
      <c r="C101" s="75"/>
      <c r="E101" s="80"/>
      <c r="F101" s="80"/>
      <c r="G101" s="25"/>
      <c r="H101" s="122">
        <f>'Items B &amp; C'!K43</f>
        <v>1</v>
      </c>
      <c r="I101" s="122">
        <f>'Items B &amp; C'!L43</f>
        <v>1</v>
      </c>
      <c r="J101" s="20">
        <f t="shared" ref="J101:J107" si="3">J100*H101</f>
        <v>1.0155029967639226</v>
      </c>
      <c r="K101" s="20">
        <f t="shared" si="1"/>
        <v>1.0148162634339191</v>
      </c>
      <c r="L101" s="25" t="str">
        <f t="shared" ref="L101:L110" si="4">IF(F101,(I101-1)*360/(C101-C100),"")</f>
        <v/>
      </c>
      <c r="N101" s="25"/>
      <c r="O101" s="19"/>
      <c r="P101" s="17"/>
      <c r="R101" s="17"/>
      <c r="S101" s="25"/>
      <c r="T101" s="18"/>
    </row>
    <row r="102" spans="2:20" x14ac:dyDescent="0.4">
      <c r="B102" t="s">
        <v>119</v>
      </c>
      <c r="C102" s="75"/>
      <c r="E102" s="80"/>
      <c r="F102" s="80"/>
      <c r="G102" s="25"/>
      <c r="H102" s="122">
        <f>'Items B &amp; C'!K44</f>
        <v>1</v>
      </c>
      <c r="I102" s="122">
        <f>'Items B &amp; C'!L44</f>
        <v>1</v>
      </c>
      <c r="J102" s="20">
        <f t="shared" si="3"/>
        <v>1.0155029967639226</v>
      </c>
      <c r="K102" s="20">
        <f t="shared" si="1"/>
        <v>1.0148162634339191</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1.0155029967639226</v>
      </c>
      <c r="K103" s="65">
        <f t="shared" si="1"/>
        <v>1.0148162634339191</v>
      </c>
      <c r="L103" s="25"/>
      <c r="O103" s="19"/>
      <c r="R103" s="17"/>
      <c r="S103" s="25"/>
      <c r="T103" s="18"/>
    </row>
    <row r="104" spans="2:20" ht="15" thickTop="1" x14ac:dyDescent="0.4">
      <c r="B104" t="s">
        <v>121</v>
      </c>
      <c r="C104" s="75"/>
      <c r="E104" s="80"/>
      <c r="F104" s="80"/>
      <c r="G104" s="25"/>
      <c r="H104" s="122">
        <f>'Items B &amp; C'!K45</f>
        <v>1</v>
      </c>
      <c r="I104" s="122">
        <f>'Items B &amp; C'!L45</f>
        <v>1</v>
      </c>
      <c r="J104" s="20">
        <f t="shared" si="3"/>
        <v>1.0155029967639226</v>
      </c>
      <c r="K104" s="20">
        <f t="shared" si="1"/>
        <v>1.0148162634339191</v>
      </c>
      <c r="L104" s="25" t="str">
        <f t="shared" si="4"/>
        <v/>
      </c>
      <c r="N104" s="25"/>
      <c r="O104" s="19"/>
      <c r="P104" s="17"/>
      <c r="R104" s="17"/>
      <c r="S104" s="25"/>
      <c r="T104" s="18"/>
    </row>
    <row r="105" spans="2:20" x14ac:dyDescent="0.4">
      <c r="B105" t="s">
        <v>122</v>
      </c>
      <c r="C105" s="75"/>
      <c r="E105" s="80"/>
      <c r="F105" s="80"/>
      <c r="G105" s="25"/>
      <c r="H105" s="122">
        <f>'Items B &amp; C'!K46</f>
        <v>1</v>
      </c>
      <c r="I105" s="122">
        <f>'Items B &amp; C'!L46</f>
        <v>1</v>
      </c>
      <c r="J105" s="20">
        <f t="shared" si="3"/>
        <v>1.0155029967639226</v>
      </c>
      <c r="K105" s="20">
        <f t="shared" si="1"/>
        <v>1.0148162634339191</v>
      </c>
      <c r="L105" s="25" t="str">
        <f t="shared" si="4"/>
        <v/>
      </c>
      <c r="N105" s="25"/>
      <c r="O105" s="19"/>
      <c r="R105" s="17"/>
      <c r="S105" s="25"/>
      <c r="T105" s="18"/>
    </row>
    <row r="106" spans="2:20" x14ac:dyDescent="0.4">
      <c r="B106" t="s">
        <v>123</v>
      </c>
      <c r="C106" s="75"/>
      <c r="E106" s="80"/>
      <c r="F106" s="80"/>
      <c r="G106" s="25"/>
      <c r="H106" s="122">
        <f>'Items B &amp; C'!K47</f>
        <v>1</v>
      </c>
      <c r="I106" s="122">
        <f>'Items B &amp; C'!L47</f>
        <v>1</v>
      </c>
      <c r="J106" s="20">
        <f t="shared" si="3"/>
        <v>1.0155029967639226</v>
      </c>
      <c r="K106" s="20">
        <f t="shared" si="1"/>
        <v>1.0148162634339191</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1.0155029967639226</v>
      </c>
      <c r="K107" s="65">
        <f t="shared" si="1"/>
        <v>1.0148162634339191</v>
      </c>
      <c r="L107" s="25"/>
      <c r="O107" s="19"/>
      <c r="P107" s="17"/>
      <c r="R107" s="17"/>
      <c r="S107" s="25"/>
      <c r="T107" s="18"/>
    </row>
    <row r="108" spans="2:20" ht="15" thickTop="1" x14ac:dyDescent="0.4">
      <c r="B108" t="s">
        <v>125</v>
      </c>
      <c r="C108" s="75"/>
      <c r="E108" s="80"/>
      <c r="F108" s="80"/>
      <c r="G108" s="25"/>
      <c r="H108" s="122">
        <f>'Items B &amp; C'!K48</f>
        <v>1</v>
      </c>
      <c r="I108" s="122">
        <f>'Items B &amp; C'!L48</f>
        <v>1</v>
      </c>
      <c r="J108" s="20">
        <f>J107*H108</f>
        <v>1.0155029967639226</v>
      </c>
      <c r="K108" s="20">
        <f t="shared" ref="K108:K110" si="5">K107*I108</f>
        <v>1.0148162634339191</v>
      </c>
      <c r="L108" s="25" t="str">
        <f t="shared" si="4"/>
        <v/>
      </c>
      <c r="N108" s="25"/>
    </row>
    <row r="109" spans="2:20" x14ac:dyDescent="0.4">
      <c r="B109" t="s">
        <v>126</v>
      </c>
      <c r="C109" s="75"/>
      <c r="E109" s="80"/>
      <c r="F109" s="80"/>
      <c r="G109" s="25"/>
      <c r="H109" s="122">
        <f>'Items B &amp; C'!K49</f>
        <v>1</v>
      </c>
      <c r="I109" s="122">
        <f>'Items B &amp; C'!L49</f>
        <v>1</v>
      </c>
      <c r="J109" s="20">
        <f t="shared" ref="J109:J110" si="6">J108*H109</f>
        <v>1.0155029967639226</v>
      </c>
      <c r="K109" s="20">
        <f t="shared" si="5"/>
        <v>1.0148162634339191</v>
      </c>
      <c r="L109" s="25" t="str">
        <f t="shared" si="4"/>
        <v/>
      </c>
      <c r="N109" s="25"/>
    </row>
    <row r="110" spans="2:20" x14ac:dyDescent="0.4">
      <c r="B110" t="s">
        <v>127</v>
      </c>
      <c r="C110" s="75"/>
      <c r="E110" s="80"/>
      <c r="F110" s="80"/>
      <c r="G110" s="25"/>
      <c r="H110" s="122">
        <f>'Items B &amp; C'!K50</f>
        <v>1</v>
      </c>
      <c r="I110" s="122">
        <f>'Items B &amp; C'!L50</f>
        <v>1</v>
      </c>
      <c r="J110" s="20">
        <f t="shared" si="6"/>
        <v>1.0155029967639226</v>
      </c>
      <c r="K110" s="20">
        <f t="shared" si="5"/>
        <v>1.0148162634339191</v>
      </c>
      <c r="L110" s="25" t="str">
        <f t="shared" si="4"/>
        <v/>
      </c>
    </row>
    <row r="111" spans="2:20" ht="15" thickBot="1" x14ac:dyDescent="0.45">
      <c r="B111" t="s">
        <v>128</v>
      </c>
      <c r="C111" s="75"/>
      <c r="E111" s="94"/>
      <c r="F111" s="94"/>
      <c r="G111" s="62"/>
      <c r="H111" s="65">
        <v>1</v>
      </c>
      <c r="I111" s="65">
        <v>1</v>
      </c>
      <c r="J111" s="65">
        <f t="shared" ref="J111:K112" si="7">J110*H111</f>
        <v>1.0155029967639226</v>
      </c>
      <c r="K111" s="65">
        <f t="shared" si="7"/>
        <v>1.0148162634339191</v>
      </c>
    </row>
    <row r="112" spans="2:20" ht="15" thickTop="1" x14ac:dyDescent="0.4">
      <c r="B112" t="s">
        <v>129</v>
      </c>
      <c r="C112" s="75"/>
      <c r="D112" s="67"/>
      <c r="E112" s="80"/>
      <c r="F112" s="80"/>
      <c r="G112" s="62"/>
      <c r="H112" s="65">
        <v>1</v>
      </c>
      <c r="I112" s="65">
        <v>1</v>
      </c>
      <c r="J112" s="65">
        <f t="shared" si="7"/>
        <v>1.0155029967639226</v>
      </c>
      <c r="K112" s="65">
        <f t="shared" si="7"/>
        <v>1.0148162634339191</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389</v>
      </c>
      <c r="B1" s="7" t="s">
        <v>34</v>
      </c>
    </row>
    <row r="2" spans="1:3" x14ac:dyDescent="0.4">
      <c r="B2" s="1" t="s">
        <v>50</v>
      </c>
    </row>
    <row r="4" spans="1:3" x14ac:dyDescent="0.4">
      <c r="B4" s="5" t="s">
        <v>51</v>
      </c>
    </row>
    <row r="5" spans="1:3" x14ac:dyDescent="0.4">
      <c r="B5" s="5"/>
    </row>
    <row r="6" spans="1:3" x14ac:dyDescent="0.4">
      <c r="B6" s="10" t="s">
        <v>66</v>
      </c>
      <c r="C6" s="37" t="s">
        <v>373</v>
      </c>
    </row>
    <row r="7" spans="1:3" x14ac:dyDescent="0.4">
      <c r="B7" s="10" t="s">
        <v>35</v>
      </c>
      <c r="C7" s="44" t="s">
        <v>389</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C'!O12</f>
        <v>681120000</v>
      </c>
      <c r="E35" s="1" t="s">
        <v>48</v>
      </c>
    </row>
    <row r="36" spans="2:5" x14ac:dyDescent="0.4">
      <c r="B36" t="s">
        <v>70</v>
      </c>
      <c r="C36" s="77">
        <f>'Items B &amp; C'!P12</f>
        <v>676570000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C'!AB12</f>
        <v>17274000</v>
      </c>
      <c r="D60" s="66"/>
      <c r="E60" s="79">
        <f>'Items B &amp; C'!AD12</f>
        <v>663846000</v>
      </c>
      <c r="F60" s="79">
        <f>'Items B &amp; C'!AE12</f>
        <v>0</v>
      </c>
      <c r="G60" s="79">
        <f>'Items B &amp; C'!AF12</f>
        <v>0</v>
      </c>
      <c r="N60" s="24"/>
    </row>
    <row r="61" spans="2:14" x14ac:dyDescent="0.4">
      <c r="B61" t="s">
        <v>79</v>
      </c>
      <c r="C61" s="79">
        <f>'Items B &amp; C'!AG12</f>
        <v>104000</v>
      </c>
      <c r="D61" s="66"/>
      <c r="E61" s="79">
        <f>'Items B &amp; C'!AI12</f>
        <v>0</v>
      </c>
      <c r="F61" s="79">
        <f>'Items B &amp; C'!AJ12</f>
        <v>0</v>
      </c>
      <c r="G61" s="79">
        <f>'Items B &amp; C'!AK12</f>
        <v>4446000</v>
      </c>
      <c r="N61" s="24"/>
    </row>
    <row r="64" spans="2:14" x14ac:dyDescent="0.4">
      <c r="B64" t="s">
        <v>88</v>
      </c>
      <c r="E64" s="1" t="s">
        <v>86</v>
      </c>
    </row>
    <row r="65" spans="2:5" x14ac:dyDescent="0.4">
      <c r="B65" t="s">
        <v>85</v>
      </c>
      <c r="C65" s="81">
        <f>'Items B &amp; C'!J54</f>
        <v>97</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C'!J56</f>
        <v>0</v>
      </c>
    </row>
    <row r="71" spans="2:5" x14ac:dyDescent="0.4">
      <c r="B71" t="s">
        <v>91</v>
      </c>
      <c r="C71" s="81">
        <f>'Items B &amp; C'!J57</f>
        <v>0</v>
      </c>
    </row>
    <row r="72" spans="2:5" x14ac:dyDescent="0.4">
      <c r="B72" t="s">
        <v>92</v>
      </c>
      <c r="C72" s="81">
        <f>'Items B &amp; C'!J58</f>
        <v>0</v>
      </c>
    </row>
    <row r="73" spans="2:5" x14ac:dyDescent="0.4">
      <c r="B73" t="s">
        <v>93</v>
      </c>
      <c r="C73" s="81">
        <f>'Items B &amp; C'!J59</f>
        <v>57</v>
      </c>
      <c r="E73" s="1" t="s">
        <v>103</v>
      </c>
    </row>
    <row r="74" spans="2:5" x14ac:dyDescent="0.4">
      <c r="B74" t="s">
        <v>94</v>
      </c>
      <c r="C74" s="81">
        <f>'Items B &amp; C'!J60</f>
        <v>0</v>
      </c>
      <c r="E74" s="1" t="s">
        <v>104</v>
      </c>
    </row>
    <row r="75" spans="2:5" x14ac:dyDescent="0.4">
      <c r="B75" t="s">
        <v>95</v>
      </c>
      <c r="C75" s="81">
        <f>'Items B &amp; C'!J61</f>
        <v>31</v>
      </c>
      <c r="E75" s="1" t="s">
        <v>105</v>
      </c>
    </row>
    <row r="76" spans="2:5" x14ac:dyDescent="0.4">
      <c r="B76" t="s">
        <v>96</v>
      </c>
      <c r="C76" s="81">
        <f>'Items B &amp; C'!J62</f>
        <v>12</v>
      </c>
      <c r="E76" s="1" t="s">
        <v>106</v>
      </c>
    </row>
    <row r="77" spans="2:5" x14ac:dyDescent="0.4">
      <c r="B77" t="s">
        <v>97</v>
      </c>
      <c r="C77" s="81">
        <f>'Items B &amp; C'!J63</f>
        <v>0</v>
      </c>
    </row>
    <row r="78" spans="2:5" x14ac:dyDescent="0.4">
      <c r="B78" t="s">
        <v>98</v>
      </c>
      <c r="C78" s="81">
        <f>'Items B &amp; C'!J64</f>
        <v>0</v>
      </c>
    </row>
    <row r="79" spans="2:5" x14ac:dyDescent="0.4">
      <c r="B79" t="s">
        <v>101</v>
      </c>
      <c r="C79" s="81">
        <f>'Items B &amp; C'!J65</f>
        <v>0</v>
      </c>
    </row>
    <row r="80" spans="2:5" x14ac:dyDescent="0.4">
      <c r="B80" t="s">
        <v>99</v>
      </c>
      <c r="C80" s="81">
        <f>'Items B &amp; C'!J66</f>
        <v>0</v>
      </c>
    </row>
    <row r="81" spans="2:20" x14ac:dyDescent="0.4">
      <c r="B81" t="s">
        <v>100</v>
      </c>
      <c r="C81" s="81">
        <f>'Items B &amp; C'!J67</f>
        <v>0</v>
      </c>
    </row>
    <row r="82" spans="2:20" x14ac:dyDescent="0.4">
      <c r="B82" t="s">
        <v>102</v>
      </c>
      <c r="C82" s="81">
        <f>'Items B &amp; C'!J68</f>
        <v>0</v>
      </c>
    </row>
    <row r="83" spans="2:20" x14ac:dyDescent="0.4">
      <c r="B83" t="s">
        <v>152</v>
      </c>
      <c r="C83" s="81">
        <f>'Items B &amp; C'!J69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45322</v>
      </c>
      <c r="E96" s="80">
        <f t="shared" ref="E96:F98" si="0">ROUND(H96-1,4)</f>
        <v>5.4000000000000003E-3</v>
      </c>
      <c r="F96" s="80">
        <f t="shared" si="0"/>
        <v>5.1000000000000004E-3</v>
      </c>
      <c r="G96" s="25"/>
      <c r="H96" s="122">
        <f>'Items B &amp; C'!M39</f>
        <v>1.0054072545347901</v>
      </c>
      <c r="I96" s="122">
        <f>'Items B &amp; C'!N39</f>
        <v>1.0051193884686629</v>
      </c>
      <c r="J96" s="20">
        <f>J95*H96</f>
        <v>1.0054072545347901</v>
      </c>
      <c r="K96" s="20">
        <f t="shared" ref="K96:K107" si="1">K95*I96</f>
        <v>1.0051193884686629</v>
      </c>
      <c r="L96" s="25">
        <f>(I96-1)*360/31</f>
        <v>5.945096286189161E-2</v>
      </c>
      <c r="N96" s="25"/>
      <c r="O96" s="19"/>
      <c r="P96" s="17"/>
      <c r="R96" s="17"/>
      <c r="S96" s="25"/>
      <c r="T96" s="18"/>
    </row>
    <row r="97" spans="2:20" x14ac:dyDescent="0.4">
      <c r="B97" t="s">
        <v>114</v>
      </c>
      <c r="C97" s="75">
        <v>45351</v>
      </c>
      <c r="E97" s="80">
        <f t="shared" si="0"/>
        <v>5.0000000000000001E-3</v>
      </c>
      <c r="F97" s="80">
        <f t="shared" si="0"/>
        <v>4.7999999999999996E-3</v>
      </c>
      <c r="G97" s="25"/>
      <c r="H97" s="122">
        <f>'Items B &amp; C'!M40</f>
        <v>1.0050145045216148</v>
      </c>
      <c r="I97" s="122">
        <f>'Items B &amp; C'!N40</f>
        <v>1.0047734522308442</v>
      </c>
      <c r="J97" s="20">
        <f t="shared" ref="J97:J99" si="2">J96*H97</f>
        <v>1.0104488737587192</v>
      </c>
      <c r="K97" s="20">
        <f t="shared" si="1"/>
        <v>1.0099172778558134</v>
      </c>
      <c r="L97" s="25">
        <f>(I97-1)*360/(C97-C96)</f>
        <v>5.9256648382894066E-2</v>
      </c>
      <c r="N97" s="25"/>
      <c r="O97" s="19"/>
      <c r="P97" s="17"/>
      <c r="R97" s="17"/>
      <c r="S97" s="25"/>
      <c r="T97" s="18"/>
    </row>
    <row r="98" spans="2:20" x14ac:dyDescent="0.4">
      <c r="B98" t="s">
        <v>115</v>
      </c>
      <c r="C98" s="75">
        <v>45382</v>
      </c>
      <c r="E98" s="80">
        <f t="shared" si="0"/>
        <v>5.4000000000000003E-3</v>
      </c>
      <c r="F98" s="80">
        <f t="shared" si="0"/>
        <v>5.1000000000000004E-3</v>
      </c>
      <c r="G98" s="25"/>
      <c r="H98" s="122">
        <f>'Items B &amp; C'!M41</f>
        <v>1.0053870676636574</v>
      </c>
      <c r="I98" s="122">
        <f>'Items B &amp; C'!N41</f>
        <v>1.005103645082726</v>
      </c>
      <c r="J98" s="20">
        <f t="shared" si="2"/>
        <v>1.0158922302123237</v>
      </c>
      <c r="K98" s="20">
        <f t="shared" si="1"/>
        <v>1.0150715372049022</v>
      </c>
      <c r="L98" s="25">
        <f>(I98-1)*360/(C98-C97)</f>
        <v>5.9268136444559798E-2</v>
      </c>
      <c r="N98" s="25"/>
      <c r="O98" s="19"/>
      <c r="P98" s="17"/>
      <c r="R98" s="17"/>
      <c r="S98" s="25"/>
      <c r="T98" s="18"/>
    </row>
    <row r="99" spans="2:20" ht="15" thickBot="1" x14ac:dyDescent="0.45">
      <c r="B99" t="s">
        <v>116</v>
      </c>
      <c r="C99" s="75">
        <v>45382</v>
      </c>
      <c r="E99" s="94">
        <f>ROUND((J99/J95)-1,4)</f>
        <v>1.5900000000000001E-2</v>
      </c>
      <c r="F99" s="94">
        <f>ROUND((K99/K95)-1,4)</f>
        <v>1.5100000000000001E-2</v>
      </c>
      <c r="G99" s="25"/>
      <c r="H99" s="65">
        <v>1</v>
      </c>
      <c r="I99" s="65">
        <v>1</v>
      </c>
      <c r="J99" s="65">
        <f t="shared" si="2"/>
        <v>1.0158922302123237</v>
      </c>
      <c r="K99" s="65">
        <f t="shared" si="1"/>
        <v>1.0150715372049022</v>
      </c>
      <c r="L99" s="25"/>
      <c r="N99" s="25"/>
      <c r="O99" s="19"/>
      <c r="R99" s="17"/>
      <c r="S99" s="25"/>
      <c r="T99" s="18"/>
    </row>
    <row r="100" spans="2:20" ht="15" thickTop="1" x14ac:dyDescent="0.4">
      <c r="B100" t="s">
        <v>117</v>
      </c>
      <c r="C100" s="75"/>
      <c r="E100" s="80"/>
      <c r="F100" s="80"/>
      <c r="G100" s="25"/>
      <c r="H100" s="122">
        <f>'Items B &amp; C'!M42</f>
        <v>1</v>
      </c>
      <c r="I100" s="122">
        <f>'Items B &amp; C'!N42</f>
        <v>1</v>
      </c>
      <c r="J100" s="20">
        <f>J99*H100</f>
        <v>1.0158922302123237</v>
      </c>
      <c r="K100" s="20">
        <f t="shared" si="1"/>
        <v>1.0150715372049022</v>
      </c>
      <c r="L100" s="25" t="str">
        <f>IF(F100,(I100-1)*360/(C100-C99),"")</f>
        <v/>
      </c>
      <c r="N100" s="25"/>
      <c r="O100" s="19"/>
      <c r="R100" s="17"/>
      <c r="S100" s="25"/>
      <c r="T100" s="18"/>
    </row>
    <row r="101" spans="2:20" x14ac:dyDescent="0.4">
      <c r="B101" t="s">
        <v>118</v>
      </c>
      <c r="C101" s="75"/>
      <c r="E101" s="80"/>
      <c r="F101" s="80"/>
      <c r="G101" s="25"/>
      <c r="H101" s="122">
        <f>'Items B &amp; C'!M43</f>
        <v>1</v>
      </c>
      <c r="I101" s="122">
        <f>'Items B &amp; C'!N43</f>
        <v>1</v>
      </c>
      <c r="J101" s="20">
        <f t="shared" ref="J101:J107" si="3">J100*H101</f>
        <v>1.0158922302123237</v>
      </c>
      <c r="K101" s="20">
        <f t="shared" si="1"/>
        <v>1.0150715372049022</v>
      </c>
      <c r="L101" s="25" t="str">
        <f t="shared" ref="L101:L110" si="4">IF(F101,(I101-1)*360/(C101-C100),"")</f>
        <v/>
      </c>
      <c r="N101" s="25"/>
      <c r="O101" s="19"/>
      <c r="P101" s="17"/>
      <c r="R101" s="17"/>
      <c r="S101" s="25"/>
      <c r="T101" s="18"/>
    </row>
    <row r="102" spans="2:20" x14ac:dyDescent="0.4">
      <c r="B102" t="s">
        <v>119</v>
      </c>
      <c r="C102" s="75"/>
      <c r="E102" s="80"/>
      <c r="F102" s="80"/>
      <c r="G102" s="25"/>
      <c r="H102" s="122">
        <f>'Items B &amp; C'!M44</f>
        <v>1</v>
      </c>
      <c r="I102" s="122">
        <f>'Items B &amp; C'!N44</f>
        <v>1</v>
      </c>
      <c r="J102" s="20">
        <f t="shared" si="3"/>
        <v>1.0158922302123237</v>
      </c>
      <c r="K102" s="20">
        <f t="shared" si="1"/>
        <v>1.0150715372049022</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1.0158922302123237</v>
      </c>
      <c r="K103" s="65">
        <f t="shared" si="1"/>
        <v>1.0150715372049022</v>
      </c>
      <c r="L103" s="25"/>
      <c r="N103" s="25"/>
      <c r="O103" s="19"/>
      <c r="R103" s="17"/>
      <c r="S103" s="25"/>
      <c r="T103" s="18"/>
    </row>
    <row r="104" spans="2:20" ht="15" thickTop="1" x14ac:dyDescent="0.4">
      <c r="B104" t="s">
        <v>121</v>
      </c>
      <c r="C104" s="75"/>
      <c r="E104" s="80"/>
      <c r="F104" s="80"/>
      <c r="G104" s="25"/>
      <c r="H104" s="122">
        <f>'Items B &amp; C'!M45</f>
        <v>1</v>
      </c>
      <c r="I104" s="122">
        <f>'Items B &amp; C'!N45</f>
        <v>1</v>
      </c>
      <c r="J104" s="20">
        <f t="shared" si="3"/>
        <v>1.0158922302123237</v>
      </c>
      <c r="K104" s="20">
        <f t="shared" si="1"/>
        <v>1.0150715372049022</v>
      </c>
      <c r="L104" s="25" t="str">
        <f t="shared" si="4"/>
        <v/>
      </c>
      <c r="N104" s="25"/>
      <c r="O104" s="19"/>
      <c r="P104" s="17"/>
      <c r="R104" s="17"/>
      <c r="S104" s="25"/>
      <c r="T104" s="18"/>
    </row>
    <row r="105" spans="2:20" x14ac:dyDescent="0.4">
      <c r="B105" t="s">
        <v>122</v>
      </c>
      <c r="C105" s="75"/>
      <c r="E105" s="80"/>
      <c r="F105" s="80"/>
      <c r="G105" s="25"/>
      <c r="H105" s="122">
        <f>'Items B &amp; C'!M46</f>
        <v>1</v>
      </c>
      <c r="I105" s="122">
        <f>'Items B &amp; C'!N46</f>
        <v>1</v>
      </c>
      <c r="J105" s="20">
        <f t="shared" si="3"/>
        <v>1.0158922302123237</v>
      </c>
      <c r="K105" s="20">
        <f t="shared" si="1"/>
        <v>1.0150715372049022</v>
      </c>
      <c r="L105" s="25" t="str">
        <f t="shared" si="4"/>
        <v/>
      </c>
      <c r="N105" s="25"/>
      <c r="O105" s="19"/>
      <c r="R105" s="17"/>
      <c r="S105" s="25"/>
      <c r="T105" s="18"/>
    </row>
    <row r="106" spans="2:20" x14ac:dyDescent="0.4">
      <c r="B106" t="s">
        <v>123</v>
      </c>
      <c r="C106" s="75"/>
      <c r="E106" s="80"/>
      <c r="F106" s="80"/>
      <c r="G106" s="25"/>
      <c r="H106" s="122">
        <f>'Items B &amp; C'!M47</f>
        <v>1</v>
      </c>
      <c r="I106" s="122">
        <f>'Items B &amp; C'!N47</f>
        <v>1</v>
      </c>
      <c r="J106" s="20">
        <f t="shared" si="3"/>
        <v>1.0158922302123237</v>
      </c>
      <c r="K106" s="20">
        <f t="shared" si="1"/>
        <v>1.0150715372049022</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1.0158922302123237</v>
      </c>
      <c r="K107" s="65">
        <f t="shared" si="1"/>
        <v>1.0150715372049022</v>
      </c>
      <c r="L107" s="25"/>
      <c r="N107" s="25"/>
      <c r="O107" s="19"/>
      <c r="P107" s="17"/>
      <c r="R107" s="17"/>
      <c r="S107" s="25"/>
      <c r="T107" s="18"/>
    </row>
    <row r="108" spans="2:20" ht="15" thickTop="1" x14ac:dyDescent="0.4">
      <c r="B108" t="s">
        <v>125</v>
      </c>
      <c r="C108" s="75"/>
      <c r="E108" s="80"/>
      <c r="F108" s="80"/>
      <c r="G108" s="25"/>
      <c r="H108" s="122">
        <f>'Items B &amp; C'!M48</f>
        <v>1</v>
      </c>
      <c r="I108" s="122">
        <f>'Items B &amp; C'!N48</f>
        <v>1</v>
      </c>
      <c r="J108" s="20">
        <f>J107*H108</f>
        <v>1.0158922302123237</v>
      </c>
      <c r="K108" s="20">
        <f t="shared" ref="K108:K110" si="5">K107*I108</f>
        <v>1.0150715372049022</v>
      </c>
      <c r="L108" s="25" t="str">
        <f t="shared" si="4"/>
        <v/>
      </c>
    </row>
    <row r="109" spans="2:20" x14ac:dyDescent="0.4">
      <c r="B109" t="s">
        <v>126</v>
      </c>
      <c r="C109" s="75"/>
      <c r="E109" s="80"/>
      <c r="F109" s="80"/>
      <c r="G109" s="25"/>
      <c r="H109" s="122">
        <f>'Items B &amp; C'!M49</f>
        <v>1</v>
      </c>
      <c r="I109" s="122">
        <f>'Items B &amp; C'!N49</f>
        <v>1</v>
      </c>
      <c r="J109" s="20">
        <f t="shared" ref="J109:J110" si="6">J108*H109</f>
        <v>1.0158922302123237</v>
      </c>
      <c r="K109" s="20">
        <f t="shared" si="5"/>
        <v>1.0150715372049022</v>
      </c>
      <c r="L109" s="25" t="str">
        <f t="shared" si="4"/>
        <v/>
      </c>
    </row>
    <row r="110" spans="2:20" x14ac:dyDescent="0.4">
      <c r="B110" t="s">
        <v>127</v>
      </c>
      <c r="C110" s="75"/>
      <c r="E110" s="80"/>
      <c r="F110" s="80"/>
      <c r="G110" s="25"/>
      <c r="H110" s="122">
        <f>'Items B &amp; C'!M50</f>
        <v>1</v>
      </c>
      <c r="I110" s="122">
        <f>'Items B &amp; C'!N50</f>
        <v>1</v>
      </c>
      <c r="J110" s="20">
        <f t="shared" si="6"/>
        <v>1.0158922302123237</v>
      </c>
      <c r="K110" s="20">
        <f t="shared" si="5"/>
        <v>1.0150715372049022</v>
      </c>
      <c r="L110" s="25" t="str">
        <f t="shared" si="4"/>
        <v/>
      </c>
    </row>
    <row r="111" spans="2:20" ht="15" thickBot="1" x14ac:dyDescent="0.45">
      <c r="B111" t="s">
        <v>128</v>
      </c>
      <c r="C111" s="75"/>
      <c r="E111" s="94"/>
      <c r="F111" s="94"/>
      <c r="G111" s="62"/>
      <c r="H111" s="65">
        <v>1</v>
      </c>
      <c r="I111" s="65">
        <v>1</v>
      </c>
      <c r="J111" s="65">
        <f t="shared" ref="J111:K112" si="7">J110*H111</f>
        <v>1.0158922302123237</v>
      </c>
      <c r="K111" s="65">
        <f t="shared" si="7"/>
        <v>1.0150715372049022</v>
      </c>
    </row>
    <row r="112" spans="2:20" ht="15" thickTop="1" x14ac:dyDescent="0.4">
      <c r="B112" t="s">
        <v>129</v>
      </c>
      <c r="C112" s="75"/>
      <c r="D112" s="67"/>
      <c r="E112" s="80"/>
      <c r="F112" s="80"/>
      <c r="G112" s="62"/>
      <c r="H112" s="65">
        <v>1</v>
      </c>
      <c r="I112" s="65">
        <v>1</v>
      </c>
      <c r="J112" s="65">
        <f t="shared" si="7"/>
        <v>1.0158922302123237</v>
      </c>
      <c r="K112" s="65">
        <f t="shared" si="7"/>
        <v>1.0150715372049022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390</v>
      </c>
      <c r="B1" s="7" t="s">
        <v>34</v>
      </c>
    </row>
    <row r="2" spans="1:3" x14ac:dyDescent="0.4">
      <c r="B2" s="1" t="s">
        <v>50</v>
      </c>
    </row>
    <row r="4" spans="1:3" x14ac:dyDescent="0.4">
      <c r="B4" s="5" t="s">
        <v>51</v>
      </c>
    </row>
    <row r="5" spans="1:3" x14ac:dyDescent="0.4">
      <c r="B5" s="5"/>
    </row>
    <row r="6" spans="1:3" x14ac:dyDescent="0.4">
      <c r="B6" s="10" t="s">
        <v>66</v>
      </c>
      <c r="C6" s="37" t="s">
        <v>372</v>
      </c>
    </row>
    <row r="7" spans="1:3" x14ac:dyDescent="0.4">
      <c r="B7" s="10" t="s">
        <v>35</v>
      </c>
      <c r="C7" s="44" t="s">
        <v>390</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C'!O13</f>
        <v>657285000</v>
      </c>
      <c r="E35" s="1" t="s">
        <v>48</v>
      </c>
    </row>
    <row r="36" spans="2:5" x14ac:dyDescent="0.4">
      <c r="B36" t="s">
        <v>70</v>
      </c>
      <c r="C36" s="77">
        <f>'Items B &amp; C'!P13</f>
        <v>650925000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150</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C'!AB13</f>
        <v>17420000</v>
      </c>
      <c r="D60" s="66"/>
      <c r="E60" s="79">
        <f>'Items B &amp; C'!AD13</f>
        <v>639858000</v>
      </c>
      <c r="F60" s="79">
        <f>'Items B &amp; C'!AE13</f>
        <v>0</v>
      </c>
      <c r="G60" s="79">
        <f>'Items B &amp; C'!AF13</f>
        <v>7000</v>
      </c>
    </row>
    <row r="61" spans="2:7" x14ac:dyDescent="0.4">
      <c r="B61" t="s">
        <v>79</v>
      </c>
      <c r="C61" s="79">
        <f>'Items B &amp; C'!AG13</f>
        <v>428000</v>
      </c>
      <c r="D61" s="66"/>
      <c r="E61" s="79">
        <f>'Items B &amp; C'!AI13</f>
        <v>0</v>
      </c>
      <c r="F61" s="79">
        <f>'Items B &amp; C'!AJ13</f>
        <v>0</v>
      </c>
      <c r="G61" s="79">
        <f>'Items B &amp; C'!AK13</f>
        <v>5933000</v>
      </c>
    </row>
    <row r="64" spans="2:7" x14ac:dyDescent="0.4">
      <c r="B64" t="s">
        <v>88</v>
      </c>
      <c r="E64" s="1" t="s">
        <v>86</v>
      </c>
    </row>
    <row r="65" spans="2:5" x14ac:dyDescent="0.4">
      <c r="B65" t="s">
        <v>85</v>
      </c>
      <c r="C65" s="81">
        <f>'Items B &amp; C'!K54</f>
        <v>83</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C'!K56</f>
        <v>0</v>
      </c>
    </row>
    <row r="71" spans="2:5" x14ac:dyDescent="0.4">
      <c r="B71" t="s">
        <v>91</v>
      </c>
      <c r="C71" s="81">
        <f>'Items B &amp; C'!K57</f>
        <v>0</v>
      </c>
    </row>
    <row r="72" spans="2:5" x14ac:dyDescent="0.4">
      <c r="B72" t="s">
        <v>92</v>
      </c>
      <c r="C72" s="81">
        <f>'Items B &amp; C'!K58</f>
        <v>0</v>
      </c>
    </row>
    <row r="73" spans="2:5" x14ac:dyDescent="0.4">
      <c r="B73" t="s">
        <v>93</v>
      </c>
      <c r="C73" s="81">
        <f>'Items B &amp; C'!K59</f>
        <v>61</v>
      </c>
      <c r="E73" s="1" t="s">
        <v>103</v>
      </c>
    </row>
    <row r="74" spans="2:5" x14ac:dyDescent="0.4">
      <c r="B74" t="s">
        <v>94</v>
      </c>
      <c r="C74" s="81">
        <f>'Items B &amp; C'!K60</f>
        <v>0</v>
      </c>
      <c r="E74" s="1" t="s">
        <v>104</v>
      </c>
    </row>
    <row r="75" spans="2:5" x14ac:dyDescent="0.4">
      <c r="B75" t="s">
        <v>95</v>
      </c>
      <c r="C75" s="81">
        <f>'Items B &amp; C'!K61</f>
        <v>0</v>
      </c>
      <c r="E75" s="1" t="s">
        <v>105</v>
      </c>
    </row>
    <row r="76" spans="2:5" x14ac:dyDescent="0.4">
      <c r="B76" t="s">
        <v>96</v>
      </c>
      <c r="C76" s="81">
        <f>'Items B &amp; C'!K62</f>
        <v>39</v>
      </c>
      <c r="E76" s="1" t="s">
        <v>106</v>
      </c>
    </row>
    <row r="77" spans="2:5" x14ac:dyDescent="0.4">
      <c r="B77" t="s">
        <v>97</v>
      </c>
      <c r="C77" s="81">
        <f>'Items B &amp; C'!K63</f>
        <v>0</v>
      </c>
    </row>
    <row r="78" spans="2:5" x14ac:dyDescent="0.4">
      <c r="B78" t="s">
        <v>98</v>
      </c>
      <c r="C78" s="81">
        <f>'Items B &amp; C'!K64</f>
        <v>0</v>
      </c>
    </row>
    <row r="79" spans="2:5" x14ac:dyDescent="0.4">
      <c r="B79" t="s">
        <v>101</v>
      </c>
      <c r="C79" s="81">
        <f>'Items B &amp; C'!K65</f>
        <v>0</v>
      </c>
    </row>
    <row r="80" spans="2:5" x14ac:dyDescent="0.4">
      <c r="B80" t="s">
        <v>99</v>
      </c>
      <c r="C80" s="81">
        <f>'Items B &amp; C'!K66</f>
        <v>0</v>
      </c>
    </row>
    <row r="81" spans="2:20" x14ac:dyDescent="0.4">
      <c r="B81" t="s">
        <v>100</v>
      </c>
      <c r="C81" s="81">
        <f>'Items B &amp; C'!K67</f>
        <v>0</v>
      </c>
    </row>
    <row r="82" spans="2:20" x14ac:dyDescent="0.4">
      <c r="B82" t="s">
        <v>102</v>
      </c>
      <c r="C82" s="81">
        <f>'Items B &amp; C'!K68</f>
        <v>0</v>
      </c>
    </row>
    <row r="83" spans="2:20" x14ac:dyDescent="0.4">
      <c r="B83" t="s">
        <v>152</v>
      </c>
      <c r="C83" s="81">
        <f>'Items B &amp; C'!K69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45322</v>
      </c>
      <c r="E96" s="80">
        <f t="shared" ref="E96:F98" si="0">ROUND(H96-1,4)</f>
        <v>5.4999999999999997E-3</v>
      </c>
      <c r="F96" s="80">
        <f t="shared" si="0"/>
        <v>5.1999999999999998E-3</v>
      </c>
      <c r="G96" s="25"/>
      <c r="H96" s="122">
        <f>'Items B &amp; C'!O39</f>
        <v>1.0055187353954613</v>
      </c>
      <c r="I96" s="122">
        <f>'Items B &amp; C'!P39</f>
        <v>1.0051833197696338</v>
      </c>
      <c r="J96" s="20">
        <f>J95*H96</f>
        <v>1.0055187353954613</v>
      </c>
      <c r="K96" s="20">
        <f t="shared" ref="K96:K107" si="1">K95*I96</f>
        <v>1.0051833197696338</v>
      </c>
      <c r="L96" s="25">
        <f>(I96-1)*360/31</f>
        <v>6.0193390873166948E-2</v>
      </c>
      <c r="N96" s="25"/>
      <c r="O96" s="19"/>
      <c r="P96" s="17"/>
      <c r="R96" s="17"/>
      <c r="S96" s="25"/>
      <c r="T96" s="18"/>
    </row>
    <row r="97" spans="2:20" x14ac:dyDescent="0.4">
      <c r="B97" t="s">
        <v>114</v>
      </c>
      <c r="C97" s="75">
        <v>45351</v>
      </c>
      <c r="E97" s="80">
        <f t="shared" si="0"/>
        <v>5.1000000000000004E-3</v>
      </c>
      <c r="F97" s="80">
        <f t="shared" si="0"/>
        <v>4.7999999999999996E-3</v>
      </c>
      <c r="G97" s="25"/>
      <c r="H97" s="122">
        <f>'Items B &amp; C'!O40</f>
        <v>1.0051243755406343</v>
      </c>
      <c r="I97" s="122">
        <f>'Items B &amp; C'!P40</f>
        <v>1.004822883661654</v>
      </c>
      <c r="J97" s="20">
        <f t="shared" ref="J97:J99" si="2">J96*H97</f>
        <v>1.0106713910087712</v>
      </c>
      <c r="K97" s="20">
        <f t="shared" si="1"/>
        <v>1.0100312019795179</v>
      </c>
      <c r="L97" s="25">
        <f>(I97-1)*360/(C97-C96)</f>
        <v>5.9870279937773219E-2</v>
      </c>
      <c r="N97" s="25"/>
      <c r="O97" s="19"/>
      <c r="P97" s="17"/>
      <c r="R97" s="17"/>
      <c r="S97" s="25"/>
      <c r="T97" s="18"/>
    </row>
    <row r="98" spans="2:20" x14ac:dyDescent="0.4">
      <c r="B98" t="s">
        <v>115</v>
      </c>
      <c r="C98" s="75">
        <v>45382</v>
      </c>
      <c r="E98" s="80">
        <f t="shared" si="0"/>
        <v>5.4999999999999997E-3</v>
      </c>
      <c r="F98" s="80">
        <f t="shared" si="0"/>
        <v>5.1000000000000004E-3</v>
      </c>
      <c r="G98" s="25"/>
      <c r="H98" s="122">
        <f>'Items B &amp; C'!O41</f>
        <v>1.0054691847479778</v>
      </c>
      <c r="I98" s="122">
        <f>'Items B &amp; C'!P41</f>
        <v>1.0051277320148555</v>
      </c>
      <c r="J98" s="20">
        <f t="shared" si="2"/>
        <v>1.0161989395656938</v>
      </c>
      <c r="K98" s="20">
        <f t="shared" si="1"/>
        <v>1.0152103713099112</v>
      </c>
      <c r="L98" s="25">
        <f>(I98-1)*360/(C98-C97)</f>
        <v>5.954785565638647E-2</v>
      </c>
      <c r="N98" s="25"/>
      <c r="O98" s="19"/>
      <c r="P98" s="17"/>
      <c r="R98" s="17"/>
      <c r="S98" s="25"/>
      <c r="T98" s="18"/>
    </row>
    <row r="99" spans="2:20" ht="15" thickBot="1" x14ac:dyDescent="0.45">
      <c r="B99" t="s">
        <v>116</v>
      </c>
      <c r="C99" s="75">
        <v>45382</v>
      </c>
      <c r="E99" s="94">
        <f>ROUND((J99/J95)-1,4)</f>
        <v>1.6199999999999999E-2</v>
      </c>
      <c r="F99" s="94">
        <f>ROUND((K99/K95)-1,4)</f>
        <v>1.52E-2</v>
      </c>
      <c r="G99" s="25"/>
      <c r="H99" s="65">
        <v>1</v>
      </c>
      <c r="I99" s="65">
        <v>1</v>
      </c>
      <c r="J99" s="65">
        <f t="shared" si="2"/>
        <v>1.0161989395656938</v>
      </c>
      <c r="K99" s="65">
        <f t="shared" si="1"/>
        <v>1.0152103713099112</v>
      </c>
      <c r="L99" s="25"/>
      <c r="N99" s="25"/>
      <c r="O99" s="19"/>
      <c r="R99" s="17"/>
      <c r="S99" s="25"/>
      <c r="T99" s="18"/>
    </row>
    <row r="100" spans="2:20" ht="15" thickTop="1" x14ac:dyDescent="0.4">
      <c r="B100" t="s">
        <v>117</v>
      </c>
      <c r="C100" s="75"/>
      <c r="E100" s="80"/>
      <c r="F100" s="80"/>
      <c r="G100" s="25"/>
      <c r="H100" s="122">
        <f>'Items B &amp; C'!O42</f>
        <v>1</v>
      </c>
      <c r="I100" s="122">
        <f>'Items B &amp; C'!P42</f>
        <v>1</v>
      </c>
      <c r="J100" s="20">
        <f>J99*H100</f>
        <v>1.0161989395656938</v>
      </c>
      <c r="K100" s="20">
        <f t="shared" si="1"/>
        <v>1.0152103713099112</v>
      </c>
      <c r="L100" s="25" t="str">
        <f>IF(F100,(I100-1)*360/(C100-C99),"")</f>
        <v/>
      </c>
      <c r="N100" s="25"/>
      <c r="O100" s="19"/>
      <c r="R100" s="17"/>
      <c r="S100" s="25"/>
      <c r="T100" s="18"/>
    </row>
    <row r="101" spans="2:20" x14ac:dyDescent="0.4">
      <c r="B101" t="s">
        <v>118</v>
      </c>
      <c r="C101" s="75"/>
      <c r="E101" s="80"/>
      <c r="F101" s="80"/>
      <c r="G101" s="25"/>
      <c r="H101" s="122">
        <f>'Items B &amp; C'!O43</f>
        <v>1</v>
      </c>
      <c r="I101" s="122">
        <f>'Items B &amp; C'!P43</f>
        <v>1</v>
      </c>
      <c r="J101" s="20">
        <f t="shared" ref="J101:J107" si="3">J100*H101</f>
        <v>1.0161989395656938</v>
      </c>
      <c r="K101" s="20">
        <f t="shared" si="1"/>
        <v>1.0152103713099112</v>
      </c>
      <c r="L101" s="25" t="str">
        <f t="shared" ref="L101:L110" si="4">IF(F101,(I101-1)*360/(C101-C100),"")</f>
        <v/>
      </c>
      <c r="N101" s="25"/>
      <c r="O101" s="19"/>
      <c r="P101" s="17"/>
      <c r="R101" s="17"/>
      <c r="S101" s="25"/>
      <c r="T101" s="18"/>
    </row>
    <row r="102" spans="2:20" x14ac:dyDescent="0.4">
      <c r="B102" t="s">
        <v>119</v>
      </c>
      <c r="C102" s="75"/>
      <c r="E102" s="80"/>
      <c r="F102" s="80"/>
      <c r="G102" s="25"/>
      <c r="H102" s="122">
        <f>'Items B &amp; C'!O44</f>
        <v>1</v>
      </c>
      <c r="I102" s="122">
        <f>'Items B &amp; C'!P44</f>
        <v>1</v>
      </c>
      <c r="J102" s="20">
        <f t="shared" si="3"/>
        <v>1.0161989395656938</v>
      </c>
      <c r="K102" s="20">
        <f t="shared" si="1"/>
        <v>1.0152103713099112</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1.0161989395656938</v>
      </c>
      <c r="K103" s="65">
        <f t="shared" si="1"/>
        <v>1.0152103713099112</v>
      </c>
      <c r="L103" s="25"/>
      <c r="N103" s="25"/>
      <c r="O103" s="19"/>
      <c r="R103" s="17"/>
      <c r="S103" s="25"/>
      <c r="T103" s="18"/>
    </row>
    <row r="104" spans="2:20" ht="15" thickTop="1" x14ac:dyDescent="0.4">
      <c r="B104" t="s">
        <v>121</v>
      </c>
      <c r="C104" s="75"/>
      <c r="E104" s="80"/>
      <c r="F104" s="80"/>
      <c r="G104" s="25"/>
      <c r="H104" s="122">
        <f>'Items B &amp; C'!O45</f>
        <v>1</v>
      </c>
      <c r="I104" s="122">
        <f>'Items B &amp; C'!P45</f>
        <v>1</v>
      </c>
      <c r="J104" s="20">
        <f t="shared" si="3"/>
        <v>1.0161989395656938</v>
      </c>
      <c r="K104" s="20">
        <f t="shared" si="1"/>
        <v>1.0152103713099112</v>
      </c>
      <c r="L104" s="25" t="str">
        <f t="shared" si="4"/>
        <v/>
      </c>
      <c r="N104" s="25"/>
      <c r="O104" s="19"/>
      <c r="P104" s="17"/>
      <c r="R104" s="17"/>
      <c r="S104" s="25"/>
      <c r="T104" s="18"/>
    </row>
    <row r="105" spans="2:20" x14ac:dyDescent="0.4">
      <c r="B105" t="s">
        <v>122</v>
      </c>
      <c r="C105" s="75"/>
      <c r="E105" s="80"/>
      <c r="F105" s="80"/>
      <c r="G105" s="25"/>
      <c r="H105" s="122">
        <f>'Items B &amp; C'!O46</f>
        <v>1</v>
      </c>
      <c r="I105" s="122">
        <f>'Items B &amp; C'!P46</f>
        <v>1</v>
      </c>
      <c r="J105" s="20">
        <f t="shared" si="3"/>
        <v>1.0161989395656938</v>
      </c>
      <c r="K105" s="20">
        <f t="shared" si="1"/>
        <v>1.0152103713099112</v>
      </c>
      <c r="L105" s="25" t="str">
        <f t="shared" si="4"/>
        <v/>
      </c>
      <c r="N105" s="25"/>
      <c r="O105" s="19"/>
      <c r="R105" s="17"/>
      <c r="S105" s="25"/>
      <c r="T105" s="18"/>
    </row>
    <row r="106" spans="2:20" x14ac:dyDescent="0.4">
      <c r="B106" t="s">
        <v>123</v>
      </c>
      <c r="C106" s="75"/>
      <c r="E106" s="80"/>
      <c r="F106" s="80"/>
      <c r="G106" s="25"/>
      <c r="H106" s="122">
        <f>'Items B &amp; C'!O47</f>
        <v>1</v>
      </c>
      <c r="I106" s="122">
        <f>'Items B &amp; C'!P47</f>
        <v>1</v>
      </c>
      <c r="J106" s="20">
        <f t="shared" si="3"/>
        <v>1.0161989395656938</v>
      </c>
      <c r="K106" s="20">
        <f t="shared" si="1"/>
        <v>1.0152103713099112</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1.0161989395656938</v>
      </c>
      <c r="K107" s="65">
        <f t="shared" si="1"/>
        <v>1.0152103713099112</v>
      </c>
      <c r="L107" s="25"/>
      <c r="N107" s="25"/>
      <c r="O107" s="19"/>
      <c r="P107" s="17"/>
      <c r="R107" s="17"/>
      <c r="S107" s="25"/>
      <c r="T107" s="18"/>
    </row>
    <row r="108" spans="2:20" ht="15" thickTop="1" x14ac:dyDescent="0.4">
      <c r="B108" t="s">
        <v>125</v>
      </c>
      <c r="C108" s="75"/>
      <c r="E108" s="80"/>
      <c r="F108" s="80"/>
      <c r="G108" s="25"/>
      <c r="H108" s="122">
        <f>'Items B &amp; C'!O48</f>
        <v>1</v>
      </c>
      <c r="I108" s="122">
        <f>'Items B &amp; C'!P48</f>
        <v>1</v>
      </c>
      <c r="J108" s="20">
        <f>J107*H108</f>
        <v>1.0161989395656938</v>
      </c>
      <c r="K108" s="20">
        <f t="shared" ref="K108:K110" si="5">K107*I108</f>
        <v>1.0152103713099112</v>
      </c>
      <c r="L108" s="25" t="str">
        <f t="shared" si="4"/>
        <v/>
      </c>
    </row>
    <row r="109" spans="2:20" x14ac:dyDescent="0.4">
      <c r="B109" t="s">
        <v>126</v>
      </c>
      <c r="C109" s="75"/>
      <c r="E109" s="80"/>
      <c r="F109" s="80"/>
      <c r="G109" s="25"/>
      <c r="H109" s="122">
        <f>'Items B &amp; C'!O49</f>
        <v>1</v>
      </c>
      <c r="I109" s="122">
        <f>'Items B &amp; C'!P49</f>
        <v>1</v>
      </c>
      <c r="J109" s="20">
        <f t="shared" ref="J109:J110" si="6">J108*H109</f>
        <v>1.0161989395656938</v>
      </c>
      <c r="K109" s="20">
        <f t="shared" si="5"/>
        <v>1.0152103713099112</v>
      </c>
      <c r="L109" s="25" t="str">
        <f t="shared" si="4"/>
        <v/>
      </c>
    </row>
    <row r="110" spans="2:20" x14ac:dyDescent="0.4">
      <c r="B110" t="s">
        <v>127</v>
      </c>
      <c r="C110" s="75"/>
      <c r="E110" s="80"/>
      <c r="F110" s="80"/>
      <c r="G110" s="25"/>
      <c r="H110" s="122">
        <f>'Items B &amp; C'!O50</f>
        <v>1</v>
      </c>
      <c r="I110" s="122">
        <f>'Items B &amp; C'!P50</f>
        <v>1</v>
      </c>
      <c r="J110" s="20">
        <f t="shared" si="6"/>
        <v>1.0161989395656938</v>
      </c>
      <c r="K110" s="20">
        <f t="shared" si="5"/>
        <v>1.0152103713099112</v>
      </c>
      <c r="L110" s="25" t="str">
        <f t="shared" si="4"/>
        <v/>
      </c>
    </row>
    <row r="111" spans="2:20" ht="15" thickBot="1" x14ac:dyDescent="0.45">
      <c r="B111" t="s">
        <v>128</v>
      </c>
      <c r="C111" s="75"/>
      <c r="E111" s="94"/>
      <c r="F111" s="94"/>
      <c r="G111" s="62"/>
      <c r="H111" s="65">
        <v>1</v>
      </c>
      <c r="I111" s="65">
        <v>1</v>
      </c>
      <c r="J111" s="65">
        <f t="shared" ref="J111:K112" si="7">J110*H111</f>
        <v>1.0161989395656938</v>
      </c>
      <c r="K111" s="65">
        <f t="shared" si="7"/>
        <v>1.0152103713099112</v>
      </c>
    </row>
    <row r="112" spans="2:20" ht="15" thickTop="1" x14ac:dyDescent="0.4">
      <c r="B112" t="s">
        <v>129</v>
      </c>
      <c r="C112" s="75"/>
      <c r="D112" s="67"/>
      <c r="E112" s="80"/>
      <c r="F112" s="80"/>
      <c r="G112" s="62"/>
      <c r="H112" s="65">
        <v>1</v>
      </c>
      <c r="I112" s="65">
        <v>1</v>
      </c>
      <c r="J112" s="65">
        <f t="shared" si="7"/>
        <v>1.0161989395656938</v>
      </c>
      <c r="K112" s="65">
        <f t="shared" si="7"/>
        <v>1.0152103713099112</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2024-04-10T21:26:22Z</dcterms:modified>
</cp:coreProperties>
</file>