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4.15.22\"/>
    </mc:Choice>
  </mc:AlternateContent>
  <xr:revisionPtr revIDLastSave="0" documentId="13_ncr:1_{88683067-86EF-43A6-8527-857478FB4A4D}" xr6:coauthVersionLast="47" xr6:coauthVersionMax="47" xr10:uidLastSave="{00000000-0000-0000-0000-000000000000}"/>
  <bookViews>
    <workbookView xWindow="-33017" yWindow="-103" windowWidth="33120" windowHeight="18120" xr2:uid="{00000000-000D-0000-FFFF-FFFF00000000}"/>
  </bookViews>
  <sheets>
    <sheet name="USG_InvestorCapitalPerf" sheetId="3" r:id="rId1"/>
    <sheet name="Prime_InvestorCapitalPerf" sheetId="1" r:id="rId2"/>
    <sheet name="Note Holders" sheetId="2" r:id="rId3"/>
    <sheet name="Investor Categories" sheetId="4" r:id="rId4"/>
  </sheets>
  <definedNames>
    <definedName name="_xlnm._FilterDatabase" localSheetId="3" hidden="1">'Investor Categories'!$C$37:$E$70</definedName>
    <definedName name="InvestorCategories">'Investor Categories'!$D$4:$E$34</definedName>
    <definedName name="Notes_M1">'Note Holders'!$E$6:$E$30</definedName>
    <definedName name="Notes_MIG1">'Note Holders'!$J$6:$J$30</definedName>
    <definedName name="Notes_Q1">'Note Holders'!$F$6:$F$30</definedName>
    <definedName name="Notes_Q364_1">'Note Holders'!$H$6:$H$30</definedName>
    <definedName name="Notes_Q3641">'Note Holders'!$H$6:$H$30</definedName>
    <definedName name="Notes_QX1">'Note Holders'!$G$6:$G$30</definedName>
    <definedName name="PrimeNoteHolders">'Note Holders'!$C$6:$C$30</definedName>
    <definedName name="_xlnm.Print_Titles" localSheetId="1">Prime_InvestorCapitalPerf!$1:$1</definedName>
    <definedName name="_xlnm.Print_Titles" localSheetId="0">USG_InvestorCapitalPerf!$1:$1</definedName>
    <definedName name="USG_M6">'Note Holders'!$T$6:$T$19</definedName>
    <definedName name="USG_M7">'Note Holders'!$U$6:$U$19</definedName>
    <definedName name="USGNoteHolders">'Note Holders'!$M$6:$M$19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11" i="1" l="1"/>
  <c r="R127" i="1"/>
  <c r="R125" i="1"/>
  <c r="R151" i="1"/>
  <c r="R149" i="1"/>
  <c r="R110" i="1"/>
  <c r="R83" i="1"/>
  <c r="R108" i="1"/>
  <c r="R81" i="1"/>
  <c r="G89" i="1" l="1"/>
  <c r="G90" i="1" s="1"/>
  <c r="Q132" i="1" a="1"/>
  <c r="Q132" i="1" s="1"/>
  <c r="M135" i="1"/>
  <c r="M134" i="1"/>
  <c r="M133" i="1"/>
  <c r="M132" i="1"/>
  <c r="O132" i="1"/>
  <c r="G136" i="1"/>
  <c r="G135" i="1"/>
  <c r="H134" i="1"/>
  <c r="H133" i="1"/>
  <c r="G134" i="1"/>
  <c r="G133" i="1"/>
  <c r="F133" i="1" a="1"/>
  <c r="F133" i="1" s="1"/>
  <c r="D135" i="1"/>
  <c r="D134" i="1"/>
  <c r="E135" i="1"/>
  <c r="E134" i="1"/>
  <c r="E133" i="1"/>
  <c r="D133" i="1"/>
  <c r="G147" i="1"/>
  <c r="G146" i="1"/>
  <c r="G158" i="1"/>
  <c r="G157" i="1"/>
  <c r="Q155" i="1" a="1"/>
  <c r="Q155" i="1" s="1"/>
  <c r="O161" i="1"/>
  <c r="O160" i="1"/>
  <c r="O155" i="1"/>
  <c r="H156" i="1"/>
  <c r="H155" i="1"/>
  <c r="G156" i="1"/>
  <c r="G155" i="1"/>
  <c r="F155" i="1" a="1"/>
  <c r="F155" i="1" s="1"/>
  <c r="E158" i="1"/>
  <c r="E157" i="1"/>
  <c r="E156" i="1"/>
  <c r="E155" i="1"/>
  <c r="Q140" i="1" a="1"/>
  <c r="Q140" i="1" s="1"/>
  <c r="O147" i="1"/>
  <c r="O146" i="1"/>
  <c r="O145" i="1"/>
  <c r="O144" i="1"/>
  <c r="O140" i="1"/>
  <c r="H145" i="1"/>
  <c r="H144" i="1"/>
  <c r="H143" i="1"/>
  <c r="H142" i="1"/>
  <c r="H141" i="1"/>
  <c r="F140" i="1" a="1"/>
  <c r="F140" i="1" s="1"/>
  <c r="D146" i="1"/>
  <c r="G144" i="1" s="1"/>
  <c r="D145" i="1"/>
  <c r="G142" i="1" s="1"/>
  <c r="D144" i="1"/>
  <c r="G141" i="1" s="1"/>
  <c r="G145" i="1"/>
  <c r="G143" i="1"/>
  <c r="E146" i="1"/>
  <c r="E145" i="1"/>
  <c r="E144" i="1"/>
  <c r="E143" i="1"/>
  <c r="E142" i="1"/>
  <c r="E141" i="1"/>
  <c r="E140" i="1"/>
  <c r="D143" i="1"/>
  <c r="Q114" i="1" a="1"/>
  <c r="Q114" i="1" s="1"/>
  <c r="O120" i="1"/>
  <c r="O119" i="1"/>
  <c r="O118" i="1"/>
  <c r="O117" i="1"/>
  <c r="G122" i="1" l="1"/>
  <c r="O114" i="1"/>
  <c r="G121" i="1"/>
  <c r="G120" i="1"/>
  <c r="G119" i="1"/>
  <c r="G118" i="1"/>
  <c r="G117" i="1"/>
  <c r="G116" i="1"/>
  <c r="D122" i="1"/>
  <c r="D121" i="1"/>
  <c r="D120" i="1"/>
  <c r="H120" i="1"/>
  <c r="H119" i="1"/>
  <c r="H118" i="1"/>
  <c r="H117" i="1"/>
  <c r="H116" i="1"/>
  <c r="H115" i="1"/>
  <c r="D119" i="1"/>
  <c r="F114" i="1" a="1"/>
  <c r="F114" i="1" s="1"/>
  <c r="E122" i="1"/>
  <c r="E121" i="1"/>
  <c r="E120" i="1"/>
  <c r="E119" i="1"/>
  <c r="E118" i="1"/>
  <c r="E117" i="1"/>
  <c r="E116" i="1"/>
  <c r="E115" i="1"/>
  <c r="E114" i="1"/>
  <c r="G102" i="1"/>
  <c r="G101" i="1"/>
  <c r="R74" i="1"/>
  <c r="Q63" i="1" a="1"/>
  <c r="Q63" i="1" s="1"/>
  <c r="Q95" i="1" a="1"/>
  <c r="Q95" i="1" s="1"/>
  <c r="O95" i="1"/>
  <c r="O100" i="1" s="1"/>
  <c r="O99" i="1"/>
  <c r="O98" i="1"/>
  <c r="O97" i="1"/>
  <c r="H100" i="1"/>
  <c r="H99" i="1"/>
  <c r="H98" i="1"/>
  <c r="H97" i="1"/>
  <c r="H96" i="1"/>
  <c r="H88" i="1"/>
  <c r="G100" i="1"/>
  <c r="G99" i="1"/>
  <c r="G98" i="1"/>
  <c r="G97" i="1"/>
  <c r="D103" i="1"/>
  <c r="D102" i="1"/>
  <c r="G96" i="1"/>
  <c r="F95" i="1" a="1"/>
  <c r="F95" i="1" s="1"/>
  <c r="E103" i="1"/>
  <c r="E102" i="1"/>
  <c r="E101" i="1"/>
  <c r="E100" i="1"/>
  <c r="E99" i="1"/>
  <c r="E98" i="1"/>
  <c r="E97" i="1"/>
  <c r="E96" i="1"/>
  <c r="E95" i="1"/>
  <c r="Q87" i="1" a="1"/>
  <c r="Q87" i="1" s="1"/>
  <c r="M89" i="1"/>
  <c r="G88" i="1"/>
  <c r="F88" i="1" a="1"/>
  <c r="F88" i="1" s="1"/>
  <c r="F63" i="1" a="1"/>
  <c r="F63" i="1" s="1"/>
  <c r="E89" i="1"/>
  <c r="E88" i="1"/>
  <c r="H75" i="1"/>
  <c r="G75" i="1"/>
  <c r="O63" i="1"/>
  <c r="D78" i="1"/>
  <c r="D77" i="1"/>
  <c r="D76" i="1"/>
  <c r="E75" i="1"/>
  <c r="D75" i="1"/>
  <c r="E78" i="1"/>
  <c r="E77" i="1"/>
  <c r="E76" i="1"/>
  <c r="E74" i="1"/>
  <c r="E73" i="1"/>
  <c r="E72" i="1"/>
  <c r="E71" i="1"/>
  <c r="E70" i="1"/>
  <c r="E69" i="1"/>
  <c r="E68" i="1"/>
  <c r="E67" i="1"/>
  <c r="E66" i="1"/>
  <c r="E65" i="1"/>
  <c r="E64" i="1"/>
  <c r="E63" i="1"/>
  <c r="D158" i="1"/>
  <c r="D157" i="1"/>
  <c r="D156" i="1"/>
  <c r="D155" i="1"/>
  <c r="D142" i="1"/>
  <c r="D141" i="1"/>
  <c r="D140" i="1"/>
  <c r="D118" i="1"/>
  <c r="D117" i="1"/>
  <c r="D116" i="1"/>
  <c r="D115" i="1"/>
  <c r="D114" i="1"/>
  <c r="D101" i="1"/>
  <c r="D100" i="1"/>
  <c r="D99" i="1"/>
  <c r="D98" i="1"/>
  <c r="D97" i="1"/>
  <c r="D96" i="1"/>
  <c r="D95" i="1"/>
  <c r="D89" i="1"/>
  <c r="D88" i="1"/>
  <c r="D72" i="1"/>
  <c r="D71" i="1"/>
  <c r="D74" i="1"/>
  <c r="D73" i="1"/>
  <c r="D70" i="1"/>
  <c r="D69" i="1"/>
  <c r="D68" i="1"/>
  <c r="D67" i="1"/>
  <c r="D66" i="1"/>
  <c r="D65" i="1"/>
  <c r="D64" i="1"/>
  <c r="D63" i="1"/>
  <c r="D18" i="3"/>
  <c r="D17" i="3"/>
  <c r="D16" i="3"/>
  <c r="D15" i="3"/>
  <c r="H72" i="1" l="1"/>
  <c r="R132" i="1"/>
  <c r="G115" i="1" l="1"/>
  <c r="H64" i="1"/>
  <c r="G66" i="1"/>
  <c r="G72" i="1"/>
  <c r="H73" i="1"/>
  <c r="H65" i="1"/>
  <c r="G73" i="1"/>
  <c r="H66" i="1"/>
  <c r="H74" i="1"/>
  <c r="H67" i="1"/>
  <c r="G65" i="1"/>
  <c r="G69" i="1"/>
  <c r="H68" i="1"/>
  <c r="G64" i="1"/>
  <c r="G67" i="1"/>
  <c r="H69" i="1"/>
  <c r="G68" i="1"/>
  <c r="H70" i="1"/>
  <c r="H71" i="1"/>
  <c r="G74" i="1"/>
  <c r="G70" i="1"/>
  <c r="G71" i="1"/>
  <c r="R133" i="1"/>
  <c r="R135" i="1" s="1"/>
  <c r="R95" i="1"/>
  <c r="R156" i="1"/>
  <c r="R155" i="1"/>
  <c r="R140" i="1"/>
  <c r="R144" i="1"/>
  <c r="R143" i="1"/>
  <c r="R142" i="1"/>
  <c r="R141" i="1"/>
  <c r="O87" i="1"/>
  <c r="R88" i="1" s="1"/>
  <c r="H35" i="2"/>
  <c r="H34" i="2"/>
  <c r="O65" i="1" l="1"/>
  <c r="R63" i="1"/>
  <c r="G76" i="1"/>
  <c r="G77" i="1" s="1"/>
  <c r="O68" i="1"/>
  <c r="O69" i="1"/>
  <c r="O66" i="1"/>
  <c r="O67" i="1"/>
  <c r="T63" i="1"/>
  <c r="R87" i="1"/>
  <c r="R90" i="1" s="1"/>
  <c r="M88" i="1"/>
  <c r="M87" i="1"/>
  <c r="M90" i="1"/>
  <c r="R168" i="1"/>
  <c r="R166" i="1"/>
  <c r="R152" i="1"/>
  <c r="R150" i="1"/>
  <c r="E23" i="3"/>
  <c r="E22" i="3"/>
  <c r="E21" i="3"/>
  <c r="E20" i="3"/>
  <c r="E19" i="3"/>
  <c r="E16" i="3"/>
  <c r="D23" i="3"/>
  <c r="D22" i="3"/>
  <c r="D21" i="3"/>
  <c r="D20" i="3"/>
  <c r="D19" i="3"/>
  <c r="I21" i="3" s="1"/>
  <c r="I15" i="3"/>
  <c r="R115" i="1"/>
  <c r="M136" i="1" l="1"/>
  <c r="M91" i="1"/>
  <c r="R71" i="1"/>
  <c r="R72" i="1"/>
  <c r="R73" i="1"/>
  <c r="I17" i="3"/>
  <c r="I18" i="3"/>
  <c r="R64" i="1"/>
  <c r="R114" i="1"/>
  <c r="R116" i="1"/>
  <c r="R117" i="1"/>
  <c r="R118" i="1"/>
  <c r="R119" i="1"/>
  <c r="R96" i="1"/>
  <c r="R97" i="1"/>
  <c r="R98" i="1"/>
  <c r="R99" i="1"/>
  <c r="R65" i="1"/>
  <c r="R68" i="1"/>
  <c r="R66" i="1"/>
  <c r="R67" i="1"/>
  <c r="R69" i="1"/>
  <c r="R70" i="1"/>
  <c r="O164" i="1" l="1"/>
  <c r="O101" i="1"/>
  <c r="O121" i="1"/>
  <c r="R128" i="1"/>
  <c r="R84" i="1"/>
  <c r="R82" i="1"/>
  <c r="O148" i="1"/>
  <c r="R109" i="1"/>
  <c r="O70" i="1"/>
  <c r="R1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<sst xmlns="http://schemas.openxmlformats.org/spreadsheetml/2006/main" count="886" uniqueCount="225">
  <si>
    <t>LUCIDII - Lucid Prime Fund LLC</t>
  </si>
  <si>
    <t>INVESTOR CAPITAL DETAIL FOR PARTNERSHIPS</t>
  </si>
  <si>
    <t/>
  </si>
  <si>
    <t>Investor Description</t>
  </si>
  <si>
    <t>Parent Investor</t>
  </si>
  <si>
    <t>Investor Type Code</t>
  </si>
  <si>
    <t>Beginning Capital</t>
  </si>
  <si>
    <t>Contributions</t>
  </si>
  <si>
    <t xml:space="preserve">Withdrawals  (BEG)  </t>
  </si>
  <si>
    <t>Assignments</t>
  </si>
  <si>
    <t>Intra Pool (BEG)</t>
  </si>
  <si>
    <t xml:space="preserve">Revised Beginning Capital </t>
  </si>
  <si>
    <t>Income Allocation</t>
  </si>
  <si>
    <t>Mgmt Fee</t>
  </si>
  <si>
    <t>Incentive Fee</t>
  </si>
  <si>
    <t>Withdrawals  (END)</t>
  </si>
  <si>
    <t>Intra Pool (END)</t>
  </si>
  <si>
    <t>Ending Net Capital</t>
  </si>
  <si>
    <t>Ending Shares</t>
  </si>
  <si>
    <t>NAV per  Share</t>
  </si>
  <si>
    <t>Gross RoR %</t>
  </si>
  <si>
    <t>Mgmt RoR %</t>
  </si>
  <si>
    <t>Net RoR %</t>
  </si>
  <si>
    <t>Lucid Prime Fund LLC</t>
  </si>
  <si>
    <t>Alfred I. duPont Charitable Trust</t>
  </si>
  <si>
    <t>LP</t>
  </si>
  <si>
    <t>Amica Retiree Medical Trust</t>
  </si>
  <si>
    <t>Children's Health System of Texas</t>
  </si>
  <si>
    <t>IRR K LLC</t>
  </si>
  <si>
    <t>Lucid Management and Capital Partners LP</t>
  </si>
  <si>
    <t>Prime Notes LLC Series M-1</t>
  </si>
  <si>
    <t>The Kresge Foundation</t>
  </si>
  <si>
    <t>The Nemours Foundation</t>
  </si>
  <si>
    <t>The Nemours Foundation - Intermediate Account</t>
  </si>
  <si>
    <t>The Nemours Foundation Pension Plan</t>
  </si>
  <si>
    <t>University of Virginia Investment Mgmt Company</t>
  </si>
  <si>
    <t>SubTotal for Lucid Prime Fund LLC</t>
  </si>
  <si>
    <t>Lucid Prime Fund LLC_C1</t>
  </si>
  <si>
    <t>Hudson East River Systems, LLC</t>
  </si>
  <si>
    <t>The New York and Presbyterian Hospital</t>
  </si>
  <si>
    <t>SubTotal for Lucid Prime Fund LLC_C1</t>
  </si>
  <si>
    <t>Lucid Prime Fund LLC_MIG</t>
  </si>
  <si>
    <t>Prime Notes Series MIG-1</t>
  </si>
  <si>
    <t>SubTotal for Lucid Prime Fund LLC_MIG</t>
  </si>
  <si>
    <t>Lucid Prime Fund LLC_Q1</t>
  </si>
  <si>
    <t>Prime Notes LLC Series Q1-1</t>
  </si>
  <si>
    <t>SubTotal for Lucid Prime Fund LLC_Q1</t>
  </si>
  <si>
    <t>Lucid Prime Fund LLC_QX</t>
  </si>
  <si>
    <t>In Touch Foundation, Inc.</t>
  </si>
  <si>
    <t>In Touch Ministries, Inc.</t>
  </si>
  <si>
    <t>International Mission Board of Southern Baptist Convention</t>
  </si>
  <si>
    <t>Prime Notes Series QX-1</t>
  </si>
  <si>
    <t>Word of God Fellowship, Inc.</t>
  </si>
  <si>
    <t>SubTotal for Lucid Prime Fund LLC_QX</t>
  </si>
  <si>
    <t>Lucid Prime Fund LLC_Q364</t>
  </si>
  <si>
    <t>Prime Notes Series Q364-1</t>
  </si>
  <si>
    <t>SubTotal for Lucid Prime Fund LLC_Q364</t>
  </si>
  <si>
    <t>Grand Total</t>
  </si>
  <si>
    <t>LUCID - Lucid Cash Fund USG LLC</t>
  </si>
  <si>
    <t>Lucid Cash Fund USG LLC</t>
  </si>
  <si>
    <t>Lucid Management and Capital Partners LLC</t>
  </si>
  <si>
    <t>SubTotal for Lucid Cash Fund USG LLC</t>
  </si>
  <si>
    <t>M-1</t>
  </si>
  <si>
    <t>Q1-1</t>
  </si>
  <si>
    <t>QX-1</t>
  </si>
  <si>
    <t>Q364-1</t>
  </si>
  <si>
    <t>M1-1</t>
  </si>
  <si>
    <t>MIG-1</t>
  </si>
  <si>
    <t>M-2</t>
  </si>
  <si>
    <t>M-3</t>
  </si>
  <si>
    <t>M-4</t>
  </si>
  <si>
    <t>M-5</t>
  </si>
  <si>
    <t>M-6</t>
  </si>
  <si>
    <t>74166WAF1</t>
  </si>
  <si>
    <t>Noteholders</t>
  </si>
  <si>
    <t>903340AA5</t>
  </si>
  <si>
    <t>90366JAA5</t>
  </si>
  <si>
    <t>90366JAB3</t>
  </si>
  <si>
    <t>90366JAC1</t>
  </si>
  <si>
    <t>90366JAD9</t>
  </si>
  <si>
    <t>90366JAE7</t>
  </si>
  <si>
    <t>AMFAM - 1</t>
  </si>
  <si>
    <t>Martin St. Pierre</t>
  </si>
  <si>
    <t>AMFAM - 5</t>
  </si>
  <si>
    <t>ANICO BARC</t>
  </si>
  <si>
    <t>Amica - CF</t>
  </si>
  <si>
    <t>ANICO ING</t>
  </si>
  <si>
    <t>Amica - CSRT</t>
  </si>
  <si>
    <t>ANICO MS</t>
  </si>
  <si>
    <t>Amica - LIC</t>
  </si>
  <si>
    <t>ANICO SUN</t>
  </si>
  <si>
    <t>Amica - MIC</t>
  </si>
  <si>
    <t>ANICO WF</t>
  </si>
  <si>
    <t>Amica - P&amp;C</t>
  </si>
  <si>
    <t>Nationwide - Cash</t>
  </si>
  <si>
    <t>Farmers - FIE</t>
  </si>
  <si>
    <t>Farmers</t>
  </si>
  <si>
    <t>Farmers - MCIC</t>
  </si>
  <si>
    <t>Nationwide - Mutual</t>
  </si>
  <si>
    <t>Fortitude - Gen</t>
  </si>
  <si>
    <t>Woodmen - Life</t>
  </si>
  <si>
    <t>Fortitude - Life</t>
  </si>
  <si>
    <t>Mercury - MCC</t>
  </si>
  <si>
    <t>Guidestone - FinRe</t>
  </si>
  <si>
    <t>Mercury - MIC</t>
  </si>
  <si>
    <t>Guidestone - FinRe As Nom</t>
  </si>
  <si>
    <t>Mercury - AMI</t>
  </si>
  <si>
    <t>Mercury - AIS</t>
  </si>
  <si>
    <t>Total Outstanding</t>
  </si>
  <si>
    <t>Mercury - CAIC</t>
  </si>
  <si>
    <t>Mercury - MICGA</t>
  </si>
  <si>
    <t>Mercury - MICIL</t>
  </si>
  <si>
    <t>Series</t>
  </si>
  <si>
    <t>Cusip</t>
  </si>
  <si>
    <t>Amt. Outstanding</t>
  </si>
  <si>
    <t>Mercury - MNIC</t>
  </si>
  <si>
    <t>Omaha - Life</t>
  </si>
  <si>
    <t>Omaha - Mutual</t>
  </si>
  <si>
    <t>SWIB</t>
  </si>
  <si>
    <t>Total</t>
  </si>
  <si>
    <t>74166WAA2</t>
  </si>
  <si>
    <t>74166WAB0</t>
  </si>
  <si>
    <t>74166WAE4</t>
  </si>
  <si>
    <t>74166WAC8</t>
  </si>
  <si>
    <t>74166WAD6</t>
  </si>
  <si>
    <t>AMFAM</t>
  </si>
  <si>
    <t>AMICA</t>
  </si>
  <si>
    <t>FARMERS</t>
  </si>
  <si>
    <t>FORTITUDE</t>
  </si>
  <si>
    <t>GUIDESTONE</t>
  </si>
  <si>
    <t>MERCURY</t>
  </si>
  <si>
    <t>OMAHA</t>
  </si>
  <si>
    <t>WOODMEN</t>
  </si>
  <si>
    <t>TOTAL</t>
  </si>
  <si>
    <t>ANICO</t>
  </si>
  <si>
    <t>NATIONWIDE</t>
  </si>
  <si>
    <t xml:space="preserve">(a) Individuals that are United States persons (including their trusts) </t>
  </si>
  <si>
    <t xml:space="preserve">(b) Individuals that are not United States persons (including their trusts) </t>
  </si>
  <si>
    <t xml:space="preserve">(c) Broker-dealers </t>
  </si>
  <si>
    <t xml:space="preserve">(d) Insurance companies </t>
  </si>
  <si>
    <t xml:space="preserve">(e) Investment companies registered with the SEC </t>
  </si>
  <si>
    <t xml:space="preserve">(f) Private funds </t>
  </si>
  <si>
    <t>(g) Non-profits</t>
  </si>
  <si>
    <t xml:space="preserve">(h) Pension plans (excluding governmental pension plans) </t>
  </si>
  <si>
    <t xml:space="preserve">(i) Banking or thrift institutions (proprietary) </t>
  </si>
  <si>
    <t xml:space="preserve">(k) State or municipal governmental pension plans </t>
  </si>
  <si>
    <t xml:space="preserve">(l) Sovereign wealth funds and foreign official institutions </t>
  </si>
  <si>
    <t xml:space="preserve">(m) Investors that are not United States persons </t>
  </si>
  <si>
    <t>OUR CLASSIFICATION</t>
  </si>
  <si>
    <t>CATAGORIES</t>
  </si>
  <si>
    <t xml:space="preserve">(j) State or municipal government entities (excludingpension plans) </t>
  </si>
  <si>
    <t>(n) Other</t>
  </si>
  <si>
    <t>Family</t>
  </si>
  <si>
    <t>TOTAL NAV</t>
  </si>
  <si>
    <t>Top 5</t>
  </si>
  <si>
    <t>SERIES M</t>
  </si>
  <si>
    <t>SERIES C1</t>
  </si>
  <si>
    <t>Top 5- 100%</t>
  </si>
  <si>
    <t>SERIES Q1</t>
  </si>
  <si>
    <t>SERIES QX</t>
  </si>
  <si>
    <t>SERIES Q364</t>
  </si>
  <si>
    <t>Total NAV</t>
  </si>
  <si>
    <t>For the Period 12/1/2021 to 12/31/2021</t>
  </si>
  <si>
    <t>USG Assets Series M-6</t>
  </si>
  <si>
    <t>The Southern Baptist Theological Seminary</t>
  </si>
  <si>
    <t>In Touch Media, Inc.</t>
  </si>
  <si>
    <t>SERIES-MIG</t>
  </si>
  <si>
    <t>Largest</t>
  </si>
  <si>
    <t># over 5%</t>
  </si>
  <si>
    <t>Makena Capital Holdings B, LP</t>
  </si>
  <si>
    <t>MFIF Holdings Blue, L.P.</t>
  </si>
  <si>
    <t>Lucid Prime Fund LLC_S1</t>
  </si>
  <si>
    <t>SubTotal for Lucid Prime Fund LLC_S1</t>
  </si>
  <si>
    <t>M-7</t>
  </si>
  <si>
    <t>90366JAF4</t>
  </si>
  <si>
    <t>USG ASSETS LLC Series M-7</t>
  </si>
  <si>
    <t>SERIES-S1</t>
  </si>
  <si>
    <t>FUND TOTAL NAV</t>
  </si>
  <si>
    <t>Parent Org</t>
  </si>
  <si>
    <t>Makena</t>
  </si>
  <si>
    <t>UVIMCO</t>
  </si>
  <si>
    <t>AMICA (Pension)</t>
  </si>
  <si>
    <t>Stifel</t>
  </si>
  <si>
    <t>Mercury</t>
  </si>
  <si>
    <t>Omaha</t>
  </si>
  <si>
    <t>Woodmen</t>
  </si>
  <si>
    <t>Amica</t>
  </si>
  <si>
    <t>Fortitude</t>
  </si>
  <si>
    <t>Physical</t>
  </si>
  <si>
    <t>Nationwide</t>
  </si>
  <si>
    <t>Stifel, Nicolaus &amp; Co. Inc</t>
  </si>
  <si>
    <t>Mercury Insurance Company</t>
  </si>
  <si>
    <t>AIS Management LLC</t>
  </si>
  <si>
    <t>American Mercury Insurance Company</t>
  </si>
  <si>
    <t>United of Omaha Life Insurance Company</t>
  </si>
  <si>
    <t>Woodmen of the World Life Insurance Society</t>
  </si>
  <si>
    <t>Mercury Casualty Company</t>
  </si>
  <si>
    <t>California Automobile Insurance Company</t>
  </si>
  <si>
    <t>Farmers Insurance Exchange</t>
  </si>
  <si>
    <t>Mid-Century Insurance Company</t>
  </si>
  <si>
    <t>Amica Mutual Insurance Company</t>
  </si>
  <si>
    <t>Amica Life Insurance Company</t>
  </si>
  <si>
    <t>Amica Companies Supplement Retirement Trust</t>
  </si>
  <si>
    <t>Amica Companies Foundation</t>
  </si>
  <si>
    <t>Amica Property and Casualty Insurance Company</t>
  </si>
  <si>
    <t>GuideStone Financial Resources of the Southern Baptist Convention</t>
  </si>
  <si>
    <t>GuideStone Financial Resources of the Southern Baptist Convention, As Nominee</t>
  </si>
  <si>
    <t>Fortitude Reinsurance Company Ltd.</t>
  </si>
  <si>
    <t>Mutual of Omaha Insurance Company</t>
  </si>
  <si>
    <t>Nationwide Cash Management Company</t>
  </si>
  <si>
    <t xml:space="preserve">Nationwide Mutual Insurance Company </t>
  </si>
  <si>
    <t>Mercury Insurance Company of Georgia</t>
  </si>
  <si>
    <t>Mercury Insurance Company of Illinois</t>
  </si>
  <si>
    <t>Mercury National Insurance Company</t>
  </si>
  <si>
    <t>American Family Mutual Insurance Company</t>
  </si>
  <si>
    <t>Legal Name</t>
  </si>
  <si>
    <t>Amica (Pension)</t>
  </si>
  <si>
    <t>Amica (Non-Profit)</t>
  </si>
  <si>
    <t>Southern Baptist Convention</t>
  </si>
  <si>
    <t>Alfred I. duPont Charitable Trust Pension</t>
  </si>
  <si>
    <t>In Touch Ministries</t>
  </si>
  <si>
    <t>(o) LMCP INTERNAL</t>
  </si>
  <si>
    <t>LMCP INTERNAL</t>
  </si>
  <si>
    <t>Check</t>
  </si>
  <si>
    <t>#&gt;5%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</si>
</sst>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10409]#,##0.00;\(#,##0.00\);&quot;-&quot;"/>
    <numFmt numFmtId="165" formatCode="[$-10409]#,##0.00;\(#,##0.00\);&quot;&quot;"/>
    <numFmt numFmtId="166" formatCode="[$-10409]#,##0.0000;\(#,##0.0000\);0.0000"/>
    <numFmt numFmtId="167" formatCode="[$-10409]#,##0;\(#,##0\);&quot;-&quot;"/>
    <numFmt numFmtId="168" formatCode="_(* #,##0_);_(* \(#,##0\);_(* &quot;-&quot;??_);_(@_)"/>
    <numFmt numFmtId="169" formatCode="_(* #,##0.0_);_(* \(#,##0.0\);_(* &quot;-&quot;??_);_(@_)"/>
  </numFmts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z val="7"/>
      <color rgb="FF000000"/>
      <name val="Tahoma"/>
      <family val="2"/>
    </font>
    <font>
      <u/>
      <sz val="7"/>
      <color rgb="FF000000"/>
      <name val="Tahoma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6"/>
      <color rgb="FF000000"/>
      <name val="Tahoma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6"/>
      <color rgb="FF000000"/>
      <name val="Tahoma"/>
      <family val="2"/>
    </font>
    <font>
      <b/>
      <sz val="11"/>
      <name val="Calibri"/>
      <family val="2"/>
    </font>
    <font>
      <b/>
      <sz val="8"/>
      <color rgb="FF000000"/>
      <name val="Arial"/>
      <family val="2"/>
    </font>
    <font>
      <b/>
      <sz val="8"/>
      <color rgb="FF000000"/>
      <name val="Tahoma"/>
      <family val="2"/>
    </font>
    <font>
      <sz val="11"/>
      <name val="Calibri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rgb="FF000000"/>
      <name val="Tahoma"/>
      <family val="2"/>
    </font>
    <font>
      <sz val="7"/>
      <color rgb="FF000000"/>
      <name val="Tahoma"/>
      <family val="2"/>
    </font>
    <font>
      <sz val="6"/>
      <name val="Tahoma"/>
      <family val="2"/>
    </font>
    <font>
      <sz val="6"/>
      <color theme="1"/>
      <name val="Tahoma"/>
      <family val="2"/>
    </font>
    <font>
      <b/>
      <sz val="8"/>
      <name val="Tahoma"/>
      <family val="2"/>
    </font>
    <font>
      <b/>
      <sz val="11"/>
      <color rgb="FF000000"/>
      <name val="Calibri"/>
      <family val="2"/>
      <scheme val="minor"/>
    </font>
    <font>
      <b/>
      <sz val="6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8F6F3"/>
        <bgColor rgb="FFF8F6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rgb="FFF8F6F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FFFFFF"/>
      </patternFill>
    </fill>
    <fill>
      <patternFill patternType="solid">
        <fgColor theme="9" tint="0.79998168889431442"/>
        <bgColor rgb="FFF8F6F3"/>
      </patternFill>
    </fill>
    <fill>
      <patternFill patternType="solid">
        <fgColor theme="7" tint="0.79998168889431442"/>
        <bgColor rgb="FFF8F6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rgb="FFF8F6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4" fillId="0" borderId="0"/>
    <xf numFmtId="43" fontId="14" fillId="0" borderId="0" applyFont="0" applyFill="0" applyBorder="0" applyAlignment="0" applyProtection="0"/>
  </cellStyleXfs>
  <cellXfs count="341">
    <xf numFmtId="0" fontId="5" fillId="0" borderId="0" xfId="0" applyFont="1" applyFill="1" applyBorder="1"/>
    <xf numFmtId="0" fontId="5" fillId="0" borderId="0" xfId="0" applyFont="1" applyFill="1" applyBorder="1"/>
    <xf numFmtId="0" fontId="5" fillId="0" borderId="0" xfId="0" applyFont="1"/>
    <xf numFmtId="0" fontId="9" fillId="0" borderId="1" xfId="0" applyFont="1" applyBorder="1" applyAlignment="1">
      <alignment horizontal="center" vertical="top" wrapText="1" readingOrder="1"/>
    </xf>
    <xf numFmtId="0" fontId="9" fillId="0" borderId="1" xfId="0" applyFont="1" applyBorder="1" applyAlignment="1">
      <alignment vertical="top" wrapText="1" readingOrder="1"/>
    </xf>
    <xf numFmtId="0" fontId="5" fillId="0" borderId="0" xfId="0" applyFont="1" applyFill="1" applyBorder="1" applyAlignment="1"/>
    <xf numFmtId="0" fontId="16" fillId="4" borderId="0" xfId="0" applyFont="1" applyFill="1" applyAlignment="1">
      <alignment horizontal="left" wrapText="1"/>
    </xf>
    <xf numFmtId="0" fontId="0" fillId="4" borderId="0" xfId="1" applyNumberFormat="1" applyFont="1" applyFill="1" applyBorder="1" applyAlignment="1">
      <alignment horizontal="left"/>
    </xf>
    <xf numFmtId="0" fontId="15" fillId="0" borderId="0" xfId="3" applyFont="1"/>
    <xf numFmtId="0" fontId="4" fillId="0" borderId="0" xfId="3"/>
    <xf numFmtId="0" fontId="15" fillId="5" borderId="3" xfId="3" applyFont="1" applyFill="1" applyBorder="1"/>
    <xf numFmtId="0" fontId="15" fillId="5" borderId="5" xfId="3" applyFont="1" applyFill="1" applyBorder="1"/>
    <xf numFmtId="0" fontId="5" fillId="6" borderId="13" xfId="3" applyFont="1" applyFill="1" applyBorder="1"/>
    <xf numFmtId="0" fontId="15" fillId="5" borderId="6" xfId="3" applyFont="1" applyFill="1" applyBorder="1"/>
    <xf numFmtId="0" fontId="15" fillId="5" borderId="7" xfId="3" applyFont="1" applyFill="1" applyBorder="1"/>
    <xf numFmtId="0" fontId="5" fillId="6" borderId="14" xfId="3" applyFont="1" applyFill="1" applyBorder="1"/>
    <xf numFmtId="0" fontId="5" fillId="6" borderId="15" xfId="3" applyFont="1" applyFill="1" applyBorder="1"/>
    <xf numFmtId="0" fontId="5" fillId="0" borderId="0" xfId="3" applyFont="1"/>
    <xf numFmtId="0" fontId="15" fillId="5" borderId="8" xfId="3" applyFont="1" applyFill="1" applyBorder="1"/>
    <xf numFmtId="0" fontId="15" fillId="5" borderId="10" xfId="3" applyFont="1" applyFill="1" applyBorder="1"/>
    <xf numFmtId="0" fontId="5" fillId="4" borderId="0" xfId="0" applyFont="1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15" fillId="4" borderId="0" xfId="0" applyFont="1" applyFill="1"/>
    <xf numFmtId="3" fontId="0" fillId="4" borderId="3" xfId="0" applyNumberFormat="1" applyFill="1" applyBorder="1" applyAlignment="1">
      <alignment horizontal="center"/>
    </xf>
    <xf numFmtId="3" fontId="0" fillId="4" borderId="4" xfId="0" applyNumberFormat="1" applyFill="1" applyBorder="1" applyAlignment="1">
      <alignment horizontal="center"/>
    </xf>
    <xf numFmtId="3" fontId="0" fillId="4" borderId="5" xfId="0" applyNumberForma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3" fontId="0" fillId="4" borderId="0" xfId="0" applyNumberFormat="1" applyFill="1" applyAlignment="1">
      <alignment horizontal="center"/>
    </xf>
    <xf numFmtId="3" fontId="0" fillId="4" borderId="7" xfId="0" applyNumberFormat="1" applyFill="1" applyBorder="1" applyAlignment="1">
      <alignment horizontal="center"/>
    </xf>
    <xf numFmtId="3" fontId="0" fillId="4" borderId="8" xfId="0" applyNumberFormat="1" applyFill="1" applyBorder="1" applyAlignment="1">
      <alignment horizontal="center"/>
    </xf>
    <xf numFmtId="3" fontId="0" fillId="4" borderId="9" xfId="0" applyNumberFormat="1" applyFill="1" applyBorder="1" applyAlignment="1">
      <alignment horizontal="center"/>
    </xf>
    <xf numFmtId="3" fontId="0" fillId="4" borderId="10" xfId="0" applyNumberFormat="1" applyFill="1" applyBorder="1" applyAlignment="1">
      <alignment horizontal="center"/>
    </xf>
    <xf numFmtId="3" fontId="15" fillId="4" borderId="0" xfId="0" applyNumberFormat="1" applyFont="1" applyFill="1" applyAlignment="1">
      <alignment horizontal="center"/>
    </xf>
    <xf numFmtId="4" fontId="0" fillId="4" borderId="0" xfId="0" applyNumberFormat="1" applyFill="1"/>
    <xf numFmtId="3" fontId="15" fillId="4" borderId="11" xfId="0" applyNumberFormat="1" applyFont="1" applyFill="1" applyBorder="1" applyAlignment="1">
      <alignment horizontal="center"/>
    </xf>
    <xf numFmtId="0" fontId="13" fillId="7" borderId="16" xfId="0" applyNumberFormat="1" applyFont="1" applyFill="1" applyBorder="1" applyAlignment="1">
      <alignment readingOrder="1"/>
    </xf>
    <xf numFmtId="164" fontId="13" fillId="7" borderId="17" xfId="0" applyNumberFormat="1" applyFont="1" applyFill="1" applyBorder="1" applyAlignment="1">
      <alignment horizontal="right" readingOrder="1"/>
    </xf>
    <xf numFmtId="0" fontId="13" fillId="7" borderId="17" xfId="0" applyNumberFormat="1" applyFont="1" applyFill="1" applyBorder="1" applyAlignment="1">
      <alignment readingOrder="1"/>
    </xf>
    <xf numFmtId="0" fontId="13" fillId="9" borderId="19" xfId="0" applyNumberFormat="1" applyFont="1" applyFill="1" applyBorder="1" applyAlignment="1">
      <alignment readingOrder="1"/>
    </xf>
    <xf numFmtId="164" fontId="13" fillId="9" borderId="0" xfId="0" applyNumberFormat="1" applyFont="1" applyFill="1" applyBorder="1" applyAlignment="1">
      <alignment horizontal="right" readingOrder="1"/>
    </xf>
    <xf numFmtId="0" fontId="13" fillId="7" borderId="0" xfId="0" applyNumberFormat="1" applyFont="1" applyFill="1" applyBorder="1" applyAlignment="1">
      <alignment readingOrder="1"/>
    </xf>
    <xf numFmtId="0" fontId="13" fillId="7" borderId="19" xfId="0" applyNumberFormat="1" applyFont="1" applyFill="1" applyBorder="1" applyAlignment="1">
      <alignment readingOrder="1"/>
    </xf>
    <xf numFmtId="164" fontId="13" fillId="7" borderId="0" xfId="0" applyNumberFormat="1" applyFont="1" applyFill="1" applyBorder="1" applyAlignment="1">
      <alignment horizontal="right" readingOrder="1"/>
    </xf>
    <xf numFmtId="0" fontId="13" fillId="7" borderId="0" xfId="0" applyNumberFormat="1" applyFont="1" applyFill="1" applyBorder="1" applyAlignment="1">
      <alignment horizontal="right" readingOrder="1"/>
    </xf>
    <xf numFmtId="0" fontId="13" fillId="9" borderId="21" xfId="0" applyNumberFormat="1" applyFont="1" applyFill="1" applyBorder="1" applyAlignment="1">
      <alignment readingOrder="1"/>
    </xf>
    <xf numFmtId="164" fontId="13" fillId="9" borderId="22" xfId="0" applyNumberFormat="1" applyFont="1" applyFill="1" applyBorder="1" applyAlignment="1">
      <alignment horizontal="right" readingOrder="1"/>
    </xf>
    <xf numFmtId="0" fontId="13" fillId="7" borderId="22" xfId="0" applyNumberFormat="1" applyFont="1" applyFill="1" applyBorder="1" applyAlignment="1">
      <alignment readingOrder="1"/>
    </xf>
    <xf numFmtId="0" fontId="13" fillId="11" borderId="0" xfId="0" applyNumberFormat="1" applyFont="1" applyFill="1" applyBorder="1" applyAlignment="1">
      <alignment readingOrder="1"/>
    </xf>
    <xf numFmtId="164" fontId="13" fillId="11" borderId="17" xfId="0" applyNumberFormat="1" applyFont="1" applyFill="1" applyBorder="1" applyAlignment="1">
      <alignment horizontal="right" readingOrder="1"/>
    </xf>
    <xf numFmtId="164" fontId="13" fillId="13" borderId="0" xfId="0" applyNumberFormat="1" applyFont="1" applyFill="1" applyBorder="1" applyAlignment="1">
      <alignment horizontal="right" readingOrder="1"/>
    </xf>
    <xf numFmtId="0" fontId="13" fillId="11" borderId="0" xfId="0" applyNumberFormat="1" applyFont="1" applyFill="1" applyBorder="1" applyAlignment="1">
      <alignment horizontal="right" readingOrder="1"/>
    </xf>
    <xf numFmtId="164" fontId="13" fillId="11" borderId="0" xfId="0" applyNumberFormat="1" applyFont="1" applyFill="1" applyBorder="1" applyAlignment="1">
      <alignment horizontal="right" readingOrder="1"/>
    </xf>
    <xf numFmtId="0" fontId="13" fillId="11" borderId="17" xfId="0" applyNumberFormat="1" applyFont="1" applyFill="1" applyBorder="1" applyAlignment="1">
      <alignment readingOrder="1"/>
    </xf>
    <xf numFmtId="164" fontId="13" fillId="13" borderId="17" xfId="0" applyNumberFormat="1" applyFont="1" applyFill="1" applyBorder="1" applyAlignment="1">
      <alignment horizontal="right" readingOrder="1"/>
    </xf>
    <xf numFmtId="164" fontId="13" fillId="13" borderId="22" xfId="0" applyNumberFormat="1" applyFont="1" applyFill="1" applyBorder="1" applyAlignment="1">
      <alignment horizontal="right" readingOrder="1"/>
    </xf>
    <xf numFmtId="0" fontId="13" fillId="11" borderId="22" xfId="0" applyNumberFormat="1" applyFont="1" applyFill="1" applyBorder="1" applyAlignment="1">
      <alignment readingOrder="1"/>
    </xf>
    <xf numFmtId="0" fontId="5" fillId="8" borderId="17" xfId="0" applyFont="1" applyFill="1" applyBorder="1" applyAlignment="1"/>
    <xf numFmtId="0" fontId="5" fillId="8" borderId="0" xfId="0" applyFont="1" applyFill="1" applyBorder="1" applyAlignment="1"/>
    <xf numFmtId="9" fontId="5" fillId="8" borderId="20" xfId="0" applyNumberFormat="1" applyFont="1" applyFill="1" applyBorder="1" applyAlignment="1"/>
    <xf numFmtId="0" fontId="5" fillId="8" borderId="20" xfId="0" applyFont="1" applyFill="1" applyBorder="1" applyAlignment="1"/>
    <xf numFmtId="0" fontId="5" fillId="8" borderId="22" xfId="0" applyFont="1" applyFill="1" applyBorder="1" applyAlignment="1"/>
    <xf numFmtId="0" fontId="0" fillId="0" borderId="0" xfId="0" applyAlignment="1"/>
    <xf numFmtId="0" fontId="5" fillId="0" borderId="0" xfId="3" applyFont="1" applyAlignment="1"/>
    <xf numFmtId="0" fontId="15" fillId="5" borderId="16" xfId="0" applyFont="1" applyFill="1" applyBorder="1" applyAlignment="1"/>
    <xf numFmtId="0" fontId="18" fillId="5" borderId="17" xfId="3" applyFont="1" applyFill="1" applyBorder="1" applyAlignment="1"/>
    <xf numFmtId="0" fontId="19" fillId="10" borderId="16" xfId="0" applyFont="1" applyFill="1" applyBorder="1" applyAlignment="1">
      <alignment horizontal="left" readingOrder="1"/>
    </xf>
    <xf numFmtId="9" fontId="17" fillId="10" borderId="17" xfId="2" applyFont="1" applyFill="1" applyBorder="1" applyAlignment="1">
      <alignment horizontal="center" readingOrder="1"/>
    </xf>
    <xf numFmtId="9" fontId="17" fillId="10" borderId="18" xfId="2" applyFont="1" applyFill="1" applyBorder="1" applyAlignment="1">
      <alignment horizontal="center" readingOrder="1"/>
    </xf>
    <xf numFmtId="0" fontId="15" fillId="5" borderId="19" xfId="0" applyFont="1" applyFill="1" applyBorder="1" applyAlignment="1"/>
    <xf numFmtId="0" fontId="18" fillId="5" borderId="0" xfId="3" applyFont="1" applyFill="1" applyBorder="1" applyAlignment="1"/>
    <xf numFmtId="0" fontId="19" fillId="10" borderId="19" xfId="0" applyFont="1" applyFill="1" applyBorder="1" applyAlignment="1">
      <alignment horizontal="left" readingOrder="1"/>
    </xf>
    <xf numFmtId="9" fontId="17" fillId="10" borderId="0" xfId="2" applyFont="1" applyFill="1" applyBorder="1" applyAlignment="1">
      <alignment horizontal="center" readingOrder="1"/>
    </xf>
    <xf numFmtId="9" fontId="17" fillId="10" borderId="20" xfId="2" applyFont="1" applyFill="1" applyBorder="1" applyAlignment="1">
      <alignment horizontal="center" readingOrder="1"/>
    </xf>
    <xf numFmtId="0" fontId="18" fillId="5" borderId="20" xfId="3" applyFont="1" applyFill="1" applyBorder="1" applyAlignment="1"/>
    <xf numFmtId="0" fontId="19" fillId="10" borderId="21" xfId="0" applyFont="1" applyFill="1" applyBorder="1" applyAlignment="1">
      <alignment horizontal="left" readingOrder="1"/>
    </xf>
    <xf numFmtId="9" fontId="17" fillId="10" borderId="22" xfId="2" applyFont="1" applyFill="1" applyBorder="1" applyAlignment="1">
      <alignment horizontal="center" readingOrder="1"/>
    </xf>
    <xf numFmtId="9" fontId="17" fillId="10" borderId="23" xfId="2" applyFont="1" applyFill="1" applyBorder="1" applyAlignment="1">
      <alignment horizontal="center" readingOrder="1"/>
    </xf>
    <xf numFmtId="0" fontId="15" fillId="5" borderId="21" xfId="0" applyFont="1" applyFill="1" applyBorder="1" applyAlignment="1"/>
    <xf numFmtId="0" fontId="18" fillId="5" borderId="22" xfId="3" applyFont="1" applyFill="1" applyBorder="1" applyAlignment="1"/>
    <xf numFmtId="0" fontId="18" fillId="5" borderId="23" xfId="3" applyFont="1" applyFill="1" applyBorder="1" applyAlignment="1"/>
    <xf numFmtId="0" fontId="13" fillId="11" borderId="16" xfId="0" applyNumberFormat="1" applyFont="1" applyFill="1" applyBorder="1" applyAlignment="1">
      <alignment readingOrder="1"/>
    </xf>
    <xf numFmtId="0" fontId="5" fillId="12" borderId="17" xfId="0" applyFont="1" applyFill="1" applyBorder="1" applyAlignment="1"/>
    <xf numFmtId="9" fontId="5" fillId="12" borderId="18" xfId="0" applyNumberFormat="1" applyFont="1" applyFill="1" applyBorder="1" applyAlignment="1"/>
    <xf numFmtId="0" fontId="13" fillId="13" borderId="19" xfId="0" applyNumberFormat="1" applyFont="1" applyFill="1" applyBorder="1" applyAlignment="1">
      <alignment readingOrder="1"/>
    </xf>
    <xf numFmtId="0" fontId="5" fillId="12" borderId="0" xfId="0" applyFont="1" applyFill="1" applyBorder="1" applyAlignment="1"/>
    <xf numFmtId="9" fontId="5" fillId="12" borderId="20" xfId="0" applyNumberFormat="1" applyFont="1" applyFill="1" applyBorder="1" applyAlignment="1"/>
    <xf numFmtId="0" fontId="13" fillId="11" borderId="19" xfId="0" applyNumberFormat="1" applyFont="1" applyFill="1" applyBorder="1" applyAlignment="1">
      <alignment readingOrder="1"/>
    </xf>
    <xf numFmtId="0" fontId="13" fillId="11" borderId="21" xfId="0" applyNumberFormat="1" applyFont="1" applyFill="1" applyBorder="1" applyAlignment="1">
      <alignment readingOrder="1"/>
    </xf>
    <xf numFmtId="0" fontId="5" fillId="12" borderId="22" xfId="0" applyFont="1" applyFill="1" applyBorder="1" applyAlignment="1"/>
    <xf numFmtId="0" fontId="5" fillId="12" borderId="23" xfId="0" applyFont="1" applyFill="1" applyBorder="1" applyAlignment="1"/>
    <xf numFmtId="0" fontId="5" fillId="12" borderId="17" xfId="0" applyFont="1" applyFill="1" applyBorder="1" applyAlignment="1">
      <alignment horizontal="right"/>
    </xf>
    <xf numFmtId="0" fontId="5" fillId="12" borderId="20" xfId="0" applyFont="1" applyFill="1" applyBorder="1" applyAlignment="1"/>
    <xf numFmtId="0" fontId="18" fillId="12" borderId="0" xfId="3" applyFont="1" applyFill="1" applyBorder="1" applyAlignment="1"/>
    <xf numFmtId="0" fontId="13" fillId="13" borderId="21" xfId="0" applyNumberFormat="1" applyFont="1" applyFill="1" applyBorder="1" applyAlignment="1">
      <alignment readingOrder="1"/>
    </xf>
    <xf numFmtId="0" fontId="5" fillId="0" borderId="0" xfId="0" applyFont="1" applyAlignment="1"/>
    <xf numFmtId="0" fontId="13" fillId="11" borderId="16" xfId="0" applyFont="1" applyFill="1" applyBorder="1" applyAlignment="1">
      <alignment wrapText="1" readingOrder="1"/>
    </xf>
    <xf numFmtId="167" fontId="13" fillId="11" borderId="17" xfId="0" applyNumberFormat="1" applyFont="1" applyFill="1" applyBorder="1" applyAlignment="1">
      <alignment horizontal="right" wrapText="1" readingOrder="1"/>
    </xf>
    <xf numFmtId="167" fontId="20" fillId="11" borderId="18" xfId="0" applyNumberFormat="1" applyFont="1" applyFill="1" applyBorder="1" applyAlignment="1">
      <alignment horizontal="right" wrapText="1" readingOrder="1"/>
    </xf>
    <xf numFmtId="0" fontId="13" fillId="11" borderId="19" xfId="0" applyFont="1" applyFill="1" applyBorder="1" applyAlignment="1">
      <alignment wrapText="1" readingOrder="1"/>
    </xf>
    <xf numFmtId="167" fontId="13" fillId="13" borderId="0" xfId="0" applyNumberFormat="1" applyFont="1" applyFill="1" applyBorder="1" applyAlignment="1">
      <alignment horizontal="right" wrapText="1" readingOrder="1"/>
    </xf>
    <xf numFmtId="9" fontId="5" fillId="12" borderId="20" xfId="2" applyNumberFormat="1" applyFont="1" applyFill="1" applyBorder="1" applyAlignment="1"/>
    <xf numFmtId="0" fontId="13" fillId="11" borderId="24" xfId="0" applyFont="1" applyFill="1" applyBorder="1" applyAlignment="1">
      <alignment wrapText="1" readingOrder="1"/>
    </xf>
    <xf numFmtId="0" fontId="13" fillId="11" borderId="21" xfId="0" applyFont="1" applyFill="1" applyBorder="1" applyAlignment="1">
      <alignment wrapText="1" readingOrder="1"/>
    </xf>
    <xf numFmtId="167" fontId="13" fillId="13" borderId="22" xfId="0" applyNumberFormat="1" applyFont="1" applyFill="1" applyBorder="1" applyAlignment="1">
      <alignment horizontal="right" wrapText="1" readingOrder="1"/>
    </xf>
    <xf numFmtId="0" fontId="21" fillId="0" borderId="0" xfId="0" applyFont="1"/>
    <xf numFmtId="0" fontId="25" fillId="0" borderId="1" xfId="0" applyFont="1" applyBorder="1" applyAlignment="1">
      <alignment vertical="top" wrapText="1" readingOrder="1"/>
    </xf>
    <xf numFmtId="0" fontId="25" fillId="0" borderId="1" xfId="0" applyFont="1" applyBorder="1" applyAlignment="1">
      <alignment horizontal="center" vertical="top" wrapText="1" readingOrder="1"/>
    </xf>
    <xf numFmtId="164" fontId="17" fillId="11" borderId="0" xfId="0" applyNumberFormat="1" applyFont="1" applyFill="1" applyBorder="1" applyAlignment="1">
      <alignment horizontal="right" readingOrder="1"/>
    </xf>
    <xf numFmtId="0" fontId="5" fillId="12" borderId="0" xfId="0" applyFont="1" applyFill="1" applyBorder="1" applyAlignment="1">
      <alignment horizontal="right"/>
    </xf>
    <xf numFmtId="0" fontId="26" fillId="12" borderId="17" xfId="0" applyFont="1" applyFill="1" applyBorder="1" applyAlignment="1"/>
    <xf numFmtId="0" fontId="27" fillId="5" borderId="19" xfId="0" applyFont="1" applyFill="1" applyBorder="1" applyAlignment="1"/>
    <xf numFmtId="0" fontId="26" fillId="5" borderId="0" xfId="3" applyFont="1" applyFill="1" applyBorder="1" applyAlignment="1"/>
    <xf numFmtId="43" fontId="26" fillId="5" borderId="0" xfId="4" applyFont="1" applyFill="1" applyBorder="1" applyAlignment="1"/>
    <xf numFmtId="164" fontId="20" fillId="7" borderId="12" xfId="0" applyNumberFormat="1" applyFont="1" applyFill="1" applyBorder="1" applyAlignment="1">
      <alignment horizontal="right" readingOrder="1"/>
    </xf>
    <xf numFmtId="168" fontId="5" fillId="12" borderId="0" xfId="4" applyNumberFormat="1" applyFont="1" applyFill="1" applyBorder="1" applyAlignment="1"/>
    <xf numFmtId="9" fontId="5" fillId="12" borderId="17" xfId="2" applyFont="1" applyFill="1" applyBorder="1" applyAlignment="1"/>
    <xf numFmtId="9" fontId="5" fillId="12" borderId="0" xfId="2" applyFont="1" applyFill="1" applyBorder="1" applyAlignment="1"/>
    <xf numFmtId="0" fontId="11" fillId="0" borderId="0" xfId="3" applyFont="1" applyAlignment="1">
      <alignment vertical="top" wrapText="1" readingOrder="1"/>
    </xf>
    <xf numFmtId="0" fontId="12" fillId="0" borderId="0" xfId="3" applyFont="1" applyAlignment="1">
      <alignment horizontal="center" vertical="top" wrapText="1" readingOrder="1"/>
    </xf>
    <xf numFmtId="0" fontId="9" fillId="2" borderId="0" xfId="3" applyFont="1" applyFill="1" applyAlignment="1">
      <alignment vertical="top" wrapText="1" readingOrder="1"/>
    </xf>
    <xf numFmtId="0" fontId="13" fillId="2" borderId="0" xfId="3" applyFont="1" applyFill="1" applyAlignment="1">
      <alignment vertical="top" wrapText="1" readingOrder="1"/>
    </xf>
    <xf numFmtId="164" fontId="13" fillId="2" borderId="0" xfId="3" applyNumberFormat="1" applyFont="1" applyFill="1" applyAlignment="1">
      <alignment horizontal="right" vertical="top" wrapText="1" readingOrder="1"/>
    </xf>
    <xf numFmtId="165" fontId="13" fillId="2" borderId="0" xfId="3" applyNumberFormat="1" applyFont="1" applyFill="1" applyAlignment="1">
      <alignment horizontal="right" vertical="top" wrapText="1" readingOrder="1"/>
    </xf>
    <xf numFmtId="166" fontId="13" fillId="2" borderId="0" xfId="3" applyNumberFormat="1" applyFont="1" applyFill="1" applyAlignment="1">
      <alignment horizontal="right" vertical="top" wrapText="1" readingOrder="1"/>
    </xf>
    <xf numFmtId="0" fontId="9" fillId="3" borderId="0" xfId="3" applyFont="1" applyFill="1" applyAlignment="1">
      <alignment vertical="top" wrapText="1" readingOrder="1"/>
    </xf>
    <xf numFmtId="0" fontId="13" fillId="3" borderId="0" xfId="3" applyFont="1" applyFill="1" applyAlignment="1">
      <alignment vertical="top" wrapText="1" readingOrder="1"/>
    </xf>
    <xf numFmtId="164" fontId="13" fillId="3" borderId="0" xfId="3" applyNumberFormat="1" applyFont="1" applyFill="1" applyAlignment="1">
      <alignment horizontal="right" vertical="top" wrapText="1" readingOrder="1"/>
    </xf>
    <xf numFmtId="165" fontId="13" fillId="3" borderId="0" xfId="3" applyNumberFormat="1" applyFont="1" applyFill="1" applyAlignment="1">
      <alignment horizontal="right" vertical="top" wrapText="1" readingOrder="1"/>
    </xf>
    <xf numFmtId="166" fontId="13" fillId="3" borderId="0" xfId="3" applyNumberFormat="1" applyFont="1" applyFill="1" applyAlignment="1">
      <alignment horizontal="right" vertical="top" wrapText="1" readingOrder="1"/>
    </xf>
    <xf numFmtId="164" fontId="13" fillId="2" borderId="1" xfId="3" applyNumberFormat="1" applyFont="1" applyFill="1" applyBorder="1" applyAlignment="1">
      <alignment horizontal="right" vertical="top" wrapText="1" readingOrder="1"/>
    </xf>
    <xf numFmtId="165" fontId="13" fillId="2" borderId="1" xfId="3" applyNumberFormat="1" applyFont="1" applyFill="1" applyBorder="1" applyAlignment="1">
      <alignment horizontal="right" vertical="top" wrapText="1" readingOrder="1"/>
    </xf>
    <xf numFmtId="166" fontId="13" fillId="2" borderId="1" xfId="3" applyNumberFormat="1" applyFont="1" applyFill="1" applyBorder="1" applyAlignment="1">
      <alignment horizontal="right" vertical="top" wrapText="1" readingOrder="1"/>
    </xf>
    <xf numFmtId="0" fontId="11" fillId="0" borderId="1" xfId="3" applyFont="1" applyBorder="1" applyAlignment="1">
      <alignment vertical="top" wrapText="1" readingOrder="1"/>
    </xf>
    <xf numFmtId="0" fontId="11" fillId="2" borderId="1" xfId="3" applyFont="1" applyFill="1" applyBorder="1" applyAlignment="1">
      <alignment vertical="top" wrapText="1" readingOrder="1"/>
    </xf>
    <xf numFmtId="166" fontId="13" fillId="2" borderId="1" xfId="3" applyNumberFormat="1" applyFont="1" applyFill="1" applyBorder="1" applyAlignment="1">
      <alignment vertical="top" wrapText="1" readingOrder="1"/>
    </xf>
    <xf numFmtId="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0" fillId="0" borderId="3" xfId="0" applyBorder="1"/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6" xfId="0" applyBorder="1"/>
    <xf numFmtId="3" fontId="0" fillId="0" borderId="6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8" xfId="0" applyBorder="1"/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15" fillId="0" borderId="0" xfId="0" applyNumberFormat="1" applyFont="1" applyAlignment="1">
      <alignment horizontal="center"/>
    </xf>
    <xf numFmtId="0" fontId="0" fillId="0" borderId="0" xfId="0"/>
    <xf numFmtId="3" fontId="0" fillId="0" borderId="12" xfId="0" applyNumberFormat="1" applyBorder="1"/>
    <xf numFmtId="0" fontId="15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9" xfId="0" applyNumberFormat="1" applyBorder="1" applyAlignment="1">
      <alignment horizontal="right"/>
    </xf>
    <xf numFmtId="3" fontId="15" fillId="0" borderId="0" xfId="0" applyNumberFormat="1" applyFont="1" applyAlignment="1">
      <alignment horizontal="right"/>
    </xf>
    <xf numFmtId="164" fontId="13" fillId="9" borderId="12" xfId="0" applyNumberFormat="1" applyFont="1" applyFill="1" applyBorder="1" applyAlignment="1">
      <alignment horizontal="right" readingOrder="1"/>
    </xf>
    <xf numFmtId="164" fontId="13" fillId="7" borderId="12" xfId="0" applyNumberFormat="1" applyFont="1" applyFill="1" applyBorder="1" applyAlignment="1">
      <alignment horizontal="right" readingOrder="1"/>
    </xf>
    <xf numFmtId="164" fontId="13" fillId="13" borderId="12" xfId="0" applyNumberFormat="1" applyFont="1" applyFill="1" applyBorder="1" applyAlignment="1">
      <alignment horizontal="right" readingOrder="1"/>
    </xf>
    <xf numFmtId="164" fontId="13" fillId="11" borderId="22" xfId="0" applyNumberFormat="1" applyFont="1" applyFill="1" applyBorder="1" applyAlignment="1">
      <alignment horizontal="right" readingOrder="1"/>
    </xf>
    <xf numFmtId="0" fontId="13" fillId="7" borderId="21" xfId="0" applyNumberFormat="1" applyFont="1" applyFill="1" applyBorder="1" applyAlignment="1">
      <alignment readingOrder="1"/>
    </xf>
    <xf numFmtId="164" fontId="13" fillId="7" borderId="22" xfId="0" applyNumberFormat="1" applyFont="1" applyFill="1" applyBorder="1" applyAlignment="1">
      <alignment horizontal="right" readingOrder="1"/>
    </xf>
    <xf numFmtId="164" fontId="13" fillId="14" borderId="12" xfId="0" applyNumberFormat="1" applyFont="1" applyFill="1" applyBorder="1" applyAlignment="1">
      <alignment horizontal="right" readingOrder="1"/>
    </xf>
    <xf numFmtId="0" fontId="13" fillId="13" borderId="16" xfId="0" applyNumberFormat="1" applyFont="1" applyFill="1" applyBorder="1" applyAlignment="1">
      <alignment readingOrder="1"/>
    </xf>
    <xf numFmtId="43" fontId="26" fillId="12" borderId="12" xfId="4" applyFont="1" applyFill="1" applyBorder="1" applyAlignment="1"/>
    <xf numFmtId="43" fontId="26" fillId="12" borderId="17" xfId="4" applyFont="1" applyFill="1" applyBorder="1" applyAlignment="1"/>
    <xf numFmtId="43" fontId="26" fillId="12" borderId="0" xfId="4" applyFont="1" applyFill="1" applyBorder="1" applyAlignment="1"/>
    <xf numFmtId="164" fontId="20" fillId="11" borderId="12" xfId="0" applyNumberFormat="1" applyFont="1" applyFill="1" applyBorder="1" applyAlignment="1">
      <alignment horizontal="right" readingOrder="1"/>
    </xf>
    <xf numFmtId="0" fontId="13" fillId="11" borderId="17" xfId="0" applyNumberFormat="1" applyFont="1" applyFill="1" applyBorder="1" applyAlignment="1">
      <alignment horizontal="right" readingOrder="1"/>
    </xf>
    <xf numFmtId="9" fontId="6" fillId="11" borderId="18" xfId="2" applyFont="1" applyFill="1" applyBorder="1" applyAlignment="1">
      <alignment horizontal="right" readingOrder="1"/>
    </xf>
    <xf numFmtId="9" fontId="6" fillId="11" borderId="20" xfId="2" applyFont="1" applyFill="1" applyBorder="1" applyAlignment="1">
      <alignment horizontal="right" readingOrder="1"/>
    </xf>
    <xf numFmtId="0" fontId="13" fillId="11" borderId="22" xfId="0" applyNumberFormat="1" applyFont="1" applyFill="1" applyBorder="1" applyAlignment="1">
      <alignment horizontal="right" readingOrder="1"/>
    </xf>
    <xf numFmtId="9" fontId="6" fillId="11" borderId="23" xfId="2" applyFont="1" applyFill="1" applyBorder="1" applyAlignment="1">
      <alignment horizontal="right" readingOrder="1"/>
    </xf>
    <xf numFmtId="0" fontId="13" fillId="7" borderId="17" xfId="0" applyNumberFormat="1" applyFont="1" applyFill="1" applyBorder="1" applyAlignment="1">
      <alignment horizontal="right" readingOrder="1"/>
    </xf>
    <xf numFmtId="9" fontId="6" fillId="7" borderId="18" xfId="2" applyFont="1" applyFill="1" applyBorder="1" applyAlignment="1">
      <alignment horizontal="right" readingOrder="1"/>
    </xf>
    <xf numFmtId="9" fontId="6" fillId="7" borderId="20" xfId="2" applyFont="1" applyFill="1" applyBorder="1" applyAlignment="1">
      <alignment horizontal="right" readingOrder="1"/>
    </xf>
    <xf numFmtId="0" fontId="13" fillId="7" borderId="22" xfId="0" applyNumberFormat="1" applyFont="1" applyFill="1" applyBorder="1" applyAlignment="1">
      <alignment horizontal="right" readingOrder="1"/>
    </xf>
    <xf numFmtId="9" fontId="6" fillId="7" borderId="23" xfId="2" applyFont="1" applyFill="1" applyBorder="1" applyAlignment="1">
      <alignment horizontal="right" readingOrder="1"/>
    </xf>
    <xf numFmtId="164" fontId="13" fillId="9" borderId="17" xfId="0" applyNumberFormat="1" applyFont="1" applyFill="1" applyBorder="1" applyAlignment="1">
      <alignment horizontal="right" readingOrder="1"/>
    </xf>
    <xf numFmtId="9" fontId="5" fillId="8" borderId="18" xfId="0" applyNumberFormat="1" applyFont="1" applyFill="1" applyBorder="1" applyAlignment="1"/>
    <xf numFmtId="0" fontId="5" fillId="12" borderId="0" xfId="0" applyFont="1" applyFill="1" applyBorder="1"/>
    <xf numFmtId="0" fontId="5" fillId="12" borderId="17" xfId="0" applyFont="1" applyFill="1" applyBorder="1"/>
    <xf numFmtId="164" fontId="28" fillId="5" borderId="12" xfId="3" applyNumberFormat="1" applyFont="1" applyFill="1" applyBorder="1" applyAlignment="1"/>
    <xf numFmtId="0" fontId="26" fillId="5" borderId="17" xfId="3" applyFont="1" applyFill="1" applyBorder="1" applyAlignment="1">
      <alignment horizontal="right"/>
    </xf>
    <xf numFmtId="9" fontId="13" fillId="10" borderId="17" xfId="2" applyFont="1" applyFill="1" applyBorder="1" applyAlignment="1">
      <alignment horizontal="center" readingOrder="1"/>
    </xf>
    <xf numFmtId="9" fontId="13" fillId="10" borderId="0" xfId="2" applyFont="1" applyFill="1" applyBorder="1" applyAlignment="1">
      <alignment horizontal="center" readingOrder="1"/>
    </xf>
    <xf numFmtId="9" fontId="13" fillId="10" borderId="22" xfId="2" applyFont="1" applyFill="1" applyBorder="1" applyAlignment="1">
      <alignment horizontal="center" readingOrder="1"/>
    </xf>
    <xf numFmtId="43" fontId="28" fillId="5" borderId="12" xfId="3" applyNumberFormat="1" applyFont="1" applyFill="1" applyBorder="1" applyAlignment="1"/>
    <xf numFmtId="43" fontId="5" fillId="0" borderId="0" xfId="0" applyNumberFormat="1" applyFont="1" applyFill="1" applyBorder="1" applyAlignment="1"/>
    <xf numFmtId="0" fontId="13" fillId="15" borderId="16" xfId="0" applyNumberFormat="1" applyFont="1" applyFill="1" applyBorder="1" applyAlignment="1">
      <alignment readingOrder="1"/>
    </xf>
    <xf numFmtId="164" fontId="13" fillId="16" borderId="17" xfId="0" applyNumberFormat="1" applyFont="1" applyFill="1" applyBorder="1" applyAlignment="1">
      <alignment horizontal="right" readingOrder="1"/>
    </xf>
    <xf numFmtId="0" fontId="26" fillId="17" borderId="17" xfId="0" applyFont="1" applyFill="1" applyBorder="1" applyAlignment="1"/>
    <xf numFmtId="0" fontId="5" fillId="17" borderId="17" xfId="0" applyFont="1" applyFill="1" applyBorder="1" applyAlignment="1"/>
    <xf numFmtId="0" fontId="5" fillId="17" borderId="17" xfId="0" applyFont="1" applyFill="1" applyBorder="1"/>
    <xf numFmtId="164" fontId="20" fillId="16" borderId="12" xfId="0" applyNumberFormat="1" applyFont="1" applyFill="1" applyBorder="1" applyAlignment="1">
      <alignment horizontal="right" readingOrder="1"/>
    </xf>
    <xf numFmtId="9" fontId="5" fillId="17" borderId="17" xfId="2" applyFont="1" applyFill="1" applyBorder="1" applyAlignment="1"/>
    <xf numFmtId="43" fontId="26" fillId="17" borderId="17" xfId="4" applyFont="1" applyFill="1" applyBorder="1" applyAlignment="1"/>
    <xf numFmtId="9" fontId="5" fillId="17" borderId="18" xfId="0" applyNumberFormat="1" applyFont="1" applyFill="1" applyBorder="1" applyAlignment="1"/>
    <xf numFmtId="0" fontId="13" fillId="15" borderId="19" xfId="0" applyNumberFormat="1" applyFont="1" applyFill="1" applyBorder="1" applyAlignment="1">
      <alignment readingOrder="1"/>
    </xf>
    <xf numFmtId="164" fontId="13" fillId="16" borderId="0" xfId="0" applyNumberFormat="1" applyFont="1" applyFill="1" applyBorder="1" applyAlignment="1">
      <alignment horizontal="right" readingOrder="1"/>
    </xf>
    <xf numFmtId="0" fontId="26" fillId="17" borderId="0" xfId="0" applyFont="1" applyFill="1" applyBorder="1" applyAlignment="1"/>
    <xf numFmtId="0" fontId="5" fillId="17" borderId="0" xfId="0" applyFont="1" applyFill="1" applyBorder="1" applyAlignment="1"/>
    <xf numFmtId="0" fontId="5" fillId="17" borderId="0" xfId="0" applyFont="1" applyFill="1" applyBorder="1" applyAlignment="1">
      <alignment horizontal="right"/>
    </xf>
    <xf numFmtId="168" fontId="5" fillId="17" borderId="0" xfId="4" applyNumberFormat="1" applyFont="1" applyFill="1" applyBorder="1" applyAlignment="1"/>
    <xf numFmtId="9" fontId="5" fillId="17" borderId="0" xfId="2" applyFont="1" applyFill="1" applyBorder="1" applyAlignment="1"/>
    <xf numFmtId="43" fontId="26" fillId="17" borderId="0" xfId="4" applyFont="1" applyFill="1" applyBorder="1" applyAlignment="1"/>
    <xf numFmtId="9" fontId="5" fillId="17" borderId="20" xfId="0" applyNumberFormat="1" applyFont="1" applyFill="1" applyBorder="1" applyAlignment="1"/>
    <xf numFmtId="0" fontId="13" fillId="15" borderId="21" xfId="0" applyNumberFormat="1" applyFont="1" applyFill="1" applyBorder="1" applyAlignment="1">
      <alignment readingOrder="1"/>
    </xf>
    <xf numFmtId="164" fontId="13" fillId="16" borderId="22" xfId="0" applyNumberFormat="1" applyFont="1" applyFill="1" applyBorder="1" applyAlignment="1">
      <alignment horizontal="right" readingOrder="1"/>
    </xf>
    <xf numFmtId="164" fontId="13" fillId="15" borderId="0" xfId="0" applyNumberFormat="1" applyFont="1" applyFill="1" applyBorder="1" applyAlignment="1">
      <alignment horizontal="right" readingOrder="1"/>
    </xf>
    <xf numFmtId="0" fontId="13" fillId="16" borderId="0" xfId="0" applyNumberFormat="1" applyFont="1" applyFill="1" applyBorder="1" applyAlignment="1">
      <alignment readingOrder="1"/>
    </xf>
    <xf numFmtId="0" fontId="26" fillId="17" borderId="16" xfId="0" applyFont="1" applyFill="1" applyBorder="1" applyAlignment="1"/>
    <xf numFmtId="0" fontId="13" fillId="16" borderId="17" xfId="0" applyNumberFormat="1" applyFont="1" applyFill="1" applyBorder="1" applyAlignment="1">
      <alignment horizontal="right" readingOrder="1"/>
    </xf>
    <xf numFmtId="9" fontId="6" fillId="16" borderId="18" xfId="2" applyFont="1" applyFill="1" applyBorder="1" applyAlignment="1">
      <alignment horizontal="right" readingOrder="1"/>
    </xf>
    <xf numFmtId="0" fontId="5" fillId="17" borderId="0" xfId="0" applyFont="1" applyFill="1" applyBorder="1"/>
    <xf numFmtId="0" fontId="26" fillId="17" borderId="19" xfId="0" applyFont="1" applyFill="1" applyBorder="1" applyAlignment="1"/>
    <xf numFmtId="0" fontId="13" fillId="16" borderId="0" xfId="0" applyNumberFormat="1" applyFont="1" applyFill="1" applyBorder="1" applyAlignment="1">
      <alignment horizontal="right" readingOrder="1"/>
    </xf>
    <xf numFmtId="9" fontId="6" fillId="16" borderId="20" xfId="2" applyFont="1" applyFill="1" applyBorder="1" applyAlignment="1">
      <alignment horizontal="right" readingOrder="1"/>
    </xf>
    <xf numFmtId="0" fontId="26" fillId="17" borderId="21" xfId="0" applyFont="1" applyFill="1" applyBorder="1" applyAlignment="1"/>
    <xf numFmtId="0" fontId="5" fillId="17" borderId="22" xfId="0" applyFont="1" applyFill="1" applyBorder="1" applyAlignment="1"/>
    <xf numFmtId="0" fontId="13" fillId="16" borderId="22" xfId="0" applyNumberFormat="1" applyFont="1" applyFill="1" applyBorder="1" applyAlignment="1">
      <alignment horizontal="right" readingOrder="1"/>
    </xf>
    <xf numFmtId="9" fontId="6" fillId="16" borderId="23" xfId="2" applyFont="1" applyFill="1" applyBorder="1" applyAlignment="1">
      <alignment horizontal="right" readingOrder="1"/>
    </xf>
    <xf numFmtId="0" fontId="18" fillId="17" borderId="0" xfId="3" applyFont="1" applyFill="1" applyBorder="1" applyAlignment="1"/>
    <xf numFmtId="0" fontId="5" fillId="17" borderId="20" xfId="0" applyFont="1" applyFill="1" applyBorder="1" applyAlignment="1"/>
    <xf numFmtId="164" fontId="13" fillId="15" borderId="22" xfId="0" applyNumberFormat="1" applyFont="1" applyFill="1" applyBorder="1" applyAlignment="1">
      <alignment horizontal="right" readingOrder="1"/>
    </xf>
    <xf numFmtId="0" fontId="13" fillId="16" borderId="22" xfId="0" applyNumberFormat="1" applyFont="1" applyFill="1" applyBorder="1" applyAlignment="1">
      <alignment readingOrder="1"/>
    </xf>
    <xf numFmtId="9" fontId="13" fillId="10" borderId="17" xfId="2" applyFont="1" applyFill="1" applyBorder="1" applyAlignment="1">
      <alignment horizontal="right" readingOrder="1"/>
    </xf>
    <xf numFmtId="9" fontId="13" fillId="10" borderId="0" xfId="2" applyFont="1" applyFill="1" applyBorder="1" applyAlignment="1">
      <alignment horizontal="right" readingOrder="1"/>
    </xf>
    <xf numFmtId="9" fontId="13" fillId="10" borderId="22" xfId="2" applyFont="1" applyFill="1" applyBorder="1" applyAlignment="1">
      <alignment horizontal="right" readingOrder="1"/>
    </xf>
    <xf numFmtId="164" fontId="13" fillId="14" borderId="17" xfId="0" applyNumberFormat="1" applyFont="1" applyFill="1" applyBorder="1" applyAlignment="1">
      <alignment horizontal="right" readingOrder="1"/>
    </xf>
    <xf numFmtId="9" fontId="5" fillId="5" borderId="18" xfId="0" applyNumberFormat="1" applyFont="1" applyFill="1" applyBorder="1" applyAlignment="1"/>
    <xf numFmtId="164" fontId="13" fillId="14" borderId="0" xfId="0" applyNumberFormat="1" applyFont="1" applyFill="1" applyBorder="1" applyAlignment="1">
      <alignment horizontal="right" readingOrder="1"/>
    </xf>
    <xf numFmtId="9" fontId="5" fillId="5" borderId="20" xfId="0" applyNumberFormat="1" applyFont="1" applyFill="1" applyBorder="1" applyAlignment="1"/>
    <xf numFmtId="9" fontId="18" fillId="5" borderId="20" xfId="3" applyNumberFormat="1" applyFont="1" applyFill="1" applyBorder="1" applyAlignment="1"/>
    <xf numFmtId="0" fontId="18" fillId="5" borderId="0" xfId="3" applyFont="1" applyFill="1" applyBorder="1" applyAlignment="1">
      <alignment horizontal="right"/>
    </xf>
    <xf numFmtId="0" fontId="18" fillId="8" borderId="0" xfId="0" applyFont="1" applyFill="1" applyBorder="1" applyAlignment="1">
      <alignment horizontal="right"/>
    </xf>
    <xf numFmtId="9" fontId="18" fillId="8" borderId="20" xfId="0" applyNumberFormat="1" applyFont="1" applyFill="1" applyBorder="1" applyAlignment="1"/>
    <xf numFmtId="9" fontId="18" fillId="8" borderId="0" xfId="0" applyNumberFormat="1" applyFont="1" applyFill="1" applyBorder="1" applyAlignment="1"/>
    <xf numFmtId="9" fontId="18" fillId="5" borderId="0" xfId="3" applyNumberFormat="1" applyFont="1" applyFill="1" applyBorder="1" applyAlignment="1"/>
    <xf numFmtId="164" fontId="29" fillId="9" borderId="22" xfId="0" applyNumberFormat="1" applyFont="1" applyFill="1" applyBorder="1" applyAlignment="1">
      <alignment horizontal="right" readingOrder="1"/>
    </xf>
    <xf numFmtId="9" fontId="18" fillId="8" borderId="23" xfId="0" applyNumberFormat="1" applyFont="1" applyFill="1" applyBorder="1" applyAlignment="1"/>
    <xf numFmtId="0" fontId="18" fillId="12" borderId="0" xfId="0" applyFont="1" applyFill="1" applyBorder="1" applyAlignment="1">
      <alignment horizontal="right"/>
    </xf>
    <xf numFmtId="9" fontId="18" fillId="12" borderId="0" xfId="0" applyNumberFormat="1" applyFont="1" applyFill="1" applyBorder="1" applyAlignment="1"/>
    <xf numFmtId="9" fontId="18" fillId="12" borderId="20" xfId="0" applyNumberFormat="1" applyFont="1" applyFill="1" applyBorder="1" applyAlignment="1"/>
    <xf numFmtId="0" fontId="18" fillId="12" borderId="22" xfId="0" applyFont="1" applyFill="1" applyBorder="1" applyAlignment="1">
      <alignment horizontal="right"/>
    </xf>
    <xf numFmtId="9" fontId="18" fillId="12" borderId="23" xfId="0" applyNumberFormat="1" applyFont="1" applyFill="1" applyBorder="1" applyAlignment="1"/>
    <xf numFmtId="0" fontId="18" fillId="17" borderId="0" xfId="0" applyFont="1" applyFill="1" applyBorder="1" applyAlignment="1">
      <alignment horizontal="right"/>
    </xf>
    <xf numFmtId="9" fontId="18" fillId="17" borderId="0" xfId="0" applyNumberFormat="1" applyFont="1" applyFill="1" applyBorder="1" applyAlignment="1"/>
    <xf numFmtId="9" fontId="18" fillId="17" borderId="20" xfId="0" applyNumberFormat="1" applyFont="1" applyFill="1" applyBorder="1" applyAlignment="1"/>
    <xf numFmtId="0" fontId="18" fillId="17" borderId="22" xfId="0" applyFont="1" applyFill="1" applyBorder="1" applyAlignment="1">
      <alignment horizontal="right"/>
    </xf>
    <xf numFmtId="9" fontId="18" fillId="17" borderId="23" xfId="0" applyNumberFormat="1" applyFont="1" applyFill="1" applyBorder="1" applyAlignment="1"/>
    <xf numFmtId="0" fontId="3" fillId="0" borderId="0" xfId="3" applyFont="1"/>
    <xf numFmtId="0" fontId="15" fillId="0" borderId="0" xfId="3" applyFont="1" applyFill="1" applyBorder="1"/>
    <xf numFmtId="0" fontId="15" fillId="18" borderId="3" xfId="3" applyFont="1" applyFill="1" applyBorder="1"/>
    <xf numFmtId="0" fontId="15" fillId="18" borderId="5" xfId="3" applyFont="1" applyFill="1" applyBorder="1"/>
    <xf numFmtId="0" fontId="15" fillId="18" borderId="6" xfId="3" applyFont="1" applyFill="1" applyBorder="1"/>
    <xf numFmtId="0" fontId="15" fillId="18" borderId="7" xfId="3" applyFont="1" applyFill="1" applyBorder="1"/>
    <xf numFmtId="0" fontId="15" fillId="18" borderId="8" xfId="3" applyFont="1" applyFill="1" applyBorder="1"/>
    <xf numFmtId="0" fontId="15" fillId="18" borderId="10" xfId="3" applyFont="1" applyFill="1" applyBorder="1"/>
    <xf numFmtId="0" fontId="5" fillId="0" borderId="0" xfId="3" applyFont="1"/>
    <xf numFmtId="0" fontId="2" fillId="0" borderId="0" xfId="3" applyFont="1"/>
    <xf numFmtId="0" fontId="26" fillId="0" borderId="0" xfId="0" applyFont="1" applyFill="1" applyBorder="1"/>
    <xf numFmtId="169" fontId="13" fillId="7" borderId="17" xfId="4" applyNumberFormat="1" applyFont="1" applyFill="1" applyBorder="1" applyAlignment="1">
      <alignment horizontal="right" readingOrder="1"/>
    </xf>
    <xf numFmtId="169" fontId="13" fillId="9" borderId="0" xfId="4" applyNumberFormat="1" applyFont="1" applyFill="1" applyBorder="1" applyAlignment="1">
      <alignment horizontal="right" readingOrder="1"/>
    </xf>
    <xf numFmtId="169" fontId="13" fillId="9" borderId="22" xfId="4" applyNumberFormat="1" applyFont="1" applyFill="1" applyBorder="1" applyAlignment="1">
      <alignment horizontal="right" readingOrder="1"/>
    </xf>
    <xf numFmtId="0" fontId="1" fillId="0" borderId="0" xfId="3" applyFont="1"/>
    <xf numFmtId="43" fontId="18" fillId="5" borderId="0" xfId="3" applyNumberFormat="1" applyFont="1" applyFill="1" applyBorder="1" applyAlignment="1"/>
    <xf numFmtId="43" fontId="26" fillId="5" borderId="0" xfId="4" applyFont="1" applyFill="1" applyBorder="1" applyAlignment="1">
      <alignment horizontal="right"/>
    </xf>
    <xf numFmtId="164" fontId="13" fillId="14" borderId="0" xfId="0" applyNumberFormat="1" applyFont="1" applyFill="1" applyBorder="1" applyAlignment="1">
      <alignment horizontal="left" readingOrder="1"/>
    </xf>
    <xf numFmtId="0" fontId="26" fillId="5" borderId="0" xfId="3" applyFont="1" applyFill="1" applyBorder="1" applyAlignment="1">
      <alignment horizontal="left"/>
    </xf>
    <xf numFmtId="0" fontId="13" fillId="14" borderId="19" xfId="0" applyNumberFormat="1" applyFont="1" applyFill="1" applyBorder="1" applyAlignment="1">
      <alignment readingOrder="1"/>
    </xf>
    <xf numFmtId="0" fontId="15" fillId="5" borderId="25" xfId="0" applyFont="1" applyFill="1" applyBorder="1" applyAlignment="1"/>
    <xf numFmtId="164" fontId="13" fillId="16" borderId="12" xfId="0" applyNumberFormat="1" applyFont="1" applyFill="1" applyBorder="1" applyAlignment="1">
      <alignment horizontal="right" readingOrder="1"/>
    </xf>
    <xf numFmtId="169" fontId="17" fillId="9" borderId="12" xfId="4" applyNumberFormat="1" applyFont="1" applyFill="1" applyBorder="1" applyAlignment="1">
      <alignment horizontal="right" readingOrder="1"/>
    </xf>
    <xf numFmtId="164" fontId="17" fillId="7" borderId="12" xfId="0" applyNumberFormat="1" applyFont="1" applyFill="1" applyBorder="1" applyAlignment="1">
      <alignment horizontal="right" readingOrder="1"/>
    </xf>
    <xf numFmtId="164" fontId="17" fillId="13" borderId="12" xfId="0" applyNumberFormat="1" applyFont="1" applyFill="1" applyBorder="1" applyAlignment="1">
      <alignment horizontal="right" readingOrder="1"/>
    </xf>
    <xf numFmtId="43" fontId="30" fillId="5" borderId="12" xfId="4" applyFont="1" applyFill="1" applyBorder="1" applyAlignment="1"/>
    <xf numFmtId="164" fontId="17" fillId="16" borderId="12" xfId="0" applyNumberFormat="1" applyFont="1" applyFill="1" applyBorder="1" applyAlignment="1">
      <alignment horizontal="right" readingOrder="1"/>
    </xf>
    <xf numFmtId="164" fontId="13" fillId="7" borderId="16" xfId="0" applyNumberFormat="1" applyFont="1" applyFill="1" applyBorder="1" applyAlignment="1">
      <alignment horizontal="right" readingOrder="1"/>
    </xf>
    <xf numFmtId="0" fontId="5" fillId="8" borderId="18" xfId="0" applyFont="1" applyFill="1" applyBorder="1" applyAlignment="1"/>
    <xf numFmtId="164" fontId="13" fillId="9" borderId="19" xfId="0" applyNumberFormat="1" applyFont="1" applyFill="1" applyBorder="1" applyAlignment="1">
      <alignment horizontal="right" readingOrder="1"/>
    </xf>
    <xf numFmtId="164" fontId="13" fillId="7" borderId="19" xfId="0" applyNumberFormat="1" applyFont="1" applyFill="1" applyBorder="1" applyAlignment="1">
      <alignment horizontal="right" readingOrder="1"/>
    </xf>
    <xf numFmtId="164" fontId="17" fillId="9" borderId="19" xfId="0" applyNumberFormat="1" applyFont="1" applyFill="1" applyBorder="1" applyAlignment="1">
      <alignment horizontal="right" readingOrder="1"/>
    </xf>
    <xf numFmtId="164" fontId="17" fillId="9" borderId="21" xfId="0" applyNumberFormat="1" applyFont="1" applyFill="1" applyBorder="1" applyAlignment="1">
      <alignment horizontal="right" readingOrder="1"/>
    </xf>
    <xf numFmtId="0" fontId="5" fillId="8" borderId="23" xfId="0" applyFont="1" applyFill="1" applyBorder="1" applyAlignment="1"/>
    <xf numFmtId="0" fontId="18" fillId="5" borderId="16" xfId="3" applyFont="1" applyFill="1" applyBorder="1" applyAlignment="1"/>
    <xf numFmtId="0" fontId="18" fillId="5" borderId="18" xfId="3" applyFont="1" applyFill="1" applyBorder="1" applyAlignment="1"/>
    <xf numFmtId="43" fontId="26" fillId="5" borderId="19" xfId="4" applyFont="1" applyFill="1" applyBorder="1" applyAlignment="1"/>
    <xf numFmtId="43" fontId="18" fillId="5" borderId="22" xfId="3" applyNumberFormat="1" applyFont="1" applyFill="1" applyBorder="1" applyAlignment="1"/>
    <xf numFmtId="164" fontId="17" fillId="14" borderId="19" xfId="0" applyNumberFormat="1" applyFont="1" applyFill="1" applyBorder="1" applyAlignment="1">
      <alignment horizontal="right" readingOrder="1"/>
    </xf>
    <xf numFmtId="169" fontId="17" fillId="14" borderId="12" xfId="4" applyNumberFormat="1" applyFont="1" applyFill="1" applyBorder="1" applyAlignment="1">
      <alignment horizontal="right" readingOrder="1"/>
    </xf>
    <xf numFmtId="164" fontId="17" fillId="14" borderId="21" xfId="0" applyNumberFormat="1" applyFont="1" applyFill="1" applyBorder="1" applyAlignment="1">
      <alignment horizontal="right" readingOrder="1"/>
    </xf>
    <xf numFmtId="169" fontId="13" fillId="14" borderId="22" xfId="4" applyNumberFormat="1" applyFont="1" applyFill="1" applyBorder="1" applyAlignment="1">
      <alignment horizontal="right" readingOrder="1"/>
    </xf>
    <xf numFmtId="164" fontId="17" fillId="7" borderId="19" xfId="0" applyNumberFormat="1" applyFont="1" applyFill="1" applyBorder="1" applyAlignment="1">
      <alignment horizontal="right" readingOrder="1"/>
    </xf>
    <xf numFmtId="164" fontId="17" fillId="7" borderId="21" xfId="0" applyNumberFormat="1" applyFont="1" applyFill="1" applyBorder="1" applyAlignment="1">
      <alignment horizontal="right" readingOrder="1"/>
    </xf>
    <xf numFmtId="164" fontId="13" fillId="11" borderId="16" xfId="0" applyNumberFormat="1" applyFont="1" applyFill="1" applyBorder="1" applyAlignment="1">
      <alignment horizontal="right" readingOrder="1"/>
    </xf>
    <xf numFmtId="0" fontId="5" fillId="12" borderId="18" xfId="0" applyFont="1" applyFill="1" applyBorder="1" applyAlignment="1"/>
    <xf numFmtId="164" fontId="13" fillId="11" borderId="19" xfId="0" applyNumberFormat="1" applyFont="1" applyFill="1" applyBorder="1" applyAlignment="1">
      <alignment horizontal="right" readingOrder="1"/>
    </xf>
    <xf numFmtId="164" fontId="13" fillId="13" borderId="19" xfId="0" applyNumberFormat="1" applyFont="1" applyFill="1" applyBorder="1" applyAlignment="1">
      <alignment horizontal="right" readingOrder="1"/>
    </xf>
    <xf numFmtId="164" fontId="17" fillId="13" borderId="19" xfId="0" applyNumberFormat="1" applyFont="1" applyFill="1" applyBorder="1" applyAlignment="1">
      <alignment horizontal="right" readingOrder="1"/>
    </xf>
    <xf numFmtId="164" fontId="17" fillId="13" borderId="21" xfId="0" applyNumberFormat="1" applyFont="1" applyFill="1" applyBorder="1" applyAlignment="1">
      <alignment horizontal="right" readingOrder="1"/>
    </xf>
    <xf numFmtId="0" fontId="13" fillId="10" borderId="17" xfId="0" applyFont="1" applyFill="1" applyBorder="1" applyAlignment="1">
      <alignment horizontal="right" readingOrder="1"/>
    </xf>
    <xf numFmtId="0" fontId="13" fillId="10" borderId="0" xfId="0" applyFont="1" applyFill="1" applyBorder="1" applyAlignment="1">
      <alignment horizontal="right" readingOrder="1"/>
    </xf>
    <xf numFmtId="0" fontId="13" fillId="10" borderId="22" xfId="0" applyFont="1" applyFill="1" applyBorder="1" applyAlignment="1">
      <alignment horizontal="right" readingOrder="1"/>
    </xf>
    <xf numFmtId="164" fontId="13" fillId="14" borderId="19" xfId="0" applyNumberFormat="1" applyFont="1" applyFill="1" applyBorder="1" applyAlignment="1">
      <alignment horizontal="right" readingOrder="1"/>
    </xf>
    <xf numFmtId="43" fontId="26" fillId="5" borderId="19" xfId="4" applyFont="1" applyFill="1" applyBorder="1" applyAlignment="1">
      <alignment horizontal="right"/>
    </xf>
    <xf numFmtId="43" fontId="30" fillId="5" borderId="19" xfId="4" applyFont="1" applyFill="1" applyBorder="1" applyAlignment="1">
      <alignment horizontal="right"/>
    </xf>
    <xf numFmtId="0" fontId="26" fillId="12" borderId="0" xfId="0" applyFont="1" applyFill="1" applyBorder="1" applyAlignment="1"/>
    <xf numFmtId="0" fontId="26" fillId="12" borderId="22" xfId="0" applyFont="1" applyFill="1" applyBorder="1" applyAlignment="1"/>
    <xf numFmtId="0" fontId="5" fillId="12" borderId="20" xfId="0" applyFont="1" applyFill="1" applyBorder="1"/>
    <xf numFmtId="0" fontId="5" fillId="12" borderId="22" xfId="0" applyFont="1" applyFill="1" applyBorder="1"/>
    <xf numFmtId="0" fontId="5" fillId="12" borderId="23" xfId="0" applyFont="1" applyFill="1" applyBorder="1"/>
    <xf numFmtId="164" fontId="13" fillId="16" borderId="16" xfId="0" applyNumberFormat="1" applyFont="1" applyFill="1" applyBorder="1" applyAlignment="1">
      <alignment horizontal="right" readingOrder="1"/>
    </xf>
    <xf numFmtId="0" fontId="5" fillId="17" borderId="18" xfId="0" applyFont="1" applyFill="1" applyBorder="1" applyAlignment="1"/>
    <xf numFmtId="164" fontId="13" fillId="16" borderId="19" xfId="0" applyNumberFormat="1" applyFont="1" applyFill="1" applyBorder="1" applyAlignment="1">
      <alignment horizontal="right" readingOrder="1"/>
    </xf>
    <xf numFmtId="164" fontId="17" fillId="16" borderId="19" xfId="0" applyNumberFormat="1" applyFont="1" applyFill="1" applyBorder="1" applyAlignment="1">
      <alignment horizontal="right" readingOrder="1"/>
    </xf>
    <xf numFmtId="164" fontId="17" fillId="16" borderId="21" xfId="0" applyNumberFormat="1" applyFont="1" applyFill="1" applyBorder="1" applyAlignment="1">
      <alignment horizontal="right" readingOrder="1"/>
    </xf>
    <xf numFmtId="0" fontId="26" fillId="17" borderId="22" xfId="0" applyFont="1" applyFill="1" applyBorder="1" applyAlignment="1"/>
    <xf numFmtId="0" fontId="5" fillId="17" borderId="23" xfId="0" applyFont="1" applyFill="1" applyBorder="1" applyAlignment="1"/>
    <xf numFmtId="0" fontId="9" fillId="2" borderId="0" xfId="3" applyFont="1" applyFill="1" applyAlignment="1">
      <alignment vertical="top" wrapText="1" readingOrder="1"/>
    </xf>
    <xf numFmtId="0" fontId="5" fillId="0" borderId="0" xfId="3" applyFont="1"/>
    <xf numFmtId="0" fontId="21" fillId="0" borderId="0" xfId="0" applyFont="1"/>
    <xf numFmtId="0" fontId="22" fillId="0" borderId="0" xfId="0" applyFont="1" applyAlignment="1">
      <alignment horizontal="center" vertical="top" wrapText="1" readingOrder="1"/>
    </xf>
    <xf numFmtId="0" fontId="23" fillId="0" borderId="0" xfId="0" applyFont="1" applyAlignment="1">
      <alignment horizontal="center" vertical="top" wrapText="1" readingOrder="1"/>
    </xf>
    <xf numFmtId="0" fontId="24" fillId="0" borderId="2" xfId="0" applyFont="1" applyBorder="1" applyAlignment="1">
      <alignment horizontal="center" vertical="top" wrapText="1" readingOrder="1"/>
    </xf>
    <xf numFmtId="0" fontId="25" fillId="0" borderId="1" xfId="0" applyFont="1" applyBorder="1" applyAlignment="1">
      <alignment horizontal="center" vertical="top" wrapText="1" readingOrder="1"/>
    </xf>
    <xf numFmtId="0" fontId="10" fillId="0" borderId="0" xfId="3" applyFont="1" applyAlignment="1">
      <alignment vertical="top" wrapText="1" readingOrder="1"/>
    </xf>
    <xf numFmtId="0" fontId="13" fillId="2" borderId="0" xfId="3" applyFont="1" applyFill="1" applyAlignment="1">
      <alignment vertical="top" wrapText="1" readingOrder="1"/>
    </xf>
    <xf numFmtId="0" fontId="13" fillId="3" borderId="0" xfId="3" applyFont="1" applyFill="1" applyAlignment="1">
      <alignment vertical="top" wrapText="1" readingOrder="1"/>
    </xf>
    <xf numFmtId="0" fontId="9" fillId="0" borderId="1" xfId="3" applyFont="1" applyBorder="1" applyAlignment="1">
      <alignment vertical="top" wrapText="1" readingOrder="1"/>
    </xf>
    <xf numFmtId="0" fontId="5" fillId="0" borderId="1" xfId="3" applyFont="1" applyBorder="1" applyAlignment="1">
      <alignment vertical="top" wrapText="1"/>
    </xf>
    <xf numFmtId="0" fontId="5" fillId="0" borderId="0" xfId="0" applyFont="1"/>
    <xf numFmtId="0" fontId="6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center" vertical="top" wrapText="1" readingOrder="1"/>
    </xf>
    <xf numFmtId="0" fontId="8" fillId="0" borderId="0" xfId="0" applyFont="1" applyAlignment="1">
      <alignment horizontal="center" vertical="top" wrapText="1" readingOrder="1"/>
    </xf>
    <xf numFmtId="0" fontId="9" fillId="0" borderId="1" xfId="0" applyFont="1" applyBorder="1" applyAlignment="1">
      <alignment horizontal="center" vertical="top" wrapText="1" readingOrder="1"/>
    </xf>
    <xf numFmtId="0" fontId="5" fillId="0" borderId="1" xfId="0" applyFont="1" applyBorder="1" applyAlignment="1">
      <alignment vertical="top" wrapText="1"/>
    </xf>
    <xf numFmtId="168" fontId="18" fillId="8" borderId="20" xfId="4" applyNumberFormat="1" applyFont="1" applyFill="1" applyBorder="1" applyAlignment="1"/>
    <xf numFmtId="168" fontId="18" fillId="12" borderId="20" xfId="4" applyNumberFormat="1" applyFont="1" applyFill="1" applyBorder="1" applyAlignment="1"/>
  </cellXfs>
  <cellStyles count="5">
    <cellStyle name="Comma" xfId="4" builtinId="3"/>
    <cellStyle name="Currency" xfId="1" builtinId="4"/>
    <cellStyle name="Normal" xfId="0" builtinId="0"/>
    <cellStyle name="Normal 2" xfId="3" xr:uid="{BE5D03CD-B7CA-4893-A8BB-257C3F7840C3}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8F6F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4EC4FE-687E-4060-95D9-94A5288F4C0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194050" cy="7239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67081A-BE9F-46DC-8033-7E6CAE2A71B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1270000</xdr:colOff>
      <xdr:row>0</xdr:row>
      <xdr:rowOff>723900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BD10CB-74FF-43B0-97C0-4F0124484461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282950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A3DC-AA90-4CEC-A033-FA5C93B936A1}">
  <dimension ref="A1:V34"/>
  <sheetViews>
    <sheetView showGridLines="0" tabSelected="1" zoomScale="130" zoomScaleNormal="130" workbookViewId="0">
      <pane ySplit="1" topLeftCell="A2" activePane="bottomLeft" state="frozen"/>
      <selection pane="bottomLeft" activeCell="A2" sqref="A2:V2"/>
    </sheetView>
  </sheetViews>
  <sheetFormatPr defaultColWidth="9.15234375" defaultRowHeight="14.6" x14ac:dyDescent="0.4"/>
  <cols>
    <col min="1" max="1" width="1.4609375" style="2" customWidth="1"/>
    <col min="2" max="2" width="27.4609375" style="2" customWidth="1"/>
    <col min="3" max="3" width="19.15234375" style="2" customWidth="1"/>
    <col min="4" max="4" width="14.23046875" style="2" bestFit="1" customWidth="1"/>
    <col min="5" max="5" width="6.84375" style="2" customWidth="1"/>
    <col min="6" max="6" width="11" style="2" customWidth="1"/>
    <col min="7" max="8" width="8.84375" style="2" customWidth="1"/>
    <col min="9" max="9" width="11.69140625" style="2" customWidth="1"/>
    <col min="10" max="10" width="8.84375" style="2" customWidth="1"/>
    <col min="11" max="12" width="11" style="2" customWidth="1"/>
    <col min="13" max="14" width="7.53515625" style="2" customWidth="1"/>
    <col min="15" max="16" width="8.23046875" style="2" customWidth="1"/>
    <col min="17" max="17" width="11" style="2" customWidth="1"/>
    <col min="18" max="19" width="8.23046875" style="2" customWidth="1"/>
    <col min="20" max="22" width="6.84375" style="2" customWidth="1"/>
    <col min="23" max="23" width="8.23046875" style="2" customWidth="1"/>
    <col min="24" max="16384" width="9.15234375" style="2"/>
  </cols>
  <sheetData>
    <row r="1" spans="1:22" ht="57.65" customHeight="1" x14ac:dyDescent="0.4">
      <c r="A1" s="323"/>
      <c r="B1" s="323"/>
      <c r="C1" s="323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</row>
    <row r="2" spans="1:22" ht="13" customHeight="1" x14ac:dyDescent="0.4">
      <c r="A2" s="324" t="s">
        <v>58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324"/>
      <c r="O2" s="324"/>
      <c r="P2" s="324"/>
      <c r="Q2" s="324"/>
      <c r="R2" s="324"/>
      <c r="S2" s="324"/>
      <c r="T2" s="324"/>
      <c r="U2" s="324"/>
      <c r="V2" s="324"/>
    </row>
    <row r="3" spans="1:22" ht="14.5" customHeight="1" x14ac:dyDescent="0.4">
      <c r="A3" s="325" t="s">
        <v>1</v>
      </c>
      <c r="B3" s="325"/>
      <c r="C3" s="325"/>
      <c r="D3" s="325"/>
      <c r="E3" s="325"/>
      <c r="F3" s="325"/>
      <c r="G3" s="325"/>
      <c r="H3" s="325"/>
      <c r="I3" s="325"/>
      <c r="J3" s="325"/>
      <c r="K3" s="325"/>
      <c r="L3" s="325"/>
      <c r="M3" s="325"/>
      <c r="N3" s="325"/>
      <c r="O3" s="325"/>
      <c r="P3" s="325"/>
      <c r="Q3" s="325"/>
      <c r="R3" s="325"/>
      <c r="S3" s="325"/>
      <c r="T3" s="325"/>
      <c r="U3" s="325"/>
      <c r="V3" s="325"/>
    </row>
    <row r="4" spans="1:22" ht="12.25" customHeight="1" x14ac:dyDescent="0.4">
      <c r="A4" s="326" t="s">
        <v>162</v>
      </c>
      <c r="B4" s="326"/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326"/>
      <c r="O4" s="326"/>
      <c r="P4" s="326"/>
      <c r="Q4" s="326"/>
      <c r="R4" s="326"/>
      <c r="S4" s="326"/>
      <c r="T4" s="326"/>
      <c r="U4" s="326"/>
      <c r="V4" s="326"/>
    </row>
    <row r="5" spans="1:22" ht="29.05" customHeight="1" x14ac:dyDescent="0.4">
      <c r="A5" s="106" t="s">
        <v>2</v>
      </c>
      <c r="B5" s="107" t="s">
        <v>3</v>
      </c>
      <c r="C5" s="327" t="s">
        <v>4</v>
      </c>
      <c r="D5" s="327"/>
      <c r="E5" s="107" t="s">
        <v>5</v>
      </c>
      <c r="F5" s="107" t="s">
        <v>6</v>
      </c>
      <c r="G5" s="107" t="s">
        <v>7</v>
      </c>
      <c r="H5" s="107" t="s">
        <v>8</v>
      </c>
      <c r="I5" s="107" t="s">
        <v>9</v>
      </c>
      <c r="J5" s="107" t="s">
        <v>10</v>
      </c>
      <c r="K5" s="107" t="s">
        <v>11</v>
      </c>
      <c r="L5" s="107" t="s">
        <v>12</v>
      </c>
      <c r="M5" s="107" t="s">
        <v>13</v>
      </c>
      <c r="N5" s="107" t="s">
        <v>14</v>
      </c>
      <c r="O5" s="107" t="s">
        <v>15</v>
      </c>
      <c r="P5" s="107" t="s">
        <v>16</v>
      </c>
      <c r="Q5" s="107" t="s">
        <v>17</v>
      </c>
      <c r="R5" s="107" t="s">
        <v>18</v>
      </c>
      <c r="S5" s="107" t="s">
        <v>19</v>
      </c>
      <c r="T5" s="107" t="s">
        <v>20</v>
      </c>
      <c r="U5" s="107" t="s">
        <v>21</v>
      </c>
      <c r="V5" s="107" t="s">
        <v>22</v>
      </c>
    </row>
    <row r="6" spans="1:22" ht="14.5" customHeight="1" x14ac:dyDescent="0.4">
      <c r="A6" s="328" t="s">
        <v>59</v>
      </c>
      <c r="B6" s="322"/>
      <c r="C6" s="322"/>
      <c r="D6" s="322"/>
      <c r="E6" s="322"/>
      <c r="F6" s="118" t="s">
        <v>2</v>
      </c>
      <c r="G6" s="118" t="s">
        <v>2</v>
      </c>
      <c r="H6" s="118" t="s">
        <v>2</v>
      </c>
      <c r="I6" s="118" t="s">
        <v>2</v>
      </c>
      <c r="J6" s="118" t="s">
        <v>2</v>
      </c>
      <c r="K6" s="119" t="s">
        <v>2</v>
      </c>
      <c r="L6" s="118" t="s">
        <v>2</v>
      </c>
      <c r="M6" s="119" t="s">
        <v>2</v>
      </c>
      <c r="N6" s="118" t="s">
        <v>2</v>
      </c>
      <c r="O6" s="118" t="s">
        <v>2</v>
      </c>
      <c r="P6" s="118" t="s">
        <v>2</v>
      </c>
      <c r="Q6" s="118" t="s">
        <v>2</v>
      </c>
      <c r="R6" s="118" t="s">
        <v>2</v>
      </c>
      <c r="S6" s="118" t="s">
        <v>2</v>
      </c>
      <c r="T6" s="118" t="s">
        <v>2</v>
      </c>
      <c r="U6" s="118" t="s">
        <v>2</v>
      </c>
      <c r="V6" s="118" t="s">
        <v>2</v>
      </c>
    </row>
    <row r="7" spans="1:22" ht="14.5" customHeight="1" x14ac:dyDescent="0.4">
      <c r="A7" s="120" t="s">
        <v>2</v>
      </c>
      <c r="B7" s="121" t="s">
        <v>60</v>
      </c>
      <c r="C7" s="329" t="s">
        <v>60</v>
      </c>
      <c r="D7" s="322"/>
      <c r="E7" s="121" t="s">
        <v>25</v>
      </c>
      <c r="F7" s="122">
        <v>25365.893</v>
      </c>
      <c r="G7" s="123">
        <v>0</v>
      </c>
      <c r="H7" s="123">
        <v>0</v>
      </c>
      <c r="I7" s="123">
        <v>0</v>
      </c>
      <c r="J7" s="123">
        <v>0</v>
      </c>
      <c r="K7" s="122">
        <v>25365.893</v>
      </c>
      <c r="L7" s="122">
        <v>6.97</v>
      </c>
      <c r="M7" s="122">
        <v>-4.25</v>
      </c>
      <c r="N7" s="122">
        <v>3.46</v>
      </c>
      <c r="O7" s="123">
        <v>0</v>
      </c>
      <c r="P7" s="123">
        <v>0</v>
      </c>
      <c r="Q7" s="122">
        <v>25372.073</v>
      </c>
      <c r="R7" s="124">
        <v>0</v>
      </c>
      <c r="S7" s="123">
        <v>0</v>
      </c>
      <c r="T7" s="124">
        <v>2.7477841998308501E-2</v>
      </c>
      <c r="U7" s="124">
        <v>1.07230602920228E-2</v>
      </c>
      <c r="V7" s="124">
        <v>2.82663023138984E-2</v>
      </c>
    </row>
    <row r="8" spans="1:22" x14ac:dyDescent="0.4">
      <c r="A8" s="125" t="s">
        <v>2</v>
      </c>
      <c r="B8" s="126" t="s">
        <v>31</v>
      </c>
      <c r="C8" s="330" t="s">
        <v>31</v>
      </c>
      <c r="D8" s="322"/>
      <c r="E8" s="126" t="s">
        <v>25</v>
      </c>
      <c r="F8" s="127">
        <v>22990224.300000001</v>
      </c>
      <c r="G8" s="128">
        <v>0</v>
      </c>
      <c r="H8" s="128">
        <v>0</v>
      </c>
      <c r="I8" s="128">
        <v>0</v>
      </c>
      <c r="J8" s="128">
        <v>0</v>
      </c>
      <c r="K8" s="127">
        <v>22990224.300000001</v>
      </c>
      <c r="L8" s="127">
        <v>6350.15</v>
      </c>
      <c r="M8" s="127">
        <v>-3860.39</v>
      </c>
      <c r="N8" s="127">
        <v>3135.15</v>
      </c>
      <c r="O8" s="128">
        <v>0</v>
      </c>
      <c r="P8" s="128">
        <v>0</v>
      </c>
      <c r="Q8" s="127">
        <v>22995849.210000001</v>
      </c>
      <c r="R8" s="129">
        <v>0</v>
      </c>
      <c r="S8" s="128">
        <v>0</v>
      </c>
      <c r="T8" s="129">
        <v>2.76210876289711E-2</v>
      </c>
      <c r="U8" s="129">
        <v>1.0829646407581999E-2</v>
      </c>
      <c r="V8" s="129">
        <v>2.8377800559344701E-2</v>
      </c>
    </row>
    <row r="9" spans="1:22" x14ac:dyDescent="0.4">
      <c r="A9" s="120" t="s">
        <v>2</v>
      </c>
      <c r="B9" s="121" t="s">
        <v>175</v>
      </c>
      <c r="C9" s="329" t="s">
        <v>175</v>
      </c>
      <c r="D9" s="322"/>
      <c r="E9" s="121" t="s">
        <v>25</v>
      </c>
      <c r="F9" s="122">
        <v>132513068.63</v>
      </c>
      <c r="G9" s="123">
        <v>0</v>
      </c>
      <c r="H9" s="123">
        <v>-15020328.869999999</v>
      </c>
      <c r="I9" s="123">
        <v>0</v>
      </c>
      <c r="J9" s="123">
        <v>0</v>
      </c>
      <c r="K9" s="122">
        <v>117492739.76000001</v>
      </c>
      <c r="L9" s="122">
        <v>33501.919999999998</v>
      </c>
      <c r="M9" s="122">
        <v>-20542.61</v>
      </c>
      <c r="N9" s="122">
        <v>16609.900000000001</v>
      </c>
      <c r="O9" s="123">
        <v>0</v>
      </c>
      <c r="P9" s="123">
        <v>0</v>
      </c>
      <c r="Q9" s="122">
        <v>117522308.97</v>
      </c>
      <c r="R9" s="124">
        <v>0</v>
      </c>
      <c r="S9" s="123">
        <v>0</v>
      </c>
      <c r="T9" s="124">
        <v>2.85140342019717E-2</v>
      </c>
      <c r="U9" s="124">
        <v>1.1029881528400599E-2</v>
      </c>
      <c r="V9" s="124">
        <v>2.95781595279739E-2</v>
      </c>
    </row>
    <row r="10" spans="1:22" x14ac:dyDescent="0.4">
      <c r="A10" s="125" t="s">
        <v>2</v>
      </c>
      <c r="B10" s="126" t="s">
        <v>163</v>
      </c>
      <c r="C10" s="330" t="s">
        <v>163</v>
      </c>
      <c r="D10" s="322"/>
      <c r="E10" s="126" t="s">
        <v>25</v>
      </c>
      <c r="F10" s="127">
        <v>50004931.549999997</v>
      </c>
      <c r="G10" s="128">
        <v>0</v>
      </c>
      <c r="H10" s="128">
        <v>-7671.27</v>
      </c>
      <c r="I10" s="128">
        <v>0</v>
      </c>
      <c r="J10" s="128">
        <v>0</v>
      </c>
      <c r="K10" s="127">
        <v>49997260.280000001</v>
      </c>
      <c r="L10" s="127">
        <v>13810.35</v>
      </c>
      <c r="M10" s="127">
        <v>-8395.81</v>
      </c>
      <c r="N10" s="127">
        <v>6818.39</v>
      </c>
      <c r="O10" s="128">
        <v>0</v>
      </c>
      <c r="P10" s="128">
        <v>0</v>
      </c>
      <c r="Q10" s="127">
        <v>50009493.210000001</v>
      </c>
      <c r="R10" s="129">
        <v>0</v>
      </c>
      <c r="S10" s="128">
        <v>0</v>
      </c>
      <c r="T10" s="129">
        <v>2.76222135426177E-2</v>
      </c>
      <c r="U10" s="129">
        <v>1.0829673405456401E-2</v>
      </c>
      <c r="V10" s="129">
        <v>2.8379095015483899E-2</v>
      </c>
    </row>
    <row r="11" spans="1:22" ht="14.5" customHeight="1" x14ac:dyDescent="0.4">
      <c r="A11" s="331" t="s">
        <v>61</v>
      </c>
      <c r="B11" s="332"/>
      <c r="C11" s="332"/>
      <c r="D11" s="332"/>
      <c r="E11" s="332"/>
      <c r="F11" s="130">
        <v>205533590.373</v>
      </c>
      <c r="G11" s="131">
        <v>0</v>
      </c>
      <c r="H11" s="131">
        <v>-15028000.140000001</v>
      </c>
      <c r="I11" s="131">
        <v>0</v>
      </c>
      <c r="J11" s="131">
        <v>0</v>
      </c>
      <c r="K11" s="130">
        <v>190505590.23300001</v>
      </c>
      <c r="L11" s="130">
        <v>53669.39</v>
      </c>
      <c r="M11" s="130">
        <v>-32803.06</v>
      </c>
      <c r="N11" s="130">
        <v>26566.9</v>
      </c>
      <c r="O11" s="131">
        <v>0</v>
      </c>
      <c r="P11" s="131">
        <v>0</v>
      </c>
      <c r="Q11" s="130">
        <v>190553023.463</v>
      </c>
      <c r="R11" s="132">
        <v>0</v>
      </c>
      <c r="S11" s="133" t="s">
        <v>2</v>
      </c>
      <c r="T11" s="133" t="s">
        <v>2</v>
      </c>
      <c r="U11" s="133" t="s">
        <v>2</v>
      </c>
      <c r="V11" s="133" t="s">
        <v>2</v>
      </c>
    </row>
    <row r="12" spans="1:22" x14ac:dyDescent="0.4">
      <c r="A12" s="120" t="s">
        <v>2</v>
      </c>
      <c r="B12" s="321" t="s">
        <v>57</v>
      </c>
      <c r="C12" s="322"/>
      <c r="D12" s="322"/>
      <c r="E12" s="322"/>
      <c r="F12" s="130">
        <v>205533590.373</v>
      </c>
      <c r="G12" s="131">
        <v>0</v>
      </c>
      <c r="H12" s="131">
        <v>-15028000.140000001</v>
      </c>
      <c r="I12" s="131">
        <v>0</v>
      </c>
      <c r="J12" s="131">
        <v>0</v>
      </c>
      <c r="K12" s="130">
        <v>190505590.23300001</v>
      </c>
      <c r="L12" s="130">
        <v>53669.39</v>
      </c>
      <c r="M12" s="130">
        <v>-32803.06</v>
      </c>
      <c r="N12" s="130">
        <v>26566.9</v>
      </c>
      <c r="O12" s="131">
        <v>0</v>
      </c>
      <c r="P12" s="131">
        <v>0</v>
      </c>
      <c r="Q12" s="130">
        <v>190553023.463</v>
      </c>
      <c r="R12" s="132">
        <v>0</v>
      </c>
      <c r="S12" s="134" t="s">
        <v>2</v>
      </c>
      <c r="T12" s="135">
        <v>2.8172081425200699E-2</v>
      </c>
      <c r="U12" s="135">
        <v>1.09531326479602E-2</v>
      </c>
      <c r="V12" s="135">
        <v>2.4898602682465298E-2</v>
      </c>
    </row>
    <row r="13" spans="1:22" ht="8.15" customHeight="1" x14ac:dyDescent="0.4"/>
    <row r="14" spans="1:22" ht="15" thickBot="1" x14ac:dyDescent="0.45"/>
    <row r="15" spans="1:22" ht="17.149999999999999" x14ac:dyDescent="0.4">
      <c r="C15" s="96" t="s">
        <v>60</v>
      </c>
      <c r="D15" s="97">
        <f>VLOOKUP(C15,$B$7:$Q$10,16,FALSE)</f>
        <v>25372.073</v>
      </c>
      <c r="E15" s="53"/>
      <c r="F15" s="82"/>
      <c r="G15" s="82"/>
      <c r="H15" s="91" t="s">
        <v>161</v>
      </c>
      <c r="I15" s="98">
        <f>SUM(D15:D18)</f>
        <v>190553023.463</v>
      </c>
      <c r="J15" s="95"/>
      <c r="K15" s="95"/>
      <c r="L15" s="95"/>
      <c r="M15" s="95"/>
      <c r="N15" s="95"/>
      <c r="O15" s="95"/>
      <c r="P15" s="95"/>
      <c r="Q15" s="95"/>
    </row>
    <row r="16" spans="1:22" x14ac:dyDescent="0.4">
      <c r="C16" s="99" t="s">
        <v>31</v>
      </c>
      <c r="D16" s="100">
        <f t="shared" ref="D16:D18" si="0">VLOOKUP(C16,$B$7:$Q$10,16,FALSE)</f>
        <v>22995849.210000001</v>
      </c>
      <c r="E16" s="48" t="str">
        <f>VLOOKUP(C16,InvestorCategories,2,FALSE)</f>
        <v>(g) Non-profits</v>
      </c>
      <c r="F16" s="85"/>
      <c r="G16" s="85"/>
      <c r="H16" s="85"/>
      <c r="I16" s="92"/>
      <c r="J16" s="95"/>
      <c r="K16" s="95"/>
      <c r="L16" s="95"/>
      <c r="M16" s="95"/>
      <c r="N16" s="95"/>
      <c r="O16" s="95"/>
      <c r="P16" s="95"/>
      <c r="Q16" s="95"/>
    </row>
    <row r="17" spans="3:17" x14ac:dyDescent="0.4">
      <c r="C17" s="99" t="s">
        <v>175</v>
      </c>
      <c r="D17" s="100">
        <f t="shared" si="0"/>
        <v>117522308.97</v>
      </c>
      <c r="E17" s="48"/>
      <c r="F17" s="85"/>
      <c r="G17" s="85"/>
      <c r="H17" s="51" t="s">
        <v>142</v>
      </c>
      <c r="I17" s="101">
        <f>SUMIFS($D$15:$D$23,$E$15:$E$23,H17)/$I$15</f>
        <v>0.12067952946684755</v>
      </c>
      <c r="J17" s="95"/>
      <c r="K17" s="95"/>
      <c r="L17" s="95"/>
      <c r="M17" s="95"/>
      <c r="N17" s="95"/>
      <c r="O17" s="95"/>
      <c r="P17" s="95"/>
      <c r="Q17" s="95"/>
    </row>
    <row r="18" spans="3:17" x14ac:dyDescent="0.4">
      <c r="C18" s="102" t="s">
        <v>163</v>
      </c>
      <c r="D18" s="100">
        <f t="shared" si="0"/>
        <v>50009493.210000001</v>
      </c>
      <c r="E18" s="48"/>
      <c r="F18" s="85"/>
      <c r="G18" s="85"/>
      <c r="H18" s="51" t="s">
        <v>139</v>
      </c>
      <c r="I18" s="101">
        <f>SUMIFS($D$15:$D$23,$E$15:$E$23,H18)/$I$15</f>
        <v>0.87918732085891016</v>
      </c>
      <c r="J18" s="95"/>
      <c r="K18" s="95"/>
      <c r="L18" s="95"/>
      <c r="M18" s="95"/>
      <c r="N18" s="95"/>
      <c r="O18" s="95"/>
      <c r="P18" s="95"/>
      <c r="Q18" s="95"/>
    </row>
    <row r="19" spans="3:17" x14ac:dyDescent="0.4">
      <c r="C19" s="99" t="s">
        <v>134</v>
      </c>
      <c r="D19" s="100">
        <f>(SUMIFS(USG_M7,USGNoteHolders,USG_InvestorCapitalPerf!C19)+SUMIFS(USG_M6,USGNoteHolders,USG_InvestorCapitalPerf!C19))/SUM(USG_M7,USG_M6)*SUM($D$17:$D$18)</f>
        <v>55010442.506865673</v>
      </c>
      <c r="E19" s="48" t="str">
        <f>VLOOKUP(C19,InvestorCategories,2,FALSE)</f>
        <v xml:space="preserve">(d) Insurance companies </v>
      </c>
      <c r="F19" s="85"/>
      <c r="G19" s="85"/>
      <c r="H19" s="85"/>
      <c r="I19" s="92"/>
      <c r="J19" s="95"/>
      <c r="K19" s="95"/>
      <c r="L19" s="95"/>
      <c r="M19" s="95"/>
      <c r="N19" s="95"/>
      <c r="O19" s="95"/>
      <c r="P19" s="95"/>
      <c r="Q19" s="95"/>
    </row>
    <row r="20" spans="3:17" x14ac:dyDescent="0.4">
      <c r="C20" s="99" t="s">
        <v>135</v>
      </c>
      <c r="D20" s="100">
        <f>(SUMIFS(USG_M7,USGNoteHolders,USG_InvestorCapitalPerf!C20)+SUMIFS(USG_M6,USGNoteHolders,USG_InvestorCapitalPerf!C20))/SUM(USG_M7,USG_M6)*SUM($D$17:$D$18)</f>
        <v>50009493.188059703</v>
      </c>
      <c r="E20" s="48" t="str">
        <f>VLOOKUP(C20,InvestorCategories,2,FALSE)</f>
        <v xml:space="preserve">(d) Insurance companies </v>
      </c>
      <c r="F20" s="85"/>
      <c r="G20" s="85"/>
      <c r="H20" s="85" t="s">
        <v>157</v>
      </c>
      <c r="I20" s="92"/>
      <c r="J20" s="95"/>
      <c r="K20" s="95"/>
      <c r="L20" s="95"/>
      <c r="M20" s="95"/>
      <c r="N20" s="95"/>
      <c r="O20" s="95"/>
      <c r="P20" s="95"/>
      <c r="Q20" s="95"/>
    </row>
    <row r="21" spans="3:17" x14ac:dyDescent="0.4">
      <c r="C21" s="99" t="s">
        <v>127</v>
      </c>
      <c r="D21" s="100">
        <f>(SUMIFS(USG_M7,USGNoteHolders,USG_InvestorCapitalPerf!C21)+SUMIFS(USG_M6,USGNoteHolders,USG_InvestorCapitalPerf!C21))/SUM(USG_M7,USG_M6)*SUM($D$17:$D$18)</f>
        <v>0</v>
      </c>
      <c r="E21" s="48" t="str">
        <f>VLOOKUP(C21,InvestorCategories,2,FALSE)</f>
        <v xml:space="preserve">(d) Insurance companies </v>
      </c>
      <c r="F21" s="85"/>
      <c r="G21" s="85"/>
      <c r="H21" s="85" t="s">
        <v>167</v>
      </c>
      <c r="I21" s="86">
        <f>MAX(D15:D16,D19:D23)/Q11</f>
        <v>0.28868837401337344</v>
      </c>
      <c r="J21" s="95"/>
      <c r="K21" s="95"/>
      <c r="L21" s="95"/>
      <c r="M21" s="95"/>
      <c r="N21" s="95"/>
      <c r="O21" s="95"/>
      <c r="P21" s="95"/>
      <c r="Q21" s="95"/>
    </row>
    <row r="22" spans="3:17" x14ac:dyDescent="0.4">
      <c r="C22" s="99" t="s">
        <v>132</v>
      </c>
      <c r="D22" s="100">
        <f>(SUMIFS(USG_M7,USGNoteHolders,USG_InvestorCapitalPerf!C22)+SUMIFS(USG_M6,USGNoteHolders,USG_InvestorCapitalPerf!C22))/SUM(USG_M7,USG_M6)*SUM($D$17:$D$18)</f>
        <v>47509018.528656714</v>
      </c>
      <c r="E22" s="48" t="str">
        <f>VLOOKUP(C22,InvestorCategories,2,FALSE)</f>
        <v xml:space="preserve">(d) Insurance companies </v>
      </c>
      <c r="F22" s="85"/>
      <c r="G22" s="85"/>
      <c r="H22" s="85" t="s">
        <v>168</v>
      </c>
      <c r="I22" s="92">
        <v>5</v>
      </c>
      <c r="J22" s="95"/>
      <c r="K22" s="95"/>
      <c r="L22" s="95"/>
      <c r="M22" s="95"/>
      <c r="N22" s="95"/>
      <c r="O22" s="95"/>
      <c r="P22" s="95"/>
      <c r="Q22" s="95"/>
    </row>
    <row r="23" spans="3:17" ht="15" thickBot="1" x14ac:dyDescent="0.45">
      <c r="C23" s="103" t="s">
        <v>130</v>
      </c>
      <c r="D23" s="104">
        <f>(SUMIFS(USG_M7,USGNoteHolders,USG_InvestorCapitalPerf!C23)+SUMIFS(USG_M6,USGNoteHolders,USG_InvestorCapitalPerf!C23))/SUM(USG_M7,USG_M6)*SUM($D$17:$D$18)</f>
        <v>15002847.956417911</v>
      </c>
      <c r="E23" s="56" t="str">
        <f>VLOOKUP(C23,InvestorCategories,2,FALSE)</f>
        <v xml:space="preserve">(d) Insurance companies </v>
      </c>
      <c r="F23" s="89"/>
      <c r="G23" s="89"/>
      <c r="H23" s="89"/>
      <c r="I23" s="90"/>
      <c r="J23" s="95"/>
      <c r="K23" s="95"/>
      <c r="L23" s="95"/>
      <c r="M23" s="95"/>
      <c r="N23" s="95"/>
      <c r="O23" s="95"/>
      <c r="P23" s="95"/>
      <c r="Q23" s="95"/>
    </row>
    <row r="24" spans="3:17" x14ac:dyDescent="0.4"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</row>
    <row r="25" spans="3:17" x14ac:dyDescent="0.4"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5"/>
      <c r="Q25" s="95"/>
    </row>
    <row r="26" spans="3:17" x14ac:dyDescent="0.4"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</row>
    <row r="27" spans="3:17" x14ac:dyDescent="0.4">
      <c r="C27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</row>
    <row r="28" spans="3:17" x14ac:dyDescent="0.4">
      <c r="C28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3:17" x14ac:dyDescent="0.4">
      <c r="C29"/>
    </row>
    <row r="30" spans="3:17" x14ac:dyDescent="0.4">
      <c r="C30"/>
    </row>
    <row r="31" spans="3:17" x14ac:dyDescent="0.4">
      <c r="C31"/>
    </row>
    <row r="32" spans="3:17" x14ac:dyDescent="0.4">
      <c r="C32"/>
    </row>
    <row r="33" spans="3:3" x14ac:dyDescent="0.4">
      <c r="C33"/>
    </row>
    <row r="34" spans="3:3" x14ac:dyDescent="0.4">
      <c r="C34"/>
    </row>
  </sheetData>
  <mergeCells count="12">
    <mergeCell ref="B12:E12"/>
    <mergeCell ref="A1:C1"/>
    <mergeCell ref="A2:V2"/>
    <mergeCell ref="A3:V3"/>
    <mergeCell ref="A4:V4"/>
    <mergeCell ref="C5:D5"/>
    <mergeCell ref="A6:E6"/>
    <mergeCell ref="C7:D7"/>
    <mergeCell ref="C8:D8"/>
    <mergeCell ref="C9:D9"/>
    <mergeCell ref="C10:D10"/>
    <mergeCell ref="A11:E11"/>
  </mergeCells>
  <pageMargins left="0.15" right="0.15" top="0.2" bottom="0.35365000000000002" header="0.2" footer="0.2"/>
  <pageSetup paperSize="0" orientation="landscape" horizontalDpi="300" verticalDpi="300"/>
  <headerFooter alignWithMargins="0">
    <oddFooter>&amp;L&amp;"Tahoma,Regular"&amp;8 Created on 10/1/2021 12:13:23 PM &amp;C&amp;"Tahoma,Regular"&amp;8 1 of 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"/>
  <sheetViews>
    <sheetView showGridLines="0" zoomScale="115" zoomScaleNormal="115" workbookViewId="0">
      <pane ySplit="1" topLeftCell="A2" activePane="bottomLeft" state="frozen"/>
      <selection pane="bottomLeft" activeCell="A2" sqref="A2:V2"/>
    </sheetView>
  </sheetViews>
  <sheetFormatPr defaultRowHeight="14.6" x14ac:dyDescent="0.4"/>
  <cols>
    <col min="1" max="1" width="1.4609375" customWidth="1"/>
    <col min="2" max="2" width="27.4609375" customWidth="1"/>
    <col min="3" max="3" width="30.3828125" bestFit="1" customWidth="1"/>
    <col min="4" max="4" width="9.61328125" bestFit="1" customWidth="1"/>
    <col min="5" max="5" width="21.921875" bestFit="1" customWidth="1"/>
    <col min="6" max="6" width="21.921875" style="1" bestFit="1" customWidth="1"/>
    <col min="7" max="7" width="9.921875" bestFit="1" customWidth="1"/>
    <col min="8" max="8" width="8.84375" customWidth="1"/>
    <col min="9" max="9" width="16.15234375" customWidth="1"/>
    <col min="10" max="10" width="9.921875" bestFit="1" customWidth="1"/>
    <col min="11" max="11" width="7.3828125" customWidth="1"/>
    <col min="12" max="12" width="15.69140625" customWidth="1"/>
    <col min="13" max="13" width="7.3828125" bestFit="1" customWidth="1"/>
    <col min="14" max="14" width="15.53515625" bestFit="1" customWidth="1"/>
    <col min="15" max="15" width="12.53515625" bestFit="1" customWidth="1"/>
    <col min="16" max="16" width="6.15234375" customWidth="1"/>
    <col min="17" max="17" width="11.07421875" bestFit="1" customWidth="1"/>
    <col min="18" max="19" width="8.23046875" customWidth="1"/>
    <col min="20" max="20" width="16.4609375" bestFit="1" customWidth="1"/>
    <col min="21" max="22" width="6.84375" customWidth="1"/>
    <col min="23" max="23" width="8.23046875" customWidth="1"/>
  </cols>
  <sheetData>
    <row r="1" spans="1:22" ht="57.65" customHeight="1" x14ac:dyDescent="0.4">
      <c r="A1" s="333"/>
      <c r="B1" s="333"/>
      <c r="C1" s="33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3" customHeight="1" x14ac:dyDescent="0.4">
      <c r="A2" s="334" t="s">
        <v>0</v>
      </c>
      <c r="B2" s="333"/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</row>
    <row r="3" spans="1:22" ht="14.5" customHeight="1" x14ac:dyDescent="0.4">
      <c r="A3" s="335" t="s">
        <v>1</v>
      </c>
      <c r="B3" s="333"/>
      <c r="C3" s="333"/>
      <c r="D3" s="333"/>
      <c r="E3" s="333"/>
      <c r="F3" s="333"/>
      <c r="G3" s="333"/>
      <c r="H3" s="333"/>
      <c r="I3" s="333"/>
      <c r="J3" s="333"/>
      <c r="K3" s="333"/>
      <c r="L3" s="333"/>
      <c r="M3" s="333"/>
      <c r="N3" s="333"/>
      <c r="O3" s="333"/>
      <c r="P3" s="333"/>
      <c r="Q3" s="333"/>
      <c r="R3" s="333"/>
      <c r="S3" s="333"/>
      <c r="T3" s="333"/>
      <c r="U3" s="333"/>
      <c r="V3" s="333"/>
    </row>
    <row r="4" spans="1:22" ht="12.25" customHeight="1" x14ac:dyDescent="0.4">
      <c r="A4" s="336" t="s">
        <v>162</v>
      </c>
      <c r="B4" s="333"/>
      <c r="C4" s="333"/>
      <c r="D4" s="333"/>
      <c r="E4" s="333"/>
      <c r="F4" s="333"/>
      <c r="G4" s="333"/>
      <c r="H4" s="333"/>
      <c r="I4" s="333"/>
      <c r="J4" s="333"/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3"/>
      <c r="V4" s="333"/>
    </row>
    <row r="5" spans="1:22" ht="29.05" customHeight="1" x14ac:dyDescent="0.4">
      <c r="A5" s="4" t="s">
        <v>2</v>
      </c>
      <c r="B5" s="3" t="s">
        <v>3</v>
      </c>
      <c r="C5" s="337" t="s">
        <v>4</v>
      </c>
      <c r="D5" s="338"/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</row>
    <row r="6" spans="1:22" ht="15" customHeight="1" x14ac:dyDescent="0.4">
      <c r="A6" s="328" t="s">
        <v>23</v>
      </c>
      <c r="B6" s="322"/>
      <c r="C6" s="322"/>
      <c r="D6" s="322"/>
      <c r="E6" s="322"/>
      <c r="F6" s="118" t="s">
        <v>2</v>
      </c>
      <c r="G6" s="118" t="s">
        <v>2</v>
      </c>
      <c r="H6" s="118" t="s">
        <v>2</v>
      </c>
      <c r="I6" s="118" t="s">
        <v>2</v>
      </c>
      <c r="J6" s="118" t="s">
        <v>2</v>
      </c>
      <c r="K6" s="119" t="s">
        <v>2</v>
      </c>
      <c r="L6" s="118" t="s">
        <v>2</v>
      </c>
      <c r="M6" s="119" t="s">
        <v>2</v>
      </c>
      <c r="N6" s="118" t="s">
        <v>2</v>
      </c>
      <c r="O6" s="118" t="s">
        <v>2</v>
      </c>
      <c r="P6" s="118" t="s">
        <v>2</v>
      </c>
      <c r="Q6" s="118" t="s">
        <v>2</v>
      </c>
      <c r="R6" s="118" t="s">
        <v>2</v>
      </c>
      <c r="S6" s="118" t="s">
        <v>2</v>
      </c>
      <c r="T6" s="118" t="s">
        <v>2</v>
      </c>
      <c r="U6" s="118" t="s">
        <v>2</v>
      </c>
      <c r="V6" s="118" t="s">
        <v>2</v>
      </c>
    </row>
    <row r="7" spans="1:22" x14ac:dyDescent="0.4">
      <c r="A7" s="120" t="s">
        <v>2</v>
      </c>
      <c r="B7" s="121" t="s">
        <v>24</v>
      </c>
      <c r="C7" s="329" t="s">
        <v>24</v>
      </c>
      <c r="D7" s="322"/>
      <c r="E7" s="121" t="s">
        <v>25</v>
      </c>
      <c r="F7" s="122">
        <v>150716949.46720001</v>
      </c>
      <c r="G7" s="123">
        <v>0</v>
      </c>
      <c r="H7" s="123">
        <v>0</v>
      </c>
      <c r="I7" s="123">
        <v>0</v>
      </c>
      <c r="J7" s="123">
        <v>0</v>
      </c>
      <c r="K7" s="122">
        <v>150716949.46720001</v>
      </c>
      <c r="L7" s="122">
        <v>104116.58</v>
      </c>
      <c r="M7" s="122">
        <v>-35691.01</v>
      </c>
      <c r="N7" s="122">
        <v>4088.72</v>
      </c>
      <c r="O7" s="123">
        <v>0</v>
      </c>
      <c r="P7" s="123">
        <v>0</v>
      </c>
      <c r="Q7" s="122">
        <v>150789463.7572</v>
      </c>
      <c r="R7" s="124">
        <v>0</v>
      </c>
      <c r="S7" s="123">
        <v>0</v>
      </c>
      <c r="T7" s="124">
        <v>6.9080870046841394E-2</v>
      </c>
      <c r="U7" s="124">
        <v>4.54000497235987E-2</v>
      </c>
      <c r="V7" s="124">
        <v>4.8112896562958203E-2</v>
      </c>
    </row>
    <row r="8" spans="1:22" x14ac:dyDescent="0.4">
      <c r="A8" s="125" t="s">
        <v>2</v>
      </c>
      <c r="B8" s="126" t="s">
        <v>26</v>
      </c>
      <c r="C8" s="330" t="s">
        <v>26</v>
      </c>
      <c r="D8" s="322"/>
      <c r="E8" s="126" t="s">
        <v>25</v>
      </c>
      <c r="F8" s="127">
        <v>1765379.4720000001</v>
      </c>
      <c r="G8" s="128">
        <v>0</v>
      </c>
      <c r="H8" s="128">
        <v>-1765590.3019999999</v>
      </c>
      <c r="I8" s="128">
        <v>0</v>
      </c>
      <c r="J8" s="128">
        <v>0</v>
      </c>
      <c r="K8" s="127">
        <v>-210.83</v>
      </c>
      <c r="L8" s="127">
        <v>348.56</v>
      </c>
      <c r="M8" s="127">
        <v>-134.83000000000001</v>
      </c>
      <c r="N8" s="127">
        <v>-2.9</v>
      </c>
      <c r="O8" s="128">
        <v>0</v>
      </c>
      <c r="P8" s="128">
        <v>0</v>
      </c>
      <c r="Q8" s="127">
        <v>0</v>
      </c>
      <c r="R8" s="129">
        <v>0</v>
      </c>
      <c r="S8" s="128">
        <v>0</v>
      </c>
      <c r="T8" s="129">
        <v>-165.327515059527</v>
      </c>
      <c r="U8" s="129">
        <v>-101.37551581843201</v>
      </c>
      <c r="V8" s="129">
        <v>-100</v>
      </c>
    </row>
    <row r="9" spans="1:22" x14ac:dyDescent="0.4">
      <c r="A9" s="120" t="s">
        <v>2</v>
      </c>
      <c r="B9" s="121" t="s">
        <v>27</v>
      </c>
      <c r="C9" s="329" t="s">
        <v>27</v>
      </c>
      <c r="D9" s="322"/>
      <c r="E9" s="121" t="s">
        <v>25</v>
      </c>
      <c r="F9" s="122">
        <v>50404682.608599998</v>
      </c>
      <c r="G9" s="123">
        <v>0</v>
      </c>
      <c r="H9" s="123">
        <v>0</v>
      </c>
      <c r="I9" s="123">
        <v>0</v>
      </c>
      <c r="J9" s="123">
        <v>0</v>
      </c>
      <c r="K9" s="122">
        <v>50404682.608599998</v>
      </c>
      <c r="L9" s="122">
        <v>34820</v>
      </c>
      <c r="M9" s="122">
        <v>-11936.25</v>
      </c>
      <c r="N9" s="122">
        <v>1367.4</v>
      </c>
      <c r="O9" s="123">
        <v>0</v>
      </c>
      <c r="P9" s="123">
        <v>0</v>
      </c>
      <c r="Q9" s="122">
        <v>50428933.758599997</v>
      </c>
      <c r="R9" s="124">
        <v>0</v>
      </c>
      <c r="S9" s="123">
        <v>0</v>
      </c>
      <c r="T9" s="124">
        <v>6.9080883358362905E-2</v>
      </c>
      <c r="U9" s="124">
        <v>4.5400047804478399E-2</v>
      </c>
      <c r="V9" s="124">
        <v>4.8112890995294699E-2</v>
      </c>
    </row>
    <row r="10" spans="1:22" x14ac:dyDescent="0.4">
      <c r="A10" s="125" t="s">
        <v>2</v>
      </c>
      <c r="B10" s="126" t="s">
        <v>28</v>
      </c>
      <c r="C10" s="330" t="s">
        <v>28</v>
      </c>
      <c r="D10" s="322"/>
      <c r="E10" s="126" t="s">
        <v>25</v>
      </c>
      <c r="F10" s="127">
        <v>60210770.945500001</v>
      </c>
      <c r="G10" s="128">
        <v>0</v>
      </c>
      <c r="H10" s="128">
        <v>0</v>
      </c>
      <c r="I10" s="128">
        <v>0</v>
      </c>
      <c r="J10" s="128">
        <v>0</v>
      </c>
      <c r="K10" s="127">
        <v>60210770.945500001</v>
      </c>
      <c r="L10" s="127">
        <v>41594.129999999997</v>
      </c>
      <c r="M10" s="127">
        <v>-14258.39</v>
      </c>
      <c r="N10" s="127">
        <v>1633.43</v>
      </c>
      <c r="O10" s="128">
        <v>0</v>
      </c>
      <c r="P10" s="128">
        <v>0</v>
      </c>
      <c r="Q10" s="127">
        <v>60239740.115500003</v>
      </c>
      <c r="R10" s="129">
        <v>0</v>
      </c>
      <c r="S10" s="128">
        <v>0</v>
      </c>
      <c r="T10" s="129">
        <v>6.9080879295913805E-2</v>
      </c>
      <c r="U10" s="129">
        <v>4.5400083026246298E-2</v>
      </c>
      <c r="V10" s="129">
        <v>4.8112936514666998E-2</v>
      </c>
    </row>
    <row r="11" spans="1:22" x14ac:dyDescent="0.4">
      <c r="A11" s="120" t="s">
        <v>2</v>
      </c>
      <c r="B11" s="121" t="s">
        <v>29</v>
      </c>
      <c r="C11" s="329" t="s">
        <v>29</v>
      </c>
      <c r="D11" s="322"/>
      <c r="E11" s="121" t="s">
        <v>25</v>
      </c>
      <c r="F11" s="122">
        <v>27932.676500000001</v>
      </c>
      <c r="G11" s="123">
        <v>0</v>
      </c>
      <c r="H11" s="123">
        <v>0</v>
      </c>
      <c r="I11" s="123">
        <v>0</v>
      </c>
      <c r="J11" s="123">
        <v>0</v>
      </c>
      <c r="K11" s="122">
        <v>27932.676500000001</v>
      </c>
      <c r="L11" s="122">
        <v>19.28</v>
      </c>
      <c r="M11" s="122">
        <v>-6.61</v>
      </c>
      <c r="N11" s="122">
        <v>0.75</v>
      </c>
      <c r="O11" s="123">
        <v>0</v>
      </c>
      <c r="P11" s="123">
        <v>0</v>
      </c>
      <c r="Q11" s="122">
        <v>27946.0965</v>
      </c>
      <c r="R11" s="124">
        <v>0</v>
      </c>
      <c r="S11" s="123">
        <v>0</v>
      </c>
      <c r="T11" s="124">
        <v>6.9023102744916007E-2</v>
      </c>
      <c r="U11" s="124">
        <v>4.5359061814215999E-2</v>
      </c>
      <c r="V11" s="124">
        <v>4.8044089151284899E-2</v>
      </c>
    </row>
    <row r="12" spans="1:22" s="1" customFormat="1" x14ac:dyDescent="0.4">
      <c r="A12" s="125" t="s">
        <v>2</v>
      </c>
      <c r="B12" s="126" t="s">
        <v>169</v>
      </c>
      <c r="C12" s="330" t="s">
        <v>169</v>
      </c>
      <c r="D12" s="322"/>
      <c r="E12" s="126" t="s">
        <v>25</v>
      </c>
      <c r="F12" s="127">
        <v>0</v>
      </c>
      <c r="G12" s="128">
        <v>60000000</v>
      </c>
      <c r="H12" s="128">
        <v>0</v>
      </c>
      <c r="I12" s="128">
        <v>0</v>
      </c>
      <c r="J12" s="128">
        <v>0</v>
      </c>
      <c r="K12" s="127">
        <v>60000000</v>
      </c>
      <c r="L12" s="127">
        <v>29598.94</v>
      </c>
      <c r="M12" s="127">
        <v>-9624.99</v>
      </c>
      <c r="N12" s="127">
        <v>1726.07</v>
      </c>
      <c r="O12" s="128">
        <v>0</v>
      </c>
      <c r="P12" s="128">
        <v>0</v>
      </c>
      <c r="Q12" s="127">
        <v>60021700.020000003</v>
      </c>
      <c r="R12" s="129">
        <v>0</v>
      </c>
      <c r="S12" s="128">
        <v>0</v>
      </c>
      <c r="T12" s="129">
        <v>4.9331566666666701E-2</v>
      </c>
      <c r="U12" s="129">
        <v>3.3289916666666697E-2</v>
      </c>
      <c r="V12" s="129">
        <v>3.6166700000000003E-2</v>
      </c>
    </row>
    <row r="13" spans="1:22" s="1" customFormat="1" x14ac:dyDescent="0.4">
      <c r="A13" s="120" t="s">
        <v>2</v>
      </c>
      <c r="B13" s="121" t="s">
        <v>170</v>
      </c>
      <c r="C13" s="329" t="s">
        <v>170</v>
      </c>
      <c r="D13" s="322"/>
      <c r="E13" s="121" t="s">
        <v>25</v>
      </c>
      <c r="F13" s="122">
        <v>0</v>
      </c>
      <c r="G13" s="123">
        <v>12000000</v>
      </c>
      <c r="H13" s="123">
        <v>0</v>
      </c>
      <c r="I13" s="123">
        <v>0</v>
      </c>
      <c r="J13" s="123">
        <v>0</v>
      </c>
      <c r="K13" s="122">
        <v>12000000</v>
      </c>
      <c r="L13" s="122">
        <v>5919.79</v>
      </c>
      <c r="M13" s="122">
        <v>-1925</v>
      </c>
      <c r="N13" s="122">
        <v>345.21</v>
      </c>
      <c r="O13" s="123">
        <v>0</v>
      </c>
      <c r="P13" s="123">
        <v>0</v>
      </c>
      <c r="Q13" s="122">
        <v>12004340</v>
      </c>
      <c r="R13" s="124">
        <v>0</v>
      </c>
      <c r="S13" s="123">
        <v>0</v>
      </c>
      <c r="T13" s="124">
        <v>4.9331583333333297E-2</v>
      </c>
      <c r="U13" s="124">
        <v>3.3289916666666697E-2</v>
      </c>
      <c r="V13" s="124">
        <v>3.6166666666666701E-2</v>
      </c>
    </row>
    <row r="14" spans="1:22" x14ac:dyDescent="0.4">
      <c r="A14" s="125" t="s">
        <v>2</v>
      </c>
      <c r="B14" s="126" t="s">
        <v>30</v>
      </c>
      <c r="C14" s="330" t="s">
        <v>30</v>
      </c>
      <c r="D14" s="322"/>
      <c r="E14" s="126" t="s">
        <v>25</v>
      </c>
      <c r="F14" s="127">
        <v>178243314.0756</v>
      </c>
      <c r="G14" s="128">
        <v>0</v>
      </c>
      <c r="H14" s="128">
        <v>-21764599.73</v>
      </c>
      <c r="I14" s="128">
        <v>0</v>
      </c>
      <c r="J14" s="128">
        <v>0</v>
      </c>
      <c r="K14" s="127">
        <v>156478714.34560001</v>
      </c>
      <c r="L14" s="127">
        <v>112395.2</v>
      </c>
      <c r="M14" s="127">
        <v>-38718.03</v>
      </c>
      <c r="N14" s="127">
        <v>4209.34</v>
      </c>
      <c r="O14" s="128">
        <v>0</v>
      </c>
      <c r="P14" s="128">
        <v>0</v>
      </c>
      <c r="Q14" s="127">
        <v>156556600.8556</v>
      </c>
      <c r="R14" s="129">
        <v>0</v>
      </c>
      <c r="S14" s="128">
        <v>0</v>
      </c>
      <c r="T14" s="129">
        <v>7.1827788507875398E-2</v>
      </c>
      <c r="U14" s="129">
        <v>4.70844678831372E-2</v>
      </c>
      <c r="V14" s="129">
        <v>4.9774507878419402E-2</v>
      </c>
    </row>
    <row r="15" spans="1:22" x14ac:dyDescent="0.4">
      <c r="A15" s="120" t="s">
        <v>2</v>
      </c>
      <c r="B15" s="121" t="s">
        <v>31</v>
      </c>
      <c r="C15" s="329" t="s">
        <v>31</v>
      </c>
      <c r="D15" s="322"/>
      <c r="E15" s="121" t="s">
        <v>25</v>
      </c>
      <c r="F15" s="122">
        <v>31517912.214200001</v>
      </c>
      <c r="G15" s="123">
        <v>0</v>
      </c>
      <c r="H15" s="123">
        <v>0</v>
      </c>
      <c r="I15" s="123">
        <v>0</v>
      </c>
      <c r="J15" s="123">
        <v>0</v>
      </c>
      <c r="K15" s="122">
        <v>31517912.214200001</v>
      </c>
      <c r="L15" s="122">
        <v>21772.82</v>
      </c>
      <c r="M15" s="122">
        <v>-7463.7</v>
      </c>
      <c r="N15" s="122">
        <v>855.03</v>
      </c>
      <c r="O15" s="123">
        <v>0</v>
      </c>
      <c r="P15" s="123">
        <v>0</v>
      </c>
      <c r="Q15" s="122">
        <v>31533076.3642</v>
      </c>
      <c r="R15" s="124">
        <v>0</v>
      </c>
      <c r="S15" s="123">
        <v>0</v>
      </c>
      <c r="T15" s="124">
        <v>6.9080781277734898E-2</v>
      </c>
      <c r="U15" s="124">
        <v>4.5399961465573201E-2</v>
      </c>
      <c r="V15" s="124">
        <v>4.81127997849045E-2</v>
      </c>
    </row>
    <row r="16" spans="1:22" x14ac:dyDescent="0.4">
      <c r="A16" s="125" t="s">
        <v>2</v>
      </c>
      <c r="B16" s="126" t="s">
        <v>32</v>
      </c>
      <c r="C16" s="330" t="s">
        <v>32</v>
      </c>
      <c r="D16" s="322"/>
      <c r="E16" s="126" t="s">
        <v>25</v>
      </c>
      <c r="F16" s="127">
        <v>2016118.4172</v>
      </c>
      <c r="G16" s="128">
        <v>0</v>
      </c>
      <c r="H16" s="128">
        <v>0</v>
      </c>
      <c r="I16" s="128">
        <v>0</v>
      </c>
      <c r="J16" s="128">
        <v>0</v>
      </c>
      <c r="K16" s="127">
        <v>2016118.4172</v>
      </c>
      <c r="L16" s="127">
        <v>1392.75</v>
      </c>
      <c r="M16" s="127">
        <v>-477.44</v>
      </c>
      <c r="N16" s="127">
        <v>54.7</v>
      </c>
      <c r="O16" s="128">
        <v>0</v>
      </c>
      <c r="P16" s="128">
        <v>0</v>
      </c>
      <c r="Q16" s="127">
        <v>2017088.4272</v>
      </c>
      <c r="R16" s="129">
        <v>0</v>
      </c>
      <c r="S16" s="128">
        <v>0</v>
      </c>
      <c r="T16" s="129">
        <v>6.9080763714973695E-2</v>
      </c>
      <c r="U16" s="129">
        <v>4.53996150320966E-2</v>
      </c>
      <c r="V16" s="129">
        <v>4.8112749316935301E-2</v>
      </c>
    </row>
    <row r="17" spans="1:22" x14ac:dyDescent="0.4">
      <c r="A17" s="120" t="s">
        <v>2</v>
      </c>
      <c r="B17" s="121" t="s">
        <v>33</v>
      </c>
      <c r="C17" s="329" t="s">
        <v>33</v>
      </c>
      <c r="D17" s="322"/>
      <c r="E17" s="121" t="s">
        <v>25</v>
      </c>
      <c r="F17" s="122">
        <v>27606608.0858</v>
      </c>
      <c r="G17" s="123">
        <v>0</v>
      </c>
      <c r="H17" s="123">
        <v>0</v>
      </c>
      <c r="I17" s="123">
        <v>0</v>
      </c>
      <c r="J17" s="123">
        <v>0</v>
      </c>
      <c r="K17" s="122">
        <v>27606608.0858</v>
      </c>
      <c r="L17" s="122">
        <v>19070.89</v>
      </c>
      <c r="M17" s="122">
        <v>-6537.47</v>
      </c>
      <c r="N17" s="122">
        <v>748.93</v>
      </c>
      <c r="O17" s="123">
        <v>0</v>
      </c>
      <c r="P17" s="123">
        <v>0</v>
      </c>
      <c r="Q17" s="122">
        <v>27619890.435800001</v>
      </c>
      <c r="R17" s="124">
        <v>0</v>
      </c>
      <c r="S17" s="123">
        <v>0</v>
      </c>
      <c r="T17" s="124">
        <v>6.9080887955262696E-2</v>
      </c>
      <c r="U17" s="124">
        <v>4.5400072189407503E-2</v>
      </c>
      <c r="V17" s="124">
        <v>4.81129371588103E-2</v>
      </c>
    </row>
    <row r="18" spans="1:22" x14ac:dyDescent="0.4">
      <c r="A18" s="125" t="s">
        <v>2</v>
      </c>
      <c r="B18" s="126" t="s">
        <v>34</v>
      </c>
      <c r="C18" s="330" t="s">
        <v>34</v>
      </c>
      <c r="D18" s="322"/>
      <c r="E18" s="126" t="s">
        <v>25</v>
      </c>
      <c r="F18" s="127">
        <v>13387725.6324</v>
      </c>
      <c r="G18" s="128">
        <v>0</v>
      </c>
      <c r="H18" s="128">
        <v>0</v>
      </c>
      <c r="I18" s="128">
        <v>0</v>
      </c>
      <c r="J18" s="128">
        <v>0</v>
      </c>
      <c r="K18" s="127">
        <v>13387725.6324</v>
      </c>
      <c r="L18" s="127">
        <v>9248.35</v>
      </c>
      <c r="M18" s="127">
        <v>-3170.32</v>
      </c>
      <c r="N18" s="127">
        <v>363.19</v>
      </c>
      <c r="O18" s="128">
        <v>0</v>
      </c>
      <c r="P18" s="128">
        <v>0</v>
      </c>
      <c r="Q18" s="127">
        <v>13394166.852399999</v>
      </c>
      <c r="R18" s="129">
        <v>0</v>
      </c>
      <c r="S18" s="128">
        <v>0</v>
      </c>
      <c r="T18" s="129">
        <v>6.9080815173100205E-2</v>
      </c>
      <c r="U18" s="129">
        <v>4.5400019143583201E-2</v>
      </c>
      <c r="V18" s="129">
        <v>4.8112877249377101E-2</v>
      </c>
    </row>
    <row r="19" spans="1:22" x14ac:dyDescent="0.4">
      <c r="A19" s="120" t="s">
        <v>2</v>
      </c>
      <c r="B19" s="121" t="s">
        <v>35</v>
      </c>
      <c r="C19" s="329" t="s">
        <v>35</v>
      </c>
      <c r="D19" s="322"/>
      <c r="E19" s="121" t="s">
        <v>25</v>
      </c>
      <c r="F19" s="122">
        <v>284340593.11500001</v>
      </c>
      <c r="G19" s="123">
        <v>0</v>
      </c>
      <c r="H19" s="123">
        <v>0</v>
      </c>
      <c r="I19" s="123">
        <v>0</v>
      </c>
      <c r="J19" s="123">
        <v>0</v>
      </c>
      <c r="K19" s="122">
        <v>284340593.11500001</v>
      </c>
      <c r="L19" s="122">
        <v>196424.95999999999</v>
      </c>
      <c r="M19" s="122">
        <v>-67334.17</v>
      </c>
      <c r="N19" s="122">
        <v>7713.7</v>
      </c>
      <c r="O19" s="123">
        <v>0</v>
      </c>
      <c r="P19" s="123">
        <v>0</v>
      </c>
      <c r="Q19" s="122">
        <v>284477397.60500002</v>
      </c>
      <c r="R19" s="124">
        <v>0</v>
      </c>
      <c r="S19" s="123">
        <v>0</v>
      </c>
      <c r="T19" s="124">
        <v>6.9080871587180306E-2</v>
      </c>
      <c r="U19" s="124">
        <v>4.5400056525798198E-2</v>
      </c>
      <c r="V19" s="124">
        <v>4.8112894645566902E-2</v>
      </c>
    </row>
    <row r="20" spans="1:22" ht="14.5" customHeight="1" x14ac:dyDescent="0.4">
      <c r="A20" s="331" t="s">
        <v>36</v>
      </c>
      <c r="B20" s="332"/>
      <c r="C20" s="332"/>
      <c r="D20" s="332"/>
      <c r="E20" s="332"/>
      <c r="F20" s="130">
        <v>800237986.71000004</v>
      </c>
      <c r="G20" s="131">
        <v>72000000</v>
      </c>
      <c r="H20" s="131">
        <v>-23530190.032000002</v>
      </c>
      <c r="I20" s="131">
        <v>0</v>
      </c>
      <c r="J20" s="131">
        <v>0</v>
      </c>
      <c r="K20" s="130">
        <v>848707796.67799997</v>
      </c>
      <c r="L20" s="130">
        <v>576722.25</v>
      </c>
      <c r="M20" s="130">
        <v>-197278.21</v>
      </c>
      <c r="N20" s="130">
        <v>23103.57</v>
      </c>
      <c r="O20" s="131">
        <v>0</v>
      </c>
      <c r="P20" s="131">
        <v>0</v>
      </c>
      <c r="Q20" s="130">
        <v>849110344.28799999</v>
      </c>
      <c r="R20" s="132">
        <v>0</v>
      </c>
      <c r="S20" s="133" t="s">
        <v>2</v>
      </c>
      <c r="T20" s="133" t="s">
        <v>2</v>
      </c>
      <c r="U20" s="133" t="s">
        <v>2</v>
      </c>
      <c r="V20" s="133" t="s">
        <v>2</v>
      </c>
    </row>
    <row r="21" spans="1:22" ht="14.5" customHeight="1" x14ac:dyDescent="0.4">
      <c r="A21" s="328" t="s">
        <v>37</v>
      </c>
      <c r="B21" s="322"/>
      <c r="C21" s="322"/>
      <c r="D21" s="322"/>
      <c r="E21" s="322"/>
      <c r="F21" s="118" t="s">
        <v>2</v>
      </c>
      <c r="G21" s="118" t="s">
        <v>2</v>
      </c>
      <c r="H21" s="118" t="s">
        <v>2</v>
      </c>
      <c r="I21" s="118" t="s">
        <v>2</v>
      </c>
      <c r="J21" s="118" t="s">
        <v>2</v>
      </c>
      <c r="K21" s="119" t="s">
        <v>2</v>
      </c>
      <c r="L21" s="118" t="s">
        <v>2</v>
      </c>
      <c r="M21" s="119" t="s">
        <v>2</v>
      </c>
      <c r="N21" s="118" t="s">
        <v>2</v>
      </c>
      <c r="O21" s="118" t="s">
        <v>2</v>
      </c>
      <c r="P21" s="118" t="s">
        <v>2</v>
      </c>
      <c r="Q21" s="118" t="s">
        <v>2</v>
      </c>
      <c r="R21" s="118" t="s">
        <v>2</v>
      </c>
      <c r="S21" s="118" t="s">
        <v>2</v>
      </c>
      <c r="T21" s="118" t="s">
        <v>2</v>
      </c>
      <c r="U21" s="118" t="s">
        <v>2</v>
      </c>
      <c r="V21" s="118" t="s">
        <v>2</v>
      </c>
    </row>
    <row r="22" spans="1:22" x14ac:dyDescent="0.4">
      <c r="A22" s="125" t="s">
        <v>2</v>
      </c>
      <c r="B22" s="126" t="s">
        <v>38</v>
      </c>
      <c r="C22" s="330" t="s">
        <v>38</v>
      </c>
      <c r="D22" s="322"/>
      <c r="E22" s="126" t="s">
        <v>25</v>
      </c>
      <c r="F22" s="127">
        <v>31024715.022300001</v>
      </c>
      <c r="G22" s="128">
        <v>0</v>
      </c>
      <c r="H22" s="128">
        <v>0</v>
      </c>
      <c r="I22" s="128">
        <v>0</v>
      </c>
      <c r="J22" s="128">
        <v>0</v>
      </c>
      <c r="K22" s="127">
        <v>31024715.022300001</v>
      </c>
      <c r="L22" s="127">
        <v>21439.61</v>
      </c>
      <c r="M22" s="127">
        <v>-7346.87</v>
      </c>
      <c r="N22" s="127">
        <v>834.22</v>
      </c>
      <c r="O22" s="128">
        <v>0</v>
      </c>
      <c r="P22" s="128">
        <v>0</v>
      </c>
      <c r="Q22" s="127">
        <v>31039641.982299998</v>
      </c>
      <c r="R22" s="129">
        <v>0</v>
      </c>
      <c r="S22" s="128">
        <v>0</v>
      </c>
      <c r="T22" s="129">
        <v>6.9104937739442901E-2</v>
      </c>
      <c r="U22" s="129">
        <v>4.5424236741160702E-2</v>
      </c>
      <c r="V22" s="129">
        <v>4.81131252592353E-2</v>
      </c>
    </row>
    <row r="23" spans="1:22" x14ac:dyDescent="0.4">
      <c r="A23" s="120" t="s">
        <v>2</v>
      </c>
      <c r="B23" s="121" t="s">
        <v>39</v>
      </c>
      <c r="C23" s="329" t="s">
        <v>39</v>
      </c>
      <c r="D23" s="322"/>
      <c r="E23" s="121" t="s">
        <v>25</v>
      </c>
      <c r="F23" s="122">
        <v>40683132.677699998</v>
      </c>
      <c r="G23" s="123">
        <v>0</v>
      </c>
      <c r="H23" s="123">
        <v>0</v>
      </c>
      <c r="I23" s="123">
        <v>0</v>
      </c>
      <c r="J23" s="123">
        <v>0</v>
      </c>
      <c r="K23" s="122">
        <v>40683132.677699998</v>
      </c>
      <c r="L23" s="122">
        <v>28114.04</v>
      </c>
      <c r="M23" s="122">
        <v>-9634.06</v>
      </c>
      <c r="N23" s="122">
        <v>1093.9100000000001</v>
      </c>
      <c r="O23" s="123">
        <v>0</v>
      </c>
      <c r="P23" s="123">
        <v>0</v>
      </c>
      <c r="Q23" s="122">
        <v>40702706.567699999</v>
      </c>
      <c r="R23" s="124">
        <v>0</v>
      </c>
      <c r="S23" s="123">
        <v>0</v>
      </c>
      <c r="T23" s="124">
        <v>6.91049045380185E-2</v>
      </c>
      <c r="U23" s="124">
        <v>4.54241814326398E-2</v>
      </c>
      <c r="V23" s="124">
        <v>4.8113035333508601E-2</v>
      </c>
    </row>
    <row r="24" spans="1:22" ht="14.5" customHeight="1" x14ac:dyDescent="0.4">
      <c r="A24" s="331" t="s">
        <v>40</v>
      </c>
      <c r="B24" s="332"/>
      <c r="C24" s="332"/>
      <c r="D24" s="332"/>
      <c r="E24" s="332"/>
      <c r="F24" s="130">
        <v>71707847.700000003</v>
      </c>
      <c r="G24" s="131">
        <v>0</v>
      </c>
      <c r="H24" s="131">
        <v>0</v>
      </c>
      <c r="I24" s="131">
        <v>0</v>
      </c>
      <c r="J24" s="131">
        <v>0</v>
      </c>
      <c r="K24" s="130">
        <v>71707847.700000003</v>
      </c>
      <c r="L24" s="130">
        <v>49553.65</v>
      </c>
      <c r="M24" s="130">
        <v>-16980.93</v>
      </c>
      <c r="N24" s="130">
        <v>1928.13</v>
      </c>
      <c r="O24" s="131">
        <v>0</v>
      </c>
      <c r="P24" s="131">
        <v>0</v>
      </c>
      <c r="Q24" s="130">
        <v>71742348.549999997</v>
      </c>
      <c r="R24" s="132">
        <v>0</v>
      </c>
      <c r="S24" s="133" t="s">
        <v>2</v>
      </c>
      <c r="T24" s="133" t="s">
        <v>2</v>
      </c>
      <c r="U24" s="133" t="s">
        <v>2</v>
      </c>
      <c r="V24" s="133" t="s">
        <v>2</v>
      </c>
    </row>
    <row r="25" spans="1:22" ht="14.5" customHeight="1" x14ac:dyDescent="0.4">
      <c r="A25" s="328" t="s">
        <v>41</v>
      </c>
      <c r="B25" s="322"/>
      <c r="C25" s="322"/>
      <c r="D25" s="322"/>
      <c r="E25" s="322"/>
      <c r="F25" s="118" t="s">
        <v>2</v>
      </c>
      <c r="G25" s="118" t="s">
        <v>2</v>
      </c>
      <c r="H25" s="118" t="s">
        <v>2</v>
      </c>
      <c r="I25" s="118" t="s">
        <v>2</v>
      </c>
      <c r="J25" s="118" t="s">
        <v>2</v>
      </c>
      <c r="K25" s="119" t="s">
        <v>2</v>
      </c>
      <c r="L25" s="118" t="s">
        <v>2</v>
      </c>
      <c r="M25" s="119" t="s">
        <v>2</v>
      </c>
      <c r="N25" s="118" t="s">
        <v>2</v>
      </c>
      <c r="O25" s="118" t="s">
        <v>2</v>
      </c>
      <c r="P25" s="118" t="s">
        <v>2</v>
      </c>
      <c r="Q25" s="118" t="s">
        <v>2</v>
      </c>
      <c r="R25" s="118" t="s">
        <v>2</v>
      </c>
      <c r="S25" s="118" t="s">
        <v>2</v>
      </c>
      <c r="T25" s="118" t="s">
        <v>2</v>
      </c>
      <c r="U25" s="118" t="s">
        <v>2</v>
      </c>
      <c r="V25" s="118" t="s">
        <v>2</v>
      </c>
    </row>
    <row r="26" spans="1:22" x14ac:dyDescent="0.4">
      <c r="A26" s="125" t="s">
        <v>2</v>
      </c>
      <c r="B26" s="126" t="s">
        <v>169</v>
      </c>
      <c r="C26" s="330" t="s">
        <v>169</v>
      </c>
      <c r="D26" s="322"/>
      <c r="E26" s="126" t="s">
        <v>25</v>
      </c>
      <c r="F26" s="127">
        <v>0</v>
      </c>
      <c r="G26" s="128">
        <v>40000000</v>
      </c>
      <c r="H26" s="128">
        <v>0</v>
      </c>
      <c r="I26" s="128">
        <v>0</v>
      </c>
      <c r="J26" s="128">
        <v>0</v>
      </c>
      <c r="K26" s="127">
        <v>40000000</v>
      </c>
      <c r="L26" s="127">
        <v>22373.91</v>
      </c>
      <c r="M26" s="127">
        <v>-8108.31</v>
      </c>
      <c r="N26" s="127">
        <v>2534.4</v>
      </c>
      <c r="O26" s="128">
        <v>0</v>
      </c>
      <c r="P26" s="128">
        <v>0</v>
      </c>
      <c r="Q26" s="127">
        <v>40016800</v>
      </c>
      <c r="R26" s="129">
        <v>0</v>
      </c>
      <c r="S26" s="128">
        <v>0</v>
      </c>
      <c r="T26" s="129">
        <v>5.5934774999999999E-2</v>
      </c>
      <c r="U26" s="129">
        <v>3.5664000000000001E-2</v>
      </c>
      <c r="V26" s="129">
        <v>4.2000000000000003E-2</v>
      </c>
    </row>
    <row r="27" spans="1:22" s="1" customFormat="1" x14ac:dyDescent="0.4">
      <c r="A27" s="120" t="s">
        <v>2</v>
      </c>
      <c r="B27" s="121" t="s">
        <v>170</v>
      </c>
      <c r="C27" s="329" t="s">
        <v>170</v>
      </c>
      <c r="D27" s="322"/>
      <c r="E27" s="121" t="s">
        <v>25</v>
      </c>
      <c r="F27" s="122">
        <v>0</v>
      </c>
      <c r="G27" s="123">
        <v>8000000</v>
      </c>
      <c r="H27" s="123">
        <v>0</v>
      </c>
      <c r="I27" s="123">
        <v>0</v>
      </c>
      <c r="J27" s="123">
        <v>0</v>
      </c>
      <c r="K27" s="122">
        <v>8000000</v>
      </c>
      <c r="L27" s="122">
        <v>4474.78</v>
      </c>
      <c r="M27" s="122">
        <v>-1621.66</v>
      </c>
      <c r="N27" s="122">
        <v>506.88</v>
      </c>
      <c r="O27" s="123">
        <v>0</v>
      </c>
      <c r="P27" s="123">
        <v>0</v>
      </c>
      <c r="Q27" s="122">
        <v>8003360</v>
      </c>
      <c r="R27" s="124">
        <v>0</v>
      </c>
      <c r="S27" s="123">
        <v>0</v>
      </c>
      <c r="T27" s="124">
        <v>5.5934749999999998E-2</v>
      </c>
      <c r="U27" s="124">
        <v>3.5664000000000001E-2</v>
      </c>
      <c r="V27" s="124">
        <v>4.2000000000000003E-2</v>
      </c>
    </row>
    <row r="28" spans="1:22" s="1" customFormat="1" x14ac:dyDescent="0.4">
      <c r="A28" s="125" t="s">
        <v>2</v>
      </c>
      <c r="B28" s="126" t="s">
        <v>42</v>
      </c>
      <c r="C28" s="330" t="s">
        <v>42</v>
      </c>
      <c r="D28" s="322"/>
      <c r="E28" s="126" t="s">
        <v>25</v>
      </c>
      <c r="F28" s="127">
        <v>122032330.03</v>
      </c>
      <c r="G28" s="128">
        <v>0</v>
      </c>
      <c r="H28" s="128">
        <v>-50291.25</v>
      </c>
      <c r="I28" s="128">
        <v>0</v>
      </c>
      <c r="J28" s="128">
        <v>0</v>
      </c>
      <c r="K28" s="127">
        <v>121982038.78</v>
      </c>
      <c r="L28" s="127">
        <v>96823.98</v>
      </c>
      <c r="M28" s="127">
        <v>-36506.639999999999</v>
      </c>
      <c r="N28" s="127">
        <v>8883.9</v>
      </c>
      <c r="O28" s="128">
        <v>0</v>
      </c>
      <c r="P28" s="128">
        <v>0</v>
      </c>
      <c r="Q28" s="127">
        <v>122051240.02</v>
      </c>
      <c r="R28" s="129">
        <v>0</v>
      </c>
      <c r="S28" s="128">
        <v>0</v>
      </c>
      <c r="T28" s="129">
        <v>7.9375603956436794E-2</v>
      </c>
      <c r="U28" s="129">
        <v>4.9447722470670398E-2</v>
      </c>
      <c r="V28" s="129">
        <v>5.6730679936254802E-2</v>
      </c>
    </row>
    <row r="29" spans="1:22" s="1" customFormat="1" x14ac:dyDescent="0.4">
      <c r="A29" s="120" t="s">
        <v>2</v>
      </c>
      <c r="B29" s="121" t="s">
        <v>164</v>
      </c>
      <c r="C29" s="329" t="s">
        <v>164</v>
      </c>
      <c r="D29" s="322"/>
      <c r="E29" s="121" t="s">
        <v>25</v>
      </c>
      <c r="F29" s="122">
        <v>7008089.7699999996</v>
      </c>
      <c r="G29" s="123">
        <v>7500000</v>
      </c>
      <c r="H29" s="123">
        <v>0</v>
      </c>
      <c r="I29" s="123">
        <v>0</v>
      </c>
      <c r="J29" s="123">
        <v>0</v>
      </c>
      <c r="K29" s="122">
        <v>14508089.77</v>
      </c>
      <c r="L29" s="122">
        <v>9757.14</v>
      </c>
      <c r="M29" s="122">
        <v>-3617.41</v>
      </c>
      <c r="N29" s="122">
        <v>985.57</v>
      </c>
      <c r="O29" s="123">
        <v>0</v>
      </c>
      <c r="P29" s="123">
        <v>0</v>
      </c>
      <c r="Q29" s="122">
        <v>14515215.07</v>
      </c>
      <c r="R29" s="124">
        <v>0</v>
      </c>
      <c r="S29" s="123">
        <v>0</v>
      </c>
      <c r="T29" s="124">
        <v>6.7253099165239E-2</v>
      </c>
      <c r="U29" s="124">
        <v>4.2319354907051999E-2</v>
      </c>
      <c r="V29" s="124">
        <v>4.9112599335674002E-2</v>
      </c>
    </row>
    <row r="30" spans="1:22" ht="14.5" customHeight="1" x14ac:dyDescent="0.4">
      <c r="A30" s="331" t="s">
        <v>43</v>
      </c>
      <c r="B30" s="332"/>
      <c r="C30" s="332"/>
      <c r="D30" s="332"/>
      <c r="E30" s="332"/>
      <c r="F30" s="130">
        <v>129040419.8</v>
      </c>
      <c r="G30" s="131">
        <v>55500000</v>
      </c>
      <c r="H30" s="131">
        <v>-50291.25</v>
      </c>
      <c r="I30" s="131">
        <v>0</v>
      </c>
      <c r="J30" s="131">
        <v>0</v>
      </c>
      <c r="K30" s="130">
        <v>184490128.55000001</v>
      </c>
      <c r="L30" s="130">
        <v>133429.81</v>
      </c>
      <c r="M30" s="130">
        <v>-49854.02</v>
      </c>
      <c r="N30" s="130">
        <v>12910.75</v>
      </c>
      <c r="O30" s="131">
        <v>0</v>
      </c>
      <c r="P30" s="131">
        <v>0</v>
      </c>
      <c r="Q30" s="130">
        <v>184586615.09</v>
      </c>
      <c r="R30" s="132">
        <v>0</v>
      </c>
      <c r="S30" s="133" t="s">
        <v>2</v>
      </c>
      <c r="T30" s="133" t="s">
        <v>2</v>
      </c>
      <c r="U30" s="133" t="s">
        <v>2</v>
      </c>
      <c r="V30" s="133" t="s">
        <v>2</v>
      </c>
    </row>
    <row r="31" spans="1:22" ht="14.5" customHeight="1" x14ac:dyDescent="0.4">
      <c r="A31" s="328" t="s">
        <v>44</v>
      </c>
      <c r="B31" s="322"/>
      <c r="C31" s="322"/>
      <c r="D31" s="322"/>
      <c r="E31" s="322"/>
      <c r="F31" s="118" t="s">
        <v>2</v>
      </c>
      <c r="G31" s="118" t="s">
        <v>2</v>
      </c>
      <c r="H31" s="118" t="s">
        <v>2</v>
      </c>
      <c r="I31" s="118" t="s">
        <v>2</v>
      </c>
      <c r="J31" s="118" t="s">
        <v>2</v>
      </c>
      <c r="K31" s="119" t="s">
        <v>2</v>
      </c>
      <c r="L31" s="118" t="s">
        <v>2</v>
      </c>
      <c r="M31" s="119" t="s">
        <v>2</v>
      </c>
      <c r="N31" s="118" t="s">
        <v>2</v>
      </c>
      <c r="O31" s="118" t="s">
        <v>2</v>
      </c>
      <c r="P31" s="118" t="s">
        <v>2</v>
      </c>
      <c r="Q31" s="118" t="s">
        <v>2</v>
      </c>
      <c r="R31" s="118" t="s">
        <v>2</v>
      </c>
      <c r="S31" s="118" t="s">
        <v>2</v>
      </c>
      <c r="T31" s="118" t="s">
        <v>2</v>
      </c>
      <c r="U31" s="118" t="s">
        <v>2</v>
      </c>
      <c r="V31" s="118" t="s">
        <v>2</v>
      </c>
    </row>
    <row r="32" spans="1:22" x14ac:dyDescent="0.4">
      <c r="A32" s="125" t="s">
        <v>2</v>
      </c>
      <c r="B32" s="126" t="s">
        <v>24</v>
      </c>
      <c r="C32" s="330" t="s">
        <v>24</v>
      </c>
      <c r="D32" s="322"/>
      <c r="E32" s="126" t="s">
        <v>25</v>
      </c>
      <c r="F32" s="127">
        <v>75395692.919599995</v>
      </c>
      <c r="G32" s="128">
        <v>0</v>
      </c>
      <c r="H32" s="128">
        <v>0</v>
      </c>
      <c r="I32" s="128">
        <v>0</v>
      </c>
      <c r="J32" s="128">
        <v>0</v>
      </c>
      <c r="K32" s="127">
        <v>75395692.919599995</v>
      </c>
      <c r="L32" s="127">
        <v>62122.77</v>
      </c>
      <c r="M32" s="127">
        <v>-29027.9</v>
      </c>
      <c r="N32" s="127">
        <v>11663.3</v>
      </c>
      <c r="O32" s="128">
        <v>0</v>
      </c>
      <c r="P32" s="128">
        <v>0</v>
      </c>
      <c r="Q32" s="127">
        <v>75440451.089599997</v>
      </c>
      <c r="R32" s="129">
        <v>0</v>
      </c>
      <c r="S32" s="128">
        <v>0</v>
      </c>
      <c r="T32" s="129">
        <v>8.2395648337957594E-2</v>
      </c>
      <c r="U32" s="129">
        <v>4.38949079429398E-2</v>
      </c>
      <c r="V32" s="129">
        <v>5.9364359244935799E-2</v>
      </c>
    </row>
    <row r="33" spans="1:22" x14ac:dyDescent="0.4">
      <c r="A33" s="120" t="s">
        <v>2</v>
      </c>
      <c r="B33" s="121" t="s">
        <v>38</v>
      </c>
      <c r="C33" s="329" t="s">
        <v>38</v>
      </c>
      <c r="D33" s="322"/>
      <c r="E33" s="121" t="s">
        <v>25</v>
      </c>
      <c r="F33" s="122">
        <v>50505415.9142</v>
      </c>
      <c r="G33" s="123">
        <v>0</v>
      </c>
      <c r="H33" s="123">
        <v>0</v>
      </c>
      <c r="I33" s="123">
        <v>0</v>
      </c>
      <c r="J33" s="123">
        <v>0</v>
      </c>
      <c r="K33" s="122">
        <v>50505415.9142</v>
      </c>
      <c r="L33" s="122">
        <v>41614.28</v>
      </c>
      <c r="M33" s="122">
        <v>-19444.96</v>
      </c>
      <c r="N33" s="122">
        <v>7812.91</v>
      </c>
      <c r="O33" s="123">
        <v>0</v>
      </c>
      <c r="P33" s="123">
        <v>0</v>
      </c>
      <c r="Q33" s="122">
        <v>50535398.144199997</v>
      </c>
      <c r="R33" s="124">
        <v>0</v>
      </c>
      <c r="S33" s="123">
        <v>0</v>
      </c>
      <c r="T33" s="124">
        <v>8.2395678258932695E-2</v>
      </c>
      <c r="U33" s="124">
        <v>4.3894936015697501E-2</v>
      </c>
      <c r="V33" s="124">
        <v>5.9364385892662803E-2</v>
      </c>
    </row>
    <row r="34" spans="1:22" x14ac:dyDescent="0.4">
      <c r="A34" s="125" t="s">
        <v>2</v>
      </c>
      <c r="B34" s="126" t="s">
        <v>45</v>
      </c>
      <c r="C34" s="330" t="s">
        <v>45</v>
      </c>
      <c r="D34" s="322"/>
      <c r="E34" s="126" t="s">
        <v>25</v>
      </c>
      <c r="F34" s="127">
        <v>100088166.7723</v>
      </c>
      <c r="G34" s="128">
        <v>0</v>
      </c>
      <c r="H34" s="128">
        <v>0</v>
      </c>
      <c r="I34" s="128">
        <v>0</v>
      </c>
      <c r="J34" s="128">
        <v>0</v>
      </c>
      <c r="K34" s="127">
        <v>100088166.7723</v>
      </c>
      <c r="L34" s="127">
        <v>82468.27</v>
      </c>
      <c r="M34" s="127">
        <v>-38534.67</v>
      </c>
      <c r="N34" s="127">
        <v>15483.08</v>
      </c>
      <c r="O34" s="128">
        <v>0</v>
      </c>
      <c r="P34" s="128">
        <v>0</v>
      </c>
      <c r="Q34" s="127">
        <v>100147583.4523</v>
      </c>
      <c r="R34" s="129">
        <v>0</v>
      </c>
      <c r="S34" s="128">
        <v>0</v>
      </c>
      <c r="T34" s="129">
        <v>8.2395624437417103E-2</v>
      </c>
      <c r="U34" s="129">
        <v>4.38948992840969E-2</v>
      </c>
      <c r="V34" s="129">
        <v>5.9364340377192203E-2</v>
      </c>
    </row>
    <row r="35" spans="1:22" x14ac:dyDescent="0.4">
      <c r="A35" s="120" t="s">
        <v>2</v>
      </c>
      <c r="B35" s="121" t="s">
        <v>31</v>
      </c>
      <c r="C35" s="329" t="s">
        <v>31</v>
      </c>
      <c r="D35" s="322"/>
      <c r="E35" s="121" t="s">
        <v>25</v>
      </c>
      <c r="F35" s="122">
        <v>30656020.659400001</v>
      </c>
      <c r="G35" s="123">
        <v>0</v>
      </c>
      <c r="H35" s="123">
        <v>0</v>
      </c>
      <c r="I35" s="123">
        <v>0</v>
      </c>
      <c r="J35" s="123">
        <v>0</v>
      </c>
      <c r="K35" s="122">
        <v>30656020.659400001</v>
      </c>
      <c r="L35" s="122">
        <v>25259.26</v>
      </c>
      <c r="M35" s="122">
        <v>-11802.79</v>
      </c>
      <c r="N35" s="122">
        <v>4742.32</v>
      </c>
      <c r="O35" s="123">
        <v>0</v>
      </c>
      <c r="P35" s="123">
        <v>0</v>
      </c>
      <c r="Q35" s="122">
        <v>30674219.4494</v>
      </c>
      <c r="R35" s="124">
        <v>0</v>
      </c>
      <c r="S35" s="123">
        <v>0</v>
      </c>
      <c r="T35" s="124">
        <v>8.2395756059274405E-2</v>
      </c>
      <c r="U35" s="124">
        <v>4.3895031744356099E-2</v>
      </c>
      <c r="V35" s="124">
        <v>5.9364488960245203E-2</v>
      </c>
    </row>
    <row r="36" spans="1:22" x14ac:dyDescent="0.4">
      <c r="A36" s="125" t="s">
        <v>2</v>
      </c>
      <c r="B36" s="126" t="s">
        <v>32</v>
      </c>
      <c r="C36" s="330" t="s">
        <v>32</v>
      </c>
      <c r="D36" s="322"/>
      <c r="E36" s="126" t="s">
        <v>25</v>
      </c>
      <c r="F36" s="127">
        <v>1004076.608</v>
      </c>
      <c r="G36" s="128">
        <v>0</v>
      </c>
      <c r="H36" s="128">
        <v>0</v>
      </c>
      <c r="I36" s="128">
        <v>0</v>
      </c>
      <c r="J36" s="128">
        <v>0</v>
      </c>
      <c r="K36" s="127">
        <v>1004076.608</v>
      </c>
      <c r="L36" s="127">
        <v>827.31</v>
      </c>
      <c r="M36" s="127">
        <v>-386.57</v>
      </c>
      <c r="N36" s="127">
        <v>155.33000000000001</v>
      </c>
      <c r="O36" s="128">
        <v>0</v>
      </c>
      <c r="P36" s="128">
        <v>0</v>
      </c>
      <c r="Q36" s="127">
        <v>1004672.678</v>
      </c>
      <c r="R36" s="129">
        <v>0</v>
      </c>
      <c r="S36" s="128">
        <v>0</v>
      </c>
      <c r="T36" s="129">
        <v>8.2395107445825497E-2</v>
      </c>
      <c r="U36" s="129">
        <v>4.3895057059231898E-2</v>
      </c>
      <c r="V36" s="129">
        <v>5.9364992197886199E-2</v>
      </c>
    </row>
    <row r="37" spans="1:22" x14ac:dyDescent="0.4">
      <c r="A37" s="120" t="s">
        <v>2</v>
      </c>
      <c r="B37" s="121" t="s">
        <v>33</v>
      </c>
      <c r="C37" s="329" t="s">
        <v>33</v>
      </c>
      <c r="D37" s="322"/>
      <c r="E37" s="121" t="s">
        <v>25</v>
      </c>
      <c r="F37" s="122">
        <v>13851032.550000001</v>
      </c>
      <c r="G37" s="123">
        <v>0</v>
      </c>
      <c r="H37" s="123">
        <v>0</v>
      </c>
      <c r="I37" s="123">
        <v>0</v>
      </c>
      <c r="J37" s="123">
        <v>0</v>
      </c>
      <c r="K37" s="122">
        <v>13851032.550000001</v>
      </c>
      <c r="L37" s="122">
        <v>11412.65</v>
      </c>
      <c r="M37" s="122">
        <v>-5332.75</v>
      </c>
      <c r="N37" s="122">
        <v>2142.6799999999998</v>
      </c>
      <c r="O37" s="123">
        <v>0</v>
      </c>
      <c r="P37" s="123">
        <v>0</v>
      </c>
      <c r="Q37" s="122">
        <v>13859255.130000001</v>
      </c>
      <c r="R37" s="124">
        <v>0</v>
      </c>
      <c r="S37" s="123">
        <v>0</v>
      </c>
      <c r="T37" s="124">
        <v>8.2395662264182601E-2</v>
      </c>
      <c r="U37" s="124">
        <v>4.3894922476375199E-2</v>
      </c>
      <c r="V37" s="124">
        <v>5.9364382910211302E-2</v>
      </c>
    </row>
    <row r="38" spans="1:22" x14ac:dyDescent="0.4">
      <c r="A38" s="125" t="s">
        <v>2</v>
      </c>
      <c r="B38" s="126" t="s">
        <v>34</v>
      </c>
      <c r="C38" s="330" t="s">
        <v>34</v>
      </c>
      <c r="D38" s="322"/>
      <c r="E38" s="126" t="s">
        <v>25</v>
      </c>
      <c r="F38" s="127">
        <v>6686650.8345999997</v>
      </c>
      <c r="G38" s="128">
        <v>0</v>
      </c>
      <c r="H38" s="128">
        <v>0</v>
      </c>
      <c r="I38" s="128">
        <v>0</v>
      </c>
      <c r="J38" s="128">
        <v>0</v>
      </c>
      <c r="K38" s="127">
        <v>6686650.8345999997</v>
      </c>
      <c r="L38" s="127">
        <v>5509.51</v>
      </c>
      <c r="M38" s="127">
        <v>-2574.4</v>
      </c>
      <c r="N38" s="127">
        <v>1034.3900000000001</v>
      </c>
      <c r="O38" s="128">
        <v>0</v>
      </c>
      <c r="P38" s="128">
        <v>0</v>
      </c>
      <c r="Q38" s="127">
        <v>6690620.3345999997</v>
      </c>
      <c r="R38" s="129">
        <v>0</v>
      </c>
      <c r="S38" s="128">
        <v>0</v>
      </c>
      <c r="T38" s="129">
        <v>8.2395658697940397E-2</v>
      </c>
      <c r="U38" s="129">
        <v>4.3895069035342897E-2</v>
      </c>
      <c r="V38" s="129">
        <v>5.9364547337508101E-2</v>
      </c>
    </row>
    <row r="39" spans="1:22" x14ac:dyDescent="0.4">
      <c r="A39" s="120" t="s">
        <v>2</v>
      </c>
      <c r="B39" s="121" t="s">
        <v>39</v>
      </c>
      <c r="C39" s="329" t="s">
        <v>39</v>
      </c>
      <c r="D39" s="322"/>
      <c r="E39" s="121" t="s">
        <v>25</v>
      </c>
      <c r="F39" s="122">
        <v>40278363.022</v>
      </c>
      <c r="G39" s="123">
        <v>0</v>
      </c>
      <c r="H39" s="123">
        <v>0</v>
      </c>
      <c r="I39" s="123">
        <v>0</v>
      </c>
      <c r="J39" s="123">
        <v>0</v>
      </c>
      <c r="K39" s="122">
        <v>40278363.022</v>
      </c>
      <c r="L39" s="122">
        <v>33187.61</v>
      </c>
      <c r="M39" s="122">
        <v>-15507.47</v>
      </c>
      <c r="N39" s="122">
        <v>6230.85</v>
      </c>
      <c r="O39" s="123">
        <v>0</v>
      </c>
      <c r="P39" s="123">
        <v>0</v>
      </c>
      <c r="Q39" s="122">
        <v>40302274.012000002</v>
      </c>
      <c r="R39" s="124">
        <v>0</v>
      </c>
      <c r="S39" s="123">
        <v>0</v>
      </c>
      <c r="T39" s="124">
        <v>8.2395627602524404E-2</v>
      </c>
      <c r="U39" s="124">
        <v>4.3894882198522098E-2</v>
      </c>
      <c r="V39" s="124">
        <v>5.9364353975706101E-2</v>
      </c>
    </row>
    <row r="40" spans="1:22" ht="14.5" customHeight="1" x14ac:dyDescent="0.4">
      <c r="A40" s="331" t="s">
        <v>46</v>
      </c>
      <c r="B40" s="332"/>
      <c r="C40" s="332"/>
      <c r="D40" s="332"/>
      <c r="E40" s="332"/>
      <c r="F40" s="130">
        <v>318465419.28009999</v>
      </c>
      <c r="G40" s="131">
        <v>0</v>
      </c>
      <c r="H40" s="131">
        <v>0</v>
      </c>
      <c r="I40" s="131">
        <v>0</v>
      </c>
      <c r="J40" s="131">
        <v>0</v>
      </c>
      <c r="K40" s="130">
        <v>318465419.28009999</v>
      </c>
      <c r="L40" s="130">
        <v>262401.65999999997</v>
      </c>
      <c r="M40" s="130">
        <v>-122611.51</v>
      </c>
      <c r="N40" s="130">
        <v>49264.86</v>
      </c>
      <c r="O40" s="131">
        <v>0</v>
      </c>
      <c r="P40" s="131">
        <v>0</v>
      </c>
      <c r="Q40" s="130">
        <v>318654474.29009998</v>
      </c>
      <c r="R40" s="132">
        <v>0</v>
      </c>
      <c r="S40" s="133" t="s">
        <v>2</v>
      </c>
      <c r="T40" s="133" t="s">
        <v>2</v>
      </c>
      <c r="U40" s="133" t="s">
        <v>2</v>
      </c>
      <c r="V40" s="133" t="s">
        <v>2</v>
      </c>
    </row>
    <row r="41" spans="1:22" ht="14.5" customHeight="1" x14ac:dyDescent="0.4">
      <c r="A41" s="328" t="s">
        <v>47</v>
      </c>
      <c r="B41" s="322"/>
      <c r="C41" s="322"/>
      <c r="D41" s="322"/>
      <c r="E41" s="322"/>
      <c r="F41" s="118" t="s">
        <v>2</v>
      </c>
      <c r="G41" s="118" t="s">
        <v>2</v>
      </c>
      <c r="H41" s="118" t="s">
        <v>2</v>
      </c>
      <c r="I41" s="118" t="s">
        <v>2</v>
      </c>
      <c r="J41" s="118" t="s">
        <v>2</v>
      </c>
      <c r="K41" s="119" t="s">
        <v>2</v>
      </c>
      <c r="L41" s="118" t="s">
        <v>2</v>
      </c>
      <c r="M41" s="119" t="s">
        <v>2</v>
      </c>
      <c r="N41" s="118" t="s">
        <v>2</v>
      </c>
      <c r="O41" s="118" t="s">
        <v>2</v>
      </c>
      <c r="P41" s="118" t="s">
        <v>2</v>
      </c>
      <c r="Q41" s="118" t="s">
        <v>2</v>
      </c>
      <c r="R41" s="118" t="s">
        <v>2</v>
      </c>
      <c r="S41" s="118" t="s">
        <v>2</v>
      </c>
      <c r="T41" s="118" t="s">
        <v>2</v>
      </c>
      <c r="U41" s="118" t="s">
        <v>2</v>
      </c>
      <c r="V41" s="118" t="s">
        <v>2</v>
      </c>
    </row>
    <row r="42" spans="1:22" x14ac:dyDescent="0.4">
      <c r="A42" s="125" t="s">
        <v>2</v>
      </c>
      <c r="B42" s="126" t="s">
        <v>48</v>
      </c>
      <c r="C42" s="330" t="s">
        <v>48</v>
      </c>
      <c r="D42" s="322"/>
      <c r="E42" s="126" t="s">
        <v>25</v>
      </c>
      <c r="F42" s="127">
        <v>20396397.027199998</v>
      </c>
      <c r="G42" s="128">
        <v>0</v>
      </c>
      <c r="H42" s="128">
        <v>0</v>
      </c>
      <c r="I42" s="128">
        <v>0</v>
      </c>
      <c r="J42" s="128">
        <v>0</v>
      </c>
      <c r="K42" s="127">
        <v>20396397.027199998</v>
      </c>
      <c r="L42" s="127">
        <v>20160.509999999998</v>
      </c>
      <c r="M42" s="127">
        <v>-7850.45</v>
      </c>
      <c r="N42" s="127">
        <v>3829.48</v>
      </c>
      <c r="O42" s="128">
        <v>0</v>
      </c>
      <c r="P42" s="128">
        <v>0</v>
      </c>
      <c r="Q42" s="127">
        <v>20412536.567200001</v>
      </c>
      <c r="R42" s="129">
        <v>0</v>
      </c>
      <c r="S42" s="128">
        <v>0</v>
      </c>
      <c r="T42" s="129">
        <v>9.8843486784036302E-2</v>
      </c>
      <c r="U42" s="129">
        <v>6.0354090889600198E-2</v>
      </c>
      <c r="V42" s="129">
        <v>7.9129367694092304E-2</v>
      </c>
    </row>
    <row r="43" spans="1:22" s="1" customFormat="1" x14ac:dyDescent="0.4">
      <c r="A43" s="120" t="s">
        <v>2</v>
      </c>
      <c r="B43" s="121" t="s">
        <v>165</v>
      </c>
      <c r="C43" s="329" t="s">
        <v>165</v>
      </c>
      <c r="D43" s="322"/>
      <c r="E43" s="121" t="s">
        <v>25</v>
      </c>
      <c r="F43" s="122">
        <v>1001983.2115</v>
      </c>
      <c r="G43" s="123">
        <v>0</v>
      </c>
      <c r="H43" s="123">
        <v>-1200</v>
      </c>
      <c r="I43" s="123">
        <v>0</v>
      </c>
      <c r="J43" s="123">
        <v>0</v>
      </c>
      <c r="K43" s="122">
        <v>1000783.2115</v>
      </c>
      <c r="L43" s="122">
        <v>989.58</v>
      </c>
      <c r="M43" s="122">
        <v>-385.35</v>
      </c>
      <c r="N43" s="122">
        <v>187.99</v>
      </c>
      <c r="O43" s="123">
        <v>0</v>
      </c>
      <c r="P43" s="123">
        <v>0</v>
      </c>
      <c r="Q43" s="122">
        <v>1001575.4314999999</v>
      </c>
      <c r="R43" s="124">
        <v>0</v>
      </c>
      <c r="S43" s="123">
        <v>0</v>
      </c>
      <c r="T43" s="124">
        <v>9.8880555611718504E-2</v>
      </c>
      <c r="U43" s="124">
        <v>6.0375713047220697E-2</v>
      </c>
      <c r="V43" s="124">
        <v>7.9160000976894906E-2</v>
      </c>
    </row>
    <row r="44" spans="1:22" x14ac:dyDescent="0.4">
      <c r="A44" s="125" t="s">
        <v>2</v>
      </c>
      <c r="B44" s="126" t="s">
        <v>49</v>
      </c>
      <c r="C44" s="330" t="s">
        <v>49</v>
      </c>
      <c r="D44" s="322"/>
      <c r="E44" s="126" t="s">
        <v>25</v>
      </c>
      <c r="F44" s="127">
        <v>23385954.142999999</v>
      </c>
      <c r="G44" s="128">
        <v>0</v>
      </c>
      <c r="H44" s="128">
        <v>0</v>
      </c>
      <c r="I44" s="128">
        <v>0</v>
      </c>
      <c r="J44" s="128">
        <v>0</v>
      </c>
      <c r="K44" s="127">
        <v>23385954.142999999</v>
      </c>
      <c r="L44" s="127">
        <v>23115.46</v>
      </c>
      <c r="M44" s="127">
        <v>-9001.11</v>
      </c>
      <c r="N44" s="127">
        <v>4390.7700000000004</v>
      </c>
      <c r="O44" s="128">
        <v>0</v>
      </c>
      <c r="P44" s="128">
        <v>0</v>
      </c>
      <c r="Q44" s="127">
        <v>23404459.263</v>
      </c>
      <c r="R44" s="129">
        <v>0</v>
      </c>
      <c r="S44" s="128">
        <v>0</v>
      </c>
      <c r="T44" s="129">
        <v>9.8843347843128496E-2</v>
      </c>
      <c r="U44" s="129">
        <v>6.0353962526796402E-2</v>
      </c>
      <c r="V44" s="129">
        <v>7.9129206731721205E-2</v>
      </c>
    </row>
    <row r="45" spans="1:22" ht="15.45" x14ac:dyDescent="0.4">
      <c r="A45" s="120" t="s">
        <v>2</v>
      </c>
      <c r="B45" s="121" t="s">
        <v>50</v>
      </c>
      <c r="C45" s="329" t="s">
        <v>50</v>
      </c>
      <c r="D45" s="322"/>
      <c r="E45" s="121" t="s">
        <v>25</v>
      </c>
      <c r="F45" s="122">
        <v>3220917.4295999999</v>
      </c>
      <c r="G45" s="123">
        <v>0</v>
      </c>
      <c r="H45" s="123">
        <v>0</v>
      </c>
      <c r="I45" s="123">
        <v>0</v>
      </c>
      <c r="J45" s="123">
        <v>0</v>
      </c>
      <c r="K45" s="122">
        <v>3220917.4295999999</v>
      </c>
      <c r="L45" s="122">
        <v>3183.67</v>
      </c>
      <c r="M45" s="122">
        <v>-1239.71</v>
      </c>
      <c r="N45" s="122">
        <v>604.73</v>
      </c>
      <c r="O45" s="123">
        <v>0</v>
      </c>
      <c r="P45" s="123">
        <v>0</v>
      </c>
      <c r="Q45" s="122">
        <v>3223466.1195999999</v>
      </c>
      <c r="R45" s="124">
        <v>0</v>
      </c>
      <c r="S45" s="123">
        <v>0</v>
      </c>
      <c r="T45" s="124">
        <v>9.8843577011391306E-2</v>
      </c>
      <c r="U45" s="124">
        <v>6.0354232683369903E-2</v>
      </c>
      <c r="V45" s="124">
        <v>7.9129318143263197E-2</v>
      </c>
    </row>
    <row r="46" spans="1:22" x14ac:dyDescent="0.4">
      <c r="A46" s="125" t="s">
        <v>2</v>
      </c>
      <c r="B46" s="126" t="s">
        <v>51</v>
      </c>
      <c r="C46" s="330" t="s">
        <v>51</v>
      </c>
      <c r="D46" s="322"/>
      <c r="E46" s="126" t="s">
        <v>25</v>
      </c>
      <c r="F46" s="127">
        <v>108627547.8476</v>
      </c>
      <c r="G46" s="128">
        <v>0</v>
      </c>
      <c r="H46" s="128">
        <v>0</v>
      </c>
      <c r="I46" s="128">
        <v>0</v>
      </c>
      <c r="J46" s="128">
        <v>0</v>
      </c>
      <c r="K46" s="127">
        <v>108627547.8476</v>
      </c>
      <c r="L46" s="127">
        <v>107371.11</v>
      </c>
      <c r="M46" s="127">
        <v>-41810.07</v>
      </c>
      <c r="N46" s="127">
        <v>20395.09</v>
      </c>
      <c r="O46" s="128">
        <v>0</v>
      </c>
      <c r="P46" s="128">
        <v>0</v>
      </c>
      <c r="Q46" s="127">
        <v>108713503.97759999</v>
      </c>
      <c r="R46" s="129">
        <v>0</v>
      </c>
      <c r="S46" s="128">
        <v>0</v>
      </c>
      <c r="T46" s="129">
        <v>9.8843352471361404E-2</v>
      </c>
      <c r="U46" s="129">
        <v>6.0353972172859399E-2</v>
      </c>
      <c r="V46" s="129">
        <v>7.9129218787662395E-2</v>
      </c>
    </row>
    <row r="47" spans="1:22" x14ac:dyDescent="0.4">
      <c r="A47" s="120" t="s">
        <v>2</v>
      </c>
      <c r="B47" s="121" t="s">
        <v>52</v>
      </c>
      <c r="C47" s="329" t="s">
        <v>52</v>
      </c>
      <c r="D47" s="322"/>
      <c r="E47" s="121" t="s">
        <v>25</v>
      </c>
      <c r="F47" s="122">
        <v>70329382.091100007</v>
      </c>
      <c r="G47" s="123">
        <v>0</v>
      </c>
      <c r="H47" s="123">
        <v>0</v>
      </c>
      <c r="I47" s="123">
        <v>0</v>
      </c>
      <c r="J47" s="123">
        <v>0</v>
      </c>
      <c r="K47" s="122">
        <v>70329382.091100007</v>
      </c>
      <c r="L47" s="122">
        <v>69515.94</v>
      </c>
      <c r="M47" s="122">
        <v>-27069.34</v>
      </c>
      <c r="N47" s="122">
        <v>13204.52</v>
      </c>
      <c r="O47" s="123">
        <v>0</v>
      </c>
      <c r="P47" s="123">
        <v>0</v>
      </c>
      <c r="Q47" s="122">
        <v>70385033.211099997</v>
      </c>
      <c r="R47" s="124">
        <v>0</v>
      </c>
      <c r="S47" s="123">
        <v>0</v>
      </c>
      <c r="T47" s="124">
        <v>9.8843382286444195E-2</v>
      </c>
      <c r="U47" s="124">
        <v>6.0354006729388697E-2</v>
      </c>
      <c r="V47" s="124">
        <v>7.9129260552741998E-2</v>
      </c>
    </row>
    <row r="48" spans="1:22" ht="14.5" customHeight="1" x14ac:dyDescent="0.4">
      <c r="A48" s="331" t="s">
        <v>53</v>
      </c>
      <c r="B48" s="332"/>
      <c r="C48" s="332"/>
      <c r="D48" s="332"/>
      <c r="E48" s="332"/>
      <c r="F48" s="130">
        <v>226962181.75</v>
      </c>
      <c r="G48" s="131">
        <v>0</v>
      </c>
      <c r="H48" s="131">
        <v>-1200</v>
      </c>
      <c r="I48" s="131">
        <v>0</v>
      </c>
      <c r="J48" s="131">
        <v>0</v>
      </c>
      <c r="K48" s="130">
        <v>226960981.75</v>
      </c>
      <c r="L48" s="130">
        <v>224336.27</v>
      </c>
      <c r="M48" s="130">
        <v>-87356.03</v>
      </c>
      <c r="N48" s="130">
        <v>42612.58</v>
      </c>
      <c r="O48" s="131">
        <v>0</v>
      </c>
      <c r="P48" s="131">
        <v>0</v>
      </c>
      <c r="Q48" s="130">
        <v>227140574.56999999</v>
      </c>
      <c r="R48" s="132">
        <v>0</v>
      </c>
      <c r="S48" s="133" t="s">
        <v>2</v>
      </c>
      <c r="T48" s="133" t="s">
        <v>2</v>
      </c>
      <c r="U48" s="133" t="s">
        <v>2</v>
      </c>
      <c r="V48" s="133" t="s">
        <v>2</v>
      </c>
    </row>
    <row r="49" spans="1:22" ht="14.5" customHeight="1" x14ac:dyDescent="0.4">
      <c r="A49" s="328" t="s">
        <v>171</v>
      </c>
      <c r="B49" s="322"/>
      <c r="C49" s="322"/>
      <c r="D49" s="322"/>
      <c r="E49" s="322"/>
      <c r="F49" s="118" t="s">
        <v>2</v>
      </c>
      <c r="G49" s="118" t="s">
        <v>2</v>
      </c>
      <c r="H49" s="118" t="s">
        <v>2</v>
      </c>
      <c r="I49" s="118" t="s">
        <v>2</v>
      </c>
      <c r="J49" s="118" t="s">
        <v>2</v>
      </c>
      <c r="K49" s="119" t="s">
        <v>2</v>
      </c>
      <c r="L49" s="118" t="s">
        <v>2</v>
      </c>
      <c r="M49" s="119" t="s">
        <v>2</v>
      </c>
      <c r="N49" s="118" t="s">
        <v>2</v>
      </c>
      <c r="O49" s="118" t="s">
        <v>2</v>
      </c>
      <c r="P49" s="118" t="s">
        <v>2</v>
      </c>
      <c r="Q49" s="118" t="s">
        <v>2</v>
      </c>
      <c r="R49" s="118" t="s">
        <v>2</v>
      </c>
      <c r="S49" s="118" t="s">
        <v>2</v>
      </c>
      <c r="T49" s="118" t="s">
        <v>2</v>
      </c>
      <c r="U49" s="118" t="s">
        <v>2</v>
      </c>
      <c r="V49" s="118" t="s">
        <v>2</v>
      </c>
    </row>
    <row r="50" spans="1:22" s="1" customFormat="1" x14ac:dyDescent="0.4">
      <c r="A50" s="125" t="s">
        <v>2</v>
      </c>
      <c r="B50" s="126" t="s">
        <v>24</v>
      </c>
      <c r="C50" s="330" t="s">
        <v>24</v>
      </c>
      <c r="D50" s="322"/>
      <c r="E50" s="126" t="s">
        <v>25</v>
      </c>
      <c r="F50" s="127">
        <v>75305370.450000003</v>
      </c>
      <c r="G50" s="128">
        <v>0</v>
      </c>
      <c r="H50" s="128">
        <v>0</v>
      </c>
      <c r="I50" s="128">
        <v>0</v>
      </c>
      <c r="J50" s="128">
        <v>0</v>
      </c>
      <c r="K50" s="127">
        <v>75305370.450000003</v>
      </c>
      <c r="L50" s="127">
        <v>73446.509999999995</v>
      </c>
      <c r="M50" s="127">
        <v>-28986.81</v>
      </c>
      <c r="N50" s="127">
        <v>11247</v>
      </c>
      <c r="O50" s="128">
        <v>0</v>
      </c>
      <c r="P50" s="128">
        <v>0</v>
      </c>
      <c r="Q50" s="127">
        <v>75361077.150000006</v>
      </c>
      <c r="R50" s="129">
        <v>0</v>
      </c>
      <c r="S50" s="128">
        <v>0</v>
      </c>
      <c r="T50" s="129">
        <v>9.7531569874907895E-2</v>
      </c>
      <c r="U50" s="129">
        <v>5.9039215575627003E-2</v>
      </c>
      <c r="V50" s="129">
        <v>7.3974405367260201E-2</v>
      </c>
    </row>
    <row r="51" spans="1:22" s="1" customFormat="1" x14ac:dyDescent="0.4">
      <c r="A51" s="120" t="s">
        <v>2</v>
      </c>
      <c r="B51" s="121" t="s">
        <v>32</v>
      </c>
      <c r="C51" s="329" t="s">
        <v>32</v>
      </c>
      <c r="D51" s="322"/>
      <c r="E51" s="121" t="s">
        <v>25</v>
      </c>
      <c r="F51" s="122">
        <v>1002873.84</v>
      </c>
      <c r="G51" s="123">
        <v>0</v>
      </c>
      <c r="H51" s="123">
        <v>0</v>
      </c>
      <c r="I51" s="123">
        <v>0</v>
      </c>
      <c r="J51" s="123">
        <v>0</v>
      </c>
      <c r="K51" s="122">
        <v>1002873.84</v>
      </c>
      <c r="L51" s="122">
        <v>978.09</v>
      </c>
      <c r="M51" s="122">
        <v>-386.03</v>
      </c>
      <c r="N51" s="122">
        <v>149.78</v>
      </c>
      <c r="O51" s="123">
        <v>0</v>
      </c>
      <c r="P51" s="123">
        <v>0</v>
      </c>
      <c r="Q51" s="122">
        <v>1003615.68</v>
      </c>
      <c r="R51" s="124">
        <v>0</v>
      </c>
      <c r="S51" s="123">
        <v>0</v>
      </c>
      <c r="T51" s="124">
        <v>9.7528718068864997E-2</v>
      </c>
      <c r="U51" s="124">
        <v>5.9036339007506697E-2</v>
      </c>
      <c r="V51" s="124">
        <v>7.3971417980151902E-2</v>
      </c>
    </row>
    <row r="52" spans="1:22" s="1" customFormat="1" x14ac:dyDescent="0.4">
      <c r="A52" s="125" t="s">
        <v>2</v>
      </c>
      <c r="B52" s="126" t="s">
        <v>33</v>
      </c>
      <c r="C52" s="330" t="s">
        <v>33</v>
      </c>
      <c r="D52" s="322"/>
      <c r="E52" s="126" t="s">
        <v>25</v>
      </c>
      <c r="F52" s="127">
        <v>13834439.810000001</v>
      </c>
      <c r="G52" s="128">
        <v>0</v>
      </c>
      <c r="H52" s="128">
        <v>0</v>
      </c>
      <c r="I52" s="128">
        <v>0</v>
      </c>
      <c r="J52" s="128">
        <v>0</v>
      </c>
      <c r="K52" s="127">
        <v>13834439.810000001</v>
      </c>
      <c r="L52" s="127">
        <v>13492.97</v>
      </c>
      <c r="M52" s="127">
        <v>-5325.21</v>
      </c>
      <c r="N52" s="127">
        <v>2066.1999999999998</v>
      </c>
      <c r="O52" s="128">
        <v>0</v>
      </c>
      <c r="P52" s="128">
        <v>0</v>
      </c>
      <c r="Q52" s="127">
        <v>13844673.77</v>
      </c>
      <c r="R52" s="129">
        <v>0</v>
      </c>
      <c r="S52" s="128">
        <v>0</v>
      </c>
      <c r="T52" s="129">
        <v>9.7531740968989797E-2</v>
      </c>
      <c r="U52" s="129">
        <v>5.9039325857604102E-2</v>
      </c>
      <c r="V52" s="129">
        <v>7.39745167896321E-2</v>
      </c>
    </row>
    <row r="53" spans="1:22" s="1" customFormat="1" x14ac:dyDescent="0.4">
      <c r="A53" s="120" t="s">
        <v>2</v>
      </c>
      <c r="B53" s="121" t="s">
        <v>34</v>
      </c>
      <c r="C53" s="329" t="s">
        <v>34</v>
      </c>
      <c r="D53" s="322"/>
      <c r="E53" s="121" t="s">
        <v>25</v>
      </c>
      <c r="F53" s="122">
        <v>6678640.0199999996</v>
      </c>
      <c r="G53" s="123">
        <v>0</v>
      </c>
      <c r="H53" s="123">
        <v>0</v>
      </c>
      <c r="I53" s="123">
        <v>0</v>
      </c>
      <c r="J53" s="123">
        <v>0</v>
      </c>
      <c r="K53" s="122">
        <v>6678640.0199999996</v>
      </c>
      <c r="L53" s="122">
        <v>6513.78</v>
      </c>
      <c r="M53" s="122">
        <v>-2570.77</v>
      </c>
      <c r="N53" s="122">
        <v>997.47</v>
      </c>
      <c r="O53" s="123">
        <v>0</v>
      </c>
      <c r="P53" s="123">
        <v>0</v>
      </c>
      <c r="Q53" s="122">
        <v>6683580.5</v>
      </c>
      <c r="R53" s="124">
        <v>0</v>
      </c>
      <c r="S53" s="123">
        <v>0</v>
      </c>
      <c r="T53" s="124">
        <v>9.7531533074004501E-2</v>
      </c>
      <c r="U53" s="124">
        <v>5.9039115571316601E-2</v>
      </c>
      <c r="V53" s="124">
        <v>7.3974341860096202E-2</v>
      </c>
    </row>
    <row r="54" spans="1:22" s="1" customFormat="1" x14ac:dyDescent="0.4">
      <c r="A54" s="331" t="s">
        <v>172</v>
      </c>
      <c r="B54" s="332"/>
      <c r="C54" s="332"/>
      <c r="D54" s="332"/>
      <c r="E54" s="332"/>
      <c r="F54" s="130">
        <v>96821324.120000005</v>
      </c>
      <c r="G54" s="131">
        <v>0</v>
      </c>
      <c r="H54" s="131">
        <v>0</v>
      </c>
      <c r="I54" s="131">
        <v>0</v>
      </c>
      <c r="J54" s="131">
        <v>0</v>
      </c>
      <c r="K54" s="130">
        <v>96821324.120000005</v>
      </c>
      <c r="L54" s="130">
        <v>94431.35</v>
      </c>
      <c r="M54" s="130">
        <v>-37268.82</v>
      </c>
      <c r="N54" s="130">
        <v>14460.45</v>
      </c>
      <c r="O54" s="131">
        <v>0</v>
      </c>
      <c r="P54" s="131">
        <v>0</v>
      </c>
      <c r="Q54" s="130">
        <v>96892947.099999994</v>
      </c>
      <c r="R54" s="132">
        <v>0</v>
      </c>
      <c r="S54" s="133" t="s">
        <v>2</v>
      </c>
      <c r="T54" s="133" t="s">
        <v>2</v>
      </c>
      <c r="U54" s="133" t="s">
        <v>2</v>
      </c>
      <c r="V54" s="133" t="s">
        <v>2</v>
      </c>
    </row>
    <row r="55" spans="1:22" s="1" customFormat="1" x14ac:dyDescent="0.4">
      <c r="A55" s="328" t="s">
        <v>54</v>
      </c>
      <c r="B55" s="322"/>
      <c r="C55" s="322"/>
      <c r="D55" s="322"/>
      <c r="E55" s="322"/>
      <c r="F55" s="118" t="s">
        <v>2</v>
      </c>
      <c r="G55" s="118" t="s">
        <v>2</v>
      </c>
      <c r="H55" s="118" t="s">
        <v>2</v>
      </c>
      <c r="I55" s="118" t="s">
        <v>2</v>
      </c>
      <c r="J55" s="118" t="s">
        <v>2</v>
      </c>
      <c r="K55" s="119" t="s">
        <v>2</v>
      </c>
      <c r="L55" s="118" t="s">
        <v>2</v>
      </c>
      <c r="M55" s="119" t="s">
        <v>2</v>
      </c>
      <c r="N55" s="118" t="s">
        <v>2</v>
      </c>
      <c r="O55" s="118" t="s">
        <v>2</v>
      </c>
      <c r="P55" s="118" t="s">
        <v>2</v>
      </c>
      <c r="Q55" s="118" t="s">
        <v>2</v>
      </c>
      <c r="R55" s="118" t="s">
        <v>2</v>
      </c>
      <c r="S55" s="118" t="s">
        <v>2</v>
      </c>
      <c r="T55" s="118" t="s">
        <v>2</v>
      </c>
      <c r="U55" s="118" t="s">
        <v>2</v>
      </c>
      <c r="V55" s="118" t="s">
        <v>2</v>
      </c>
    </row>
    <row r="56" spans="1:22" x14ac:dyDescent="0.4">
      <c r="A56" s="125" t="s">
        <v>2</v>
      </c>
      <c r="B56" s="126" t="s">
        <v>55</v>
      </c>
      <c r="C56" s="330" t="s">
        <v>55</v>
      </c>
      <c r="D56" s="322"/>
      <c r="E56" s="126" t="s">
        <v>25</v>
      </c>
      <c r="F56" s="127">
        <v>90129950.150000006</v>
      </c>
      <c r="G56" s="128">
        <v>0</v>
      </c>
      <c r="H56" s="128">
        <v>0</v>
      </c>
      <c r="I56" s="128">
        <v>0</v>
      </c>
      <c r="J56" s="128">
        <v>0</v>
      </c>
      <c r="K56" s="127">
        <v>90129950.150000006</v>
      </c>
      <c r="L56" s="127">
        <v>106879.69</v>
      </c>
      <c r="M56" s="127">
        <v>-34681.25</v>
      </c>
      <c r="N56" s="127">
        <v>15376.48</v>
      </c>
      <c r="O56" s="128">
        <v>0</v>
      </c>
      <c r="P56" s="128">
        <v>0</v>
      </c>
      <c r="Q56" s="127">
        <v>90217525.069999993</v>
      </c>
      <c r="R56" s="129">
        <v>0</v>
      </c>
      <c r="S56" s="128">
        <v>0</v>
      </c>
      <c r="T56" s="129">
        <v>0.118583988809629</v>
      </c>
      <c r="U56" s="129">
        <v>8.0104826286758996E-2</v>
      </c>
      <c r="V56" s="129">
        <v>9.7165170794227901E-2</v>
      </c>
    </row>
    <row r="57" spans="1:22" ht="14.5" customHeight="1" x14ac:dyDescent="0.4">
      <c r="A57" s="331" t="s">
        <v>56</v>
      </c>
      <c r="B57" s="332"/>
      <c r="C57" s="332"/>
      <c r="D57" s="332"/>
      <c r="E57" s="332"/>
      <c r="F57" s="130">
        <v>90129950.150000006</v>
      </c>
      <c r="G57" s="131">
        <v>0</v>
      </c>
      <c r="H57" s="131">
        <v>0</v>
      </c>
      <c r="I57" s="131">
        <v>0</v>
      </c>
      <c r="J57" s="131">
        <v>0</v>
      </c>
      <c r="K57" s="130">
        <v>90129950.150000006</v>
      </c>
      <c r="L57" s="130">
        <v>106879.69</v>
      </c>
      <c r="M57" s="130">
        <v>-34681.25</v>
      </c>
      <c r="N57" s="130">
        <v>15376.48</v>
      </c>
      <c r="O57" s="131">
        <v>0</v>
      </c>
      <c r="P57" s="131">
        <v>0</v>
      </c>
      <c r="Q57" s="130">
        <v>90217525.069999993</v>
      </c>
      <c r="R57" s="132">
        <v>0</v>
      </c>
      <c r="S57" s="133" t="s">
        <v>2</v>
      </c>
      <c r="T57" s="133" t="s">
        <v>2</v>
      </c>
      <c r="U57" s="133" t="s">
        <v>2</v>
      </c>
      <c r="V57" s="133" t="s">
        <v>2</v>
      </c>
    </row>
    <row r="58" spans="1:22" x14ac:dyDescent="0.4">
      <c r="A58" s="120" t="s">
        <v>2</v>
      </c>
      <c r="B58" s="321" t="s">
        <v>57</v>
      </c>
      <c r="C58" s="322"/>
      <c r="D58" s="322"/>
      <c r="E58" s="322"/>
      <c r="F58" s="130">
        <v>1733365129.5100999</v>
      </c>
      <c r="G58" s="131">
        <v>127500000</v>
      </c>
      <c r="H58" s="131">
        <v>-23581681.282000002</v>
      </c>
      <c r="I58" s="131">
        <v>0</v>
      </c>
      <c r="J58" s="131">
        <v>0</v>
      </c>
      <c r="K58" s="130">
        <v>1837283448.2281001</v>
      </c>
      <c r="L58" s="130">
        <v>1447754.68</v>
      </c>
      <c r="M58" s="130">
        <v>-546030.77</v>
      </c>
      <c r="N58" s="130">
        <v>159656.82</v>
      </c>
      <c r="O58" s="131">
        <v>0</v>
      </c>
      <c r="P58" s="131">
        <v>0</v>
      </c>
      <c r="Q58" s="130">
        <v>1838344828.9581001</v>
      </c>
      <c r="R58" s="132">
        <v>0</v>
      </c>
      <c r="S58" s="134" t="s">
        <v>2</v>
      </c>
      <c r="T58" s="135">
        <v>7.8798656864635302E-2</v>
      </c>
      <c r="U58" s="135">
        <v>4.9079194115074297E-2</v>
      </c>
      <c r="V58" s="135">
        <v>5.7769024753562603E-2</v>
      </c>
    </row>
    <row r="59" spans="1:22" ht="8.15" customHeight="1" x14ac:dyDescent="0.4">
      <c r="E59" s="1"/>
      <c r="G59" s="1"/>
    </row>
    <row r="60" spans="1:22" x14ac:dyDescent="0.4">
      <c r="E60" s="1"/>
      <c r="G60" s="1"/>
    </row>
    <row r="61" spans="1:22" x14ac:dyDescent="0.4">
      <c r="E61" s="1"/>
      <c r="G61" s="1"/>
    </row>
    <row r="62" spans="1:22" ht="15" thickBot="1" x14ac:dyDescent="0.45">
      <c r="C62" t="s">
        <v>155</v>
      </c>
      <c r="E62" s="1"/>
      <c r="G62" s="1"/>
      <c r="T62" t="s">
        <v>177</v>
      </c>
    </row>
    <row r="63" spans="1:22" ht="15" thickBot="1" x14ac:dyDescent="0.45">
      <c r="B63" s="263"/>
      <c r="C63" s="36" t="s">
        <v>24</v>
      </c>
      <c r="D63" s="37">
        <f t="shared" ref="D63:D75" si="0">VLOOKUP(C63,$B$7:$Q$19,16,FALSE)</f>
        <v>150789463.7572</v>
      </c>
      <c r="E63" s="37" t="str">
        <f>_xlfn.XLOOKUP(C63,'Investor Categories'!D:D,'Investor Categories'!C:C,"")</f>
        <v>Alfred I. duPont Charitable Trust</v>
      </c>
      <c r="F63" s="280" t="str" cm="1">
        <f t="array" ref="F63:F75">_xlfn._xlws.SORT(_xlfn.UNIQUE(E63:E78))</f>
        <v/>
      </c>
      <c r="G63" s="264"/>
      <c r="H63" s="38"/>
      <c r="I63" s="38"/>
      <c r="J63" s="38"/>
      <c r="K63" s="281"/>
      <c r="L63" s="57"/>
      <c r="M63" s="57"/>
      <c r="N63" s="37" t="s">
        <v>153</v>
      </c>
      <c r="O63" s="114">
        <f>SUM(D63:D74)+D75</f>
        <v>849110344.28799999</v>
      </c>
      <c r="P63" s="57"/>
      <c r="Q63" s="180" cm="1">
        <f t="array" ref="Q63:Q74">_xlfn._xlws.SORT(G64:G75,1,-1)</f>
        <v>284477397.60500002</v>
      </c>
      <c r="R63" s="181">
        <f>Q63/$O$63</f>
        <v>0.33502995166492922</v>
      </c>
      <c r="S63" s="5"/>
      <c r="T63" s="190">
        <f>O63+O87+O95+O114+O132+O140+O155</f>
        <v>1838344828.9580996</v>
      </c>
      <c r="U63" s="5"/>
    </row>
    <row r="64" spans="1:22" ht="15" thickBot="1" x14ac:dyDescent="0.45">
      <c r="B64" s="263"/>
      <c r="C64" s="39" t="s">
        <v>26</v>
      </c>
      <c r="D64" s="40">
        <f t="shared" si="0"/>
        <v>0</v>
      </c>
      <c r="E64" s="40" t="str">
        <f>_xlfn.XLOOKUP(C64,'Investor Categories'!D:D,'Investor Categories'!C:C,"")</f>
        <v>AMICA (Pension)</v>
      </c>
      <c r="F64" s="282" t="str">
        <v>Alfred I. duPont Charitable Trust</v>
      </c>
      <c r="G64" s="265">
        <f>SUMIFS($D$63:$D$78,$E$63:$E$78,F64)</f>
        <v>180426442.62019998</v>
      </c>
      <c r="H64" s="41" t="str">
        <f>VLOOKUP(F64,'Investor Categories'!C:E,3,FALSE)</f>
        <v>(g) Non-profits</v>
      </c>
      <c r="I64" s="41"/>
      <c r="J64" s="41"/>
      <c r="K64" s="60"/>
      <c r="L64" s="58"/>
      <c r="M64" s="58"/>
      <c r="N64" s="58"/>
      <c r="O64" s="58"/>
      <c r="P64" s="58"/>
      <c r="Q64" s="40">
        <v>180426442.62019998</v>
      </c>
      <c r="R64" s="59">
        <f>Q64/$O$63</f>
        <v>0.21248880529360648</v>
      </c>
      <c r="S64" s="5"/>
      <c r="T64" s="5"/>
      <c r="U64" s="5"/>
    </row>
    <row r="65" spans="2:21" x14ac:dyDescent="0.4">
      <c r="B65" s="263"/>
      <c r="C65" s="42" t="s">
        <v>27</v>
      </c>
      <c r="D65" s="43">
        <f t="shared" si="0"/>
        <v>50428933.758599997</v>
      </c>
      <c r="E65" s="43" t="str">
        <f>_xlfn.XLOOKUP(C65,'Investor Categories'!D:D,'Investor Categories'!C:C,"")</f>
        <v>Children's Health System of Texas</v>
      </c>
      <c r="F65" s="283" t="str">
        <v>Alfred I. duPont Charitable Trust Pension</v>
      </c>
      <c r="G65" s="265">
        <f t="shared" ref="G65:G75" si="1">SUMIFS($D$63:$D$78,$E$63:$E$78,F65)</f>
        <v>13394166.852399999</v>
      </c>
      <c r="H65" s="41" t="str">
        <f>VLOOKUP(F65,'Investor Categories'!C:E,3,FALSE)</f>
        <v xml:space="preserve">(h) Pension plans (excluding governmental pension plans) </v>
      </c>
      <c r="I65" s="41"/>
      <c r="J65" s="41"/>
      <c r="K65" s="60"/>
      <c r="L65" s="57"/>
      <c r="M65" s="57"/>
      <c r="N65" s="175" t="s">
        <v>142</v>
      </c>
      <c r="O65" s="176">
        <f>SUMIFS($G$63:$G$84,$H$63:$H$84,N65)/$O$63</f>
        <v>0.64404568149097341</v>
      </c>
      <c r="P65" s="58"/>
      <c r="Q65" s="43">
        <v>72026040.020000011</v>
      </c>
      <c r="R65" s="59">
        <f t="shared" ref="R65:R74" si="2">Q65/$O$63</f>
        <v>8.4825300391783154E-2</v>
      </c>
      <c r="S65" s="5"/>
      <c r="T65" s="5"/>
      <c r="U65" s="5"/>
    </row>
    <row r="66" spans="2:21" x14ac:dyDescent="0.4">
      <c r="B66" s="263"/>
      <c r="C66" s="39" t="s">
        <v>28</v>
      </c>
      <c r="D66" s="40">
        <f t="shared" si="0"/>
        <v>60239740.115500003</v>
      </c>
      <c r="E66" s="40" t="str">
        <f>_xlfn.XLOOKUP(C66,'Investor Categories'!D:D,'Investor Categories'!C:C,"")</f>
        <v>IRR K LLC</v>
      </c>
      <c r="F66" s="282" t="str">
        <v>AMFAM</v>
      </c>
      <c r="G66" s="265">
        <f t="shared" si="1"/>
        <v>62022423.34215463</v>
      </c>
      <c r="H66" s="41" t="str">
        <f>VLOOKUP(F66,'Investor Categories'!C:E,3,FALSE)</f>
        <v xml:space="preserve">(d) Insurance companies </v>
      </c>
      <c r="I66" s="41"/>
      <c r="J66" s="41"/>
      <c r="K66" s="60"/>
      <c r="L66" s="58"/>
      <c r="M66" s="58"/>
      <c r="N66" s="44" t="s">
        <v>143</v>
      </c>
      <c r="O66" s="177">
        <f t="shared" ref="O66:O69" si="3">SUMIFS($G$63:$G$84,$H$63:$H$84,N66)/$O$63</f>
        <v>1.5774353642613245E-2</v>
      </c>
      <c r="P66" s="58"/>
      <c r="Q66" s="40">
        <v>62022423.34215463</v>
      </c>
      <c r="R66" s="59">
        <f t="shared" si="2"/>
        <v>7.3044008660808346E-2</v>
      </c>
      <c r="S66" s="5"/>
      <c r="T66" s="5"/>
      <c r="U66" s="5"/>
    </row>
    <row r="67" spans="2:21" x14ac:dyDescent="0.4">
      <c r="B67" s="263"/>
      <c r="C67" s="42" t="s">
        <v>29</v>
      </c>
      <c r="D67" s="43">
        <f t="shared" si="0"/>
        <v>27946.0965</v>
      </c>
      <c r="E67" s="43" t="str">
        <f>_xlfn.XLOOKUP(C67,'Investor Categories'!D:D,'Investor Categories'!C:C,"")</f>
        <v>LMCP INTERNAL</v>
      </c>
      <c r="F67" s="283" t="str">
        <v>AMICA (Pension)</v>
      </c>
      <c r="G67" s="265">
        <f t="shared" si="1"/>
        <v>0</v>
      </c>
      <c r="H67" s="41" t="str">
        <f>VLOOKUP(F67,'Investor Categories'!C:E,3,FALSE)</f>
        <v xml:space="preserve">(h) Pension plans (excluding governmental pension plans) </v>
      </c>
      <c r="I67" s="41"/>
      <c r="J67" s="41"/>
      <c r="K67" s="60"/>
      <c r="L67" s="58"/>
      <c r="M67" s="58"/>
      <c r="N67" s="44" t="s">
        <v>141</v>
      </c>
      <c r="O67" s="177">
        <f t="shared" si="3"/>
        <v>0.15576983724819432</v>
      </c>
      <c r="P67" s="58"/>
      <c r="Q67" s="40">
        <v>60239740.115500003</v>
      </c>
      <c r="R67" s="59">
        <f t="shared" si="2"/>
        <v>7.0944536856411181E-2</v>
      </c>
      <c r="S67" s="5"/>
      <c r="T67" s="5"/>
      <c r="U67" s="5"/>
    </row>
    <row r="68" spans="2:21" x14ac:dyDescent="0.4">
      <c r="B68" s="263"/>
      <c r="C68" s="42" t="s">
        <v>169</v>
      </c>
      <c r="D68" s="43">
        <f t="shared" si="0"/>
        <v>60021700.020000003</v>
      </c>
      <c r="E68" s="43" t="str">
        <f>_xlfn.XLOOKUP(C68,'Investor Categories'!D:D,'Investor Categories'!C:C,"")</f>
        <v>Makena</v>
      </c>
      <c r="F68" s="283" t="str">
        <v>Children's Health System of Texas</v>
      </c>
      <c r="G68" s="265">
        <f t="shared" si="1"/>
        <v>50428933.758599997</v>
      </c>
      <c r="H68" s="41" t="str">
        <f>VLOOKUP(F68,'Investor Categories'!C:E,3,FALSE)</f>
        <v>(g) Non-profits</v>
      </c>
      <c r="I68" s="41"/>
      <c r="J68" s="41"/>
      <c r="K68" s="60"/>
      <c r="L68" s="58"/>
      <c r="M68" s="58"/>
      <c r="N68" s="44" t="s">
        <v>140</v>
      </c>
      <c r="O68" s="177">
        <f t="shared" si="3"/>
        <v>0</v>
      </c>
      <c r="P68" s="58"/>
      <c r="Q68" s="40">
        <v>50428933.758599997</v>
      </c>
      <c r="R68" s="59">
        <f t="shared" si="2"/>
        <v>5.9390318464305016E-2</v>
      </c>
      <c r="S68" s="5"/>
      <c r="T68" s="5"/>
      <c r="U68" s="5"/>
    </row>
    <row r="69" spans="2:21" ht="15" thickBot="1" x14ac:dyDescent="0.45">
      <c r="B69" s="263"/>
      <c r="C69" s="39" t="s">
        <v>170</v>
      </c>
      <c r="D69" s="40">
        <f t="shared" si="0"/>
        <v>12004340</v>
      </c>
      <c r="E69" s="40" t="str">
        <f>_xlfn.XLOOKUP(C69,'Investor Categories'!D:D,'Investor Categories'!C:C,"")</f>
        <v>Makena</v>
      </c>
      <c r="F69" s="282" t="str">
        <v>IRR K LLC</v>
      </c>
      <c r="G69" s="265">
        <f t="shared" si="1"/>
        <v>60239740.115500003</v>
      </c>
      <c r="H69" s="41" t="str">
        <f>VLOOKUP(F69,'Investor Categories'!C:E,3,FALSE)</f>
        <v xml:space="preserve">(f) Private funds </v>
      </c>
      <c r="I69" s="41"/>
      <c r="J69" s="41"/>
      <c r="K69" s="60"/>
      <c r="L69" s="61"/>
      <c r="M69" s="61"/>
      <c r="N69" s="178" t="s">
        <v>139</v>
      </c>
      <c r="O69" s="179">
        <f t="shared" si="3"/>
        <v>0.18437721540994367</v>
      </c>
      <c r="P69" s="58"/>
      <c r="Q69" s="40">
        <v>47517179.173424922</v>
      </c>
      <c r="R69" s="59">
        <f t="shared" si="2"/>
        <v>5.5961135667554784E-2</v>
      </c>
      <c r="S69" s="5"/>
      <c r="T69" s="5"/>
      <c r="U69" s="5"/>
    </row>
    <row r="70" spans="2:21" x14ac:dyDescent="0.4">
      <c r="B70" s="263"/>
      <c r="C70" s="42" t="s">
        <v>31</v>
      </c>
      <c r="D70" s="43">
        <f t="shared" si="0"/>
        <v>31533076.3642</v>
      </c>
      <c r="E70" s="43" t="str">
        <f>_xlfn.XLOOKUP(C70,'Investor Categories'!D:D,'Investor Categories'!C:C,"")</f>
        <v>The Kresge Foundation</v>
      </c>
      <c r="F70" s="283" t="str">
        <v>LMCP INTERNAL</v>
      </c>
      <c r="G70" s="265">
        <f t="shared" si="1"/>
        <v>27946.0965</v>
      </c>
      <c r="H70" s="41" t="str">
        <f>VLOOKUP(F70,'Investor Categories'!C:E,3,FALSE)</f>
        <v>(o) LMCP INTERNAL</v>
      </c>
      <c r="I70" s="41"/>
      <c r="J70" s="41"/>
      <c r="K70" s="60"/>
      <c r="L70" s="58"/>
      <c r="M70" s="58"/>
      <c r="N70" s="237" t="s">
        <v>133</v>
      </c>
      <c r="O70" s="239">
        <f>SUM(O65:O69)</f>
        <v>0.99996708779172461</v>
      </c>
      <c r="P70" s="58"/>
      <c r="Q70" s="40">
        <v>47016998.340020448</v>
      </c>
      <c r="R70" s="59">
        <f t="shared" si="2"/>
        <v>5.5372071081580529E-2</v>
      </c>
      <c r="S70" s="5"/>
      <c r="T70" s="5"/>
      <c r="U70" s="5"/>
    </row>
    <row r="71" spans="2:21" s="1" customFormat="1" x14ac:dyDescent="0.4">
      <c r="B71" s="263"/>
      <c r="C71" s="42" t="s">
        <v>32</v>
      </c>
      <c r="D71" s="43">
        <f t="shared" si="0"/>
        <v>2017088.4272</v>
      </c>
      <c r="E71" s="43" t="str">
        <f>_xlfn.XLOOKUP(C71,'Investor Categories'!D:D,'Investor Categories'!C:C,"")</f>
        <v>Alfred I. duPont Charitable Trust</v>
      </c>
      <c r="F71" s="283" t="str">
        <v>Makena</v>
      </c>
      <c r="G71" s="265">
        <f t="shared" si="1"/>
        <v>72026040.020000011</v>
      </c>
      <c r="H71" s="41" t="str">
        <f>VLOOKUP(F71,'Investor Categories'!C:E,3,FALSE)</f>
        <v xml:space="preserve">(f) Private funds </v>
      </c>
      <c r="I71" s="41"/>
      <c r="J71" s="41"/>
      <c r="K71" s="60"/>
      <c r="L71" s="58"/>
      <c r="M71" s="58"/>
      <c r="N71" s="58"/>
      <c r="O71" s="58"/>
      <c r="P71" s="58"/>
      <c r="Q71" s="40">
        <v>31533076.3642</v>
      </c>
      <c r="R71" s="59">
        <f t="shared" si="2"/>
        <v>3.7136606068132717E-2</v>
      </c>
      <c r="S71" s="5"/>
      <c r="T71" s="5"/>
      <c r="U71" s="5"/>
    </row>
    <row r="72" spans="2:21" s="1" customFormat="1" x14ac:dyDescent="0.4">
      <c r="B72" s="263"/>
      <c r="C72" s="42" t="s">
        <v>33</v>
      </c>
      <c r="D72" s="43">
        <f t="shared" si="0"/>
        <v>27619890.435800001</v>
      </c>
      <c r="E72" s="43" t="str">
        <f>_xlfn.XLOOKUP(C72,'Investor Categories'!D:D,'Investor Categories'!C:C,"")</f>
        <v>Alfred I. duPont Charitable Trust</v>
      </c>
      <c r="F72" s="283" t="str">
        <v>MERCURY</v>
      </c>
      <c r="G72" s="265">
        <f t="shared" si="1"/>
        <v>47016998.340020448</v>
      </c>
      <c r="H72" s="41" t="str">
        <f>VLOOKUP(F72,'Investor Categories'!C:E,3,FALSE)</f>
        <v xml:space="preserve">(d) Insurance companies </v>
      </c>
      <c r="I72" s="41"/>
      <c r="J72" s="41"/>
      <c r="K72" s="60"/>
      <c r="L72" s="58"/>
      <c r="M72" s="58"/>
      <c r="N72" s="58"/>
      <c r="O72" s="58"/>
      <c r="P72" s="58"/>
      <c r="Q72" s="40">
        <v>13394166.852399999</v>
      </c>
      <c r="R72" s="59">
        <f t="shared" si="2"/>
        <v>1.5774353642613245E-2</v>
      </c>
      <c r="S72" s="5"/>
      <c r="T72" s="5"/>
      <c r="U72" s="5"/>
    </row>
    <row r="73" spans="2:21" x14ac:dyDescent="0.4">
      <c r="B73" s="263"/>
      <c r="C73" s="39" t="s">
        <v>34</v>
      </c>
      <c r="D73" s="40">
        <f t="shared" si="0"/>
        <v>13394166.852399999</v>
      </c>
      <c r="E73" s="40" t="str">
        <f>_xlfn.XLOOKUP(C73,'Investor Categories'!D:D,'Investor Categories'!C:C,"")</f>
        <v>Alfred I. duPont Charitable Trust Pension</v>
      </c>
      <c r="F73" s="282" t="str">
        <v>The Kresge Foundation</v>
      </c>
      <c r="G73" s="265">
        <f t="shared" si="1"/>
        <v>31533076.3642</v>
      </c>
      <c r="H73" s="41" t="str">
        <f>VLOOKUP(F73,'Investor Categories'!C:E,3,FALSE)</f>
        <v>(g) Non-profits</v>
      </c>
      <c r="I73" s="41"/>
      <c r="J73" s="41"/>
      <c r="K73" s="60"/>
      <c r="L73" s="58"/>
      <c r="M73" s="58"/>
      <c r="N73" s="58"/>
      <c r="O73" s="58"/>
      <c r="P73" s="58"/>
      <c r="Q73" s="43">
        <v>27946.0965</v>
      </c>
      <c r="R73" s="59">
        <f t="shared" si="2"/>
        <v>3.2912208275396163E-5</v>
      </c>
      <c r="S73" s="5"/>
      <c r="T73" s="5"/>
      <c r="U73" s="5"/>
    </row>
    <row r="74" spans="2:21" ht="15" thickBot="1" x14ac:dyDescent="0.45">
      <c r="B74" s="263"/>
      <c r="C74" s="162" t="s">
        <v>35</v>
      </c>
      <c r="D74" s="163">
        <f t="shared" si="0"/>
        <v>284477397.60500002</v>
      </c>
      <c r="E74" s="43" t="str">
        <f>_xlfn.XLOOKUP(C74,'Investor Categories'!D:D,'Investor Categories'!C:C,"")</f>
        <v>UVIMCO</v>
      </c>
      <c r="F74" s="283" t="str">
        <v>UVIMCO</v>
      </c>
      <c r="G74" s="265">
        <f t="shared" si="1"/>
        <v>284477397.60500002</v>
      </c>
      <c r="H74" s="41" t="str">
        <f>VLOOKUP(F74,'Investor Categories'!C:E,3,FALSE)</f>
        <v>(g) Non-profits</v>
      </c>
      <c r="I74" s="41"/>
      <c r="J74" s="41"/>
      <c r="K74" s="60"/>
      <c r="L74" s="58"/>
      <c r="M74" s="58"/>
      <c r="N74" s="58"/>
      <c r="O74" s="58"/>
      <c r="P74" s="58"/>
      <c r="Q74" s="40">
        <v>0</v>
      </c>
      <c r="R74" s="59">
        <f t="shared" si="2"/>
        <v>0</v>
      </c>
      <c r="S74" s="5"/>
      <c r="T74" s="5"/>
      <c r="U74" s="5"/>
    </row>
    <row r="75" spans="2:21" ht="15" thickBot="1" x14ac:dyDescent="0.45">
      <c r="B75" s="263"/>
      <c r="C75" s="39" t="s">
        <v>30</v>
      </c>
      <c r="D75" s="158">
        <f t="shared" si="0"/>
        <v>156556600.8556</v>
      </c>
      <c r="E75" s="43" t="str">
        <f>_xlfn.XLOOKUP(C75,'Investor Categories'!D:D,'Investor Categories'!C:C,"")</f>
        <v/>
      </c>
      <c r="F75" s="282" t="str">
        <v>WOODMEN</v>
      </c>
      <c r="G75" s="265">
        <f t="shared" si="1"/>
        <v>47517179.173424922</v>
      </c>
      <c r="H75" s="41" t="str">
        <f>VLOOKUP(F75,'Investor Categories'!C:E,3,FALSE)</f>
        <v xml:space="preserve">(d) Insurance companies </v>
      </c>
      <c r="I75" s="41"/>
      <c r="J75" s="41"/>
      <c r="K75" s="60"/>
      <c r="L75" s="58"/>
      <c r="M75" s="58"/>
      <c r="N75" s="58"/>
      <c r="O75" s="58"/>
      <c r="P75" s="58"/>
      <c r="Q75" s="40"/>
      <c r="R75" s="59"/>
      <c r="S75" s="5"/>
      <c r="T75" s="5"/>
      <c r="U75" s="5"/>
    </row>
    <row r="76" spans="2:21" ht="15" thickBot="1" x14ac:dyDescent="0.45">
      <c r="B76" s="263"/>
      <c r="C76" s="39" t="s">
        <v>125</v>
      </c>
      <c r="D76" s="40">
        <f>SUMIFS(Notes_M1,PrimeNoteHolders,Prime_InvestorCapitalPerf!C76)/SUM(Notes_M1)*$D$75</f>
        <v>62022423.34215463</v>
      </c>
      <c r="E76" s="40" t="str">
        <f>_xlfn.XLOOKUP(C76,'Investor Categories'!D:D,'Investor Categories'!C:C,"")</f>
        <v>AMFAM</v>
      </c>
      <c r="F76" s="284" t="s">
        <v>119</v>
      </c>
      <c r="G76" s="275">
        <f>SUM(G64:G75)</f>
        <v>849110344.28799999</v>
      </c>
      <c r="H76" s="41"/>
      <c r="I76" s="41"/>
      <c r="J76" s="41"/>
      <c r="K76" s="60"/>
      <c r="L76" s="58"/>
      <c r="M76" s="58"/>
      <c r="N76" s="58"/>
      <c r="O76" s="58"/>
      <c r="P76" s="58"/>
      <c r="Q76" s="43"/>
      <c r="R76" s="59"/>
      <c r="S76" s="5"/>
      <c r="T76" s="5"/>
      <c r="U76" s="5"/>
    </row>
    <row r="77" spans="2:21" ht="15" thickBot="1" x14ac:dyDescent="0.45">
      <c r="B77" s="263"/>
      <c r="C77" s="39" t="s">
        <v>130</v>
      </c>
      <c r="D77" s="40">
        <f>SUMIFS(Notes_M1,PrimeNoteHolders,Prime_InvestorCapitalPerf!C77)/SUM(Notes_M1)*$D$75</f>
        <v>47016998.340020448</v>
      </c>
      <c r="E77" s="40" t="str">
        <f>_xlfn.XLOOKUP(C77,'Investor Categories'!D:D,'Investor Categories'!C:C,"")</f>
        <v>MERCURY</v>
      </c>
      <c r="F77" s="285" t="s">
        <v>223</v>
      </c>
      <c r="G77" s="266">
        <f>G76-O63</f>
        <v>0</v>
      </c>
      <c r="H77" s="47"/>
      <c r="I77" s="47"/>
      <c r="J77" s="47"/>
      <c r="K77" s="286"/>
      <c r="L77" s="58"/>
      <c r="M77" s="58"/>
      <c r="N77" s="58"/>
      <c r="O77" s="58"/>
      <c r="P77" s="58"/>
      <c r="Q77" s="43"/>
      <c r="R77" s="59"/>
      <c r="S77" s="5"/>
      <c r="T77" s="5"/>
      <c r="U77" s="5"/>
    </row>
    <row r="78" spans="2:21" x14ac:dyDescent="0.4">
      <c r="B78" s="263"/>
      <c r="C78" s="39" t="s">
        <v>132</v>
      </c>
      <c r="D78" s="40">
        <f>SUMIFS(Notes_M1,PrimeNoteHolders,Prime_InvestorCapitalPerf!C78)/SUM(Notes_M1)*$D$75</f>
        <v>47517179.173424922</v>
      </c>
      <c r="E78" s="40" t="str">
        <f>_xlfn.XLOOKUP(C78,'Investor Categories'!D:D,'Investor Categories'!C:C,"")</f>
        <v>WOODMEN</v>
      </c>
      <c r="F78" s="40"/>
      <c r="G78" s="265"/>
      <c r="H78" s="41"/>
      <c r="I78" s="41"/>
      <c r="J78" s="41"/>
      <c r="K78" s="58"/>
      <c r="L78" s="58"/>
      <c r="M78" s="58"/>
      <c r="N78" s="58"/>
      <c r="O78" s="58"/>
      <c r="P78" s="58"/>
      <c r="Q78" s="43"/>
      <c r="R78" s="59"/>
      <c r="S78" s="5"/>
      <c r="T78" s="5"/>
      <c r="U78" s="5"/>
    </row>
    <row r="79" spans="2:21" x14ac:dyDescent="0.4">
      <c r="C79" s="39"/>
      <c r="D79" s="40"/>
      <c r="E79" s="40"/>
      <c r="F79" s="40"/>
      <c r="G79" s="265"/>
      <c r="H79" s="41"/>
      <c r="I79" s="41"/>
      <c r="J79" s="41"/>
      <c r="K79" s="58"/>
      <c r="L79" s="58"/>
      <c r="M79" s="58"/>
      <c r="N79" s="58"/>
      <c r="O79" s="58"/>
      <c r="P79" s="58"/>
      <c r="Q79" s="40"/>
      <c r="R79" s="59"/>
      <c r="S79" s="5"/>
      <c r="T79" s="5"/>
      <c r="U79" s="5"/>
    </row>
    <row r="80" spans="2:21" x14ac:dyDescent="0.4">
      <c r="C80" s="39"/>
      <c r="D80" s="40"/>
      <c r="E80" s="40"/>
      <c r="F80" s="40"/>
      <c r="G80" s="265"/>
      <c r="H80" s="41"/>
      <c r="I80" s="41"/>
      <c r="J80" s="41"/>
      <c r="K80" s="58"/>
      <c r="L80" s="58"/>
      <c r="M80" s="58"/>
      <c r="N80" s="58"/>
      <c r="O80" s="58"/>
      <c r="P80" s="58"/>
      <c r="Q80" s="40"/>
      <c r="R80" s="59"/>
      <c r="S80" s="5"/>
      <c r="T80" s="5"/>
      <c r="U80" s="5"/>
    </row>
    <row r="81" spans="3:21" x14ac:dyDescent="0.4">
      <c r="C81" s="39"/>
      <c r="D81" s="40"/>
      <c r="E81" s="40"/>
      <c r="F81" s="40"/>
      <c r="G81" s="265"/>
      <c r="H81" s="41"/>
      <c r="I81" s="41"/>
      <c r="J81" s="41"/>
      <c r="K81" s="58"/>
      <c r="L81" s="58"/>
      <c r="M81" s="58"/>
      <c r="N81" s="58"/>
      <c r="O81" s="58"/>
      <c r="P81" s="58"/>
      <c r="Q81" s="237" t="s">
        <v>167</v>
      </c>
      <c r="R81" s="238">
        <f>MAX(R63:R78)</f>
        <v>0.33502995166492922</v>
      </c>
      <c r="S81" s="5"/>
      <c r="T81" s="5"/>
      <c r="U81" s="5"/>
    </row>
    <row r="82" spans="3:21" x14ac:dyDescent="0.4">
      <c r="C82" s="39"/>
      <c r="D82" s="40"/>
      <c r="E82" s="40"/>
      <c r="F82" s="40"/>
      <c r="G82" s="265"/>
      <c r="H82" s="41"/>
      <c r="I82" s="41"/>
      <c r="J82" s="41"/>
      <c r="K82" s="58"/>
      <c r="L82" s="58"/>
      <c r="M82" s="58"/>
      <c r="N82" s="58"/>
      <c r="O82" s="58"/>
      <c r="P82" s="58"/>
      <c r="Q82" s="237" t="s">
        <v>154</v>
      </c>
      <c r="R82" s="238">
        <f>SUM(R63:R67)</f>
        <v>0.77633260286753836</v>
      </c>
      <c r="S82" s="5"/>
      <c r="T82" s="5"/>
      <c r="U82" s="5"/>
    </row>
    <row r="83" spans="3:21" x14ac:dyDescent="0.4">
      <c r="C83" s="39"/>
      <c r="D83" s="40"/>
      <c r="E83" s="40"/>
      <c r="F83" s="40"/>
      <c r="G83" s="265"/>
      <c r="H83" s="41"/>
      <c r="I83" s="41"/>
      <c r="J83" s="41"/>
      <c r="K83" s="58"/>
      <c r="L83" s="58"/>
      <c r="M83" s="58"/>
      <c r="N83" s="58"/>
      <c r="O83" s="58"/>
      <c r="P83" s="58"/>
      <c r="Q83" s="237" t="s">
        <v>224</v>
      </c>
      <c r="R83" s="339">
        <f>COUNTIFS(R63:R76,"&gt;="&amp;0.05)</f>
        <v>8</v>
      </c>
      <c r="S83" s="5"/>
      <c r="T83" s="5"/>
      <c r="U83" s="5"/>
    </row>
    <row r="84" spans="3:21" ht="15" thickBot="1" x14ac:dyDescent="0.45">
      <c r="C84" s="45"/>
      <c r="D84" s="46"/>
      <c r="E84" s="46"/>
      <c r="F84" s="46"/>
      <c r="G84" s="266"/>
      <c r="H84" s="47"/>
      <c r="I84" s="47"/>
      <c r="J84" s="47"/>
      <c r="K84" s="61"/>
      <c r="L84" s="61"/>
      <c r="M84" s="61"/>
      <c r="N84" s="61"/>
      <c r="O84" s="61"/>
      <c r="P84" s="61"/>
      <c r="Q84" s="241" t="s">
        <v>133</v>
      </c>
      <c r="R84" s="242">
        <f>SUM(R63:R79)</f>
        <v>1</v>
      </c>
      <c r="S84" s="5"/>
      <c r="T84" s="5"/>
      <c r="U84" s="5"/>
    </row>
    <row r="85" spans="3:21" x14ac:dyDescent="0.4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3:21" ht="15" thickBot="1" x14ac:dyDescent="0.45">
      <c r="C86" s="62" t="s">
        <v>156</v>
      </c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</row>
    <row r="87" spans="3:21" ht="15" thickBot="1" x14ac:dyDescent="0.45">
      <c r="C87" s="64"/>
      <c r="D87" s="65"/>
      <c r="E87" s="65"/>
      <c r="F87" s="287"/>
      <c r="G87" s="65"/>
      <c r="H87" s="65"/>
      <c r="I87" s="288"/>
      <c r="J87" s="66"/>
      <c r="K87" s="67"/>
      <c r="L87" s="228" t="s">
        <v>139</v>
      </c>
      <c r="M87" s="68">
        <f>SUMIFS($D$88:$D$89,$H$88:$H$89,L87)/$O$87</f>
        <v>0</v>
      </c>
      <c r="N87" s="185" t="s">
        <v>161</v>
      </c>
      <c r="O87" s="189">
        <f>SUM(D88:D89)</f>
        <v>71742348.549999997</v>
      </c>
      <c r="P87" s="65"/>
      <c r="Q87" s="231" cm="1">
        <f t="array" ref="Q87:Q88">_xlfn._xlws.SORT(G88:G89,1,-1)</f>
        <v>71742348.549999997</v>
      </c>
      <c r="R87" s="232">
        <f>Q87/$O$87</f>
        <v>1</v>
      </c>
      <c r="S87" s="63"/>
      <c r="T87" s="5"/>
      <c r="U87" s="5"/>
    </row>
    <row r="88" spans="3:21" ht="15" thickBot="1" x14ac:dyDescent="0.45">
      <c r="C88" s="111" t="s">
        <v>38</v>
      </c>
      <c r="D88" s="113">
        <f>VLOOKUP(C88,$B$22:$Q$23,16,FALSE)</f>
        <v>31039641.982299998</v>
      </c>
      <c r="E88" s="113" t="str">
        <f>_xlfn.XLOOKUP(C88,'Investor Categories'!D:D,'Investor Categories'!C:C,"")</f>
        <v>The New York and Presbyterian Hospital</v>
      </c>
      <c r="F88" s="289" t="str" cm="1">
        <f t="array" ref="F88">_xlfn._xlws.SORT(_xlfn.UNIQUE(E88:E89))</f>
        <v>The New York and Presbyterian Hospital</v>
      </c>
      <c r="G88" s="113">
        <f>SUMIFS($D$88:$D$89,$E$88:$E$89,F88)</f>
        <v>71742348.549999997</v>
      </c>
      <c r="H88" s="112" t="str">
        <f>VLOOKUP(F88,'Investor Categories'!C:E,3,FALSE)</f>
        <v>(g) Non-profits</v>
      </c>
      <c r="I88" s="74"/>
      <c r="J88" s="71"/>
      <c r="K88" s="72"/>
      <c r="L88" s="229" t="s">
        <v>141</v>
      </c>
      <c r="M88" s="73">
        <f>SUMIFS($D$88:$D$89,$H$88:$H$89,L88)/$O$87</f>
        <v>0</v>
      </c>
      <c r="N88" s="70"/>
      <c r="O88" s="70"/>
      <c r="P88" s="70"/>
      <c r="Q88" s="233">
        <v>71742348.549999997</v>
      </c>
      <c r="R88" s="234">
        <f>Q88/$O$87</f>
        <v>1</v>
      </c>
      <c r="S88" s="63"/>
      <c r="T88" s="5"/>
      <c r="U88" s="5"/>
    </row>
    <row r="89" spans="3:21" ht="15" thickBot="1" x14ac:dyDescent="0.45">
      <c r="C89" s="111" t="s">
        <v>39</v>
      </c>
      <c r="D89" s="113">
        <f>VLOOKUP(C89,$B$22:$Q$23,16,FALSE)</f>
        <v>40702706.567699999</v>
      </c>
      <c r="E89" s="113" t="str">
        <f>_xlfn.XLOOKUP(C89,'Investor Categories'!D:D,'Investor Categories'!C:C,"")</f>
        <v>The New York and Presbyterian Hospital</v>
      </c>
      <c r="F89" s="291" t="s">
        <v>119</v>
      </c>
      <c r="G89" s="292">
        <f>SUM(G88)</f>
        <v>71742348.549999997</v>
      </c>
      <c r="H89" s="112"/>
      <c r="I89" s="74"/>
      <c r="J89" s="71"/>
      <c r="K89" s="72"/>
      <c r="L89" s="229" t="s">
        <v>142</v>
      </c>
      <c r="M89" s="73">
        <f>SUMIFS($G$88:$G$89,$H$88:$H$89,L89)/$O$87</f>
        <v>1</v>
      </c>
      <c r="N89" s="70"/>
      <c r="O89" s="70"/>
      <c r="P89" s="70"/>
      <c r="Q89" s="70"/>
      <c r="R89" s="74"/>
      <c r="S89" s="63"/>
      <c r="T89" s="5"/>
      <c r="U89" s="5"/>
    </row>
    <row r="90" spans="3:21" ht="15" thickBot="1" x14ac:dyDescent="0.45">
      <c r="C90" s="69"/>
      <c r="D90" s="70"/>
      <c r="E90" s="70"/>
      <c r="F90" s="293" t="s">
        <v>223</v>
      </c>
      <c r="G90" s="294">
        <f>G89-O87</f>
        <v>0</v>
      </c>
      <c r="H90" s="79"/>
      <c r="I90" s="80"/>
      <c r="J90" s="75"/>
      <c r="K90" s="76"/>
      <c r="L90" s="230"/>
      <c r="M90" s="77">
        <f>SUMIFS($D$88:$D$89,$H$88:$H$89,L90)/$O$87</f>
        <v>0</v>
      </c>
      <c r="N90" s="70"/>
      <c r="O90" s="70"/>
      <c r="P90" s="70"/>
      <c r="Q90" s="236" t="s">
        <v>154</v>
      </c>
      <c r="R90" s="235">
        <f>SUM(R87:R89)</f>
        <v>2</v>
      </c>
      <c r="S90" s="63"/>
      <c r="T90" s="5"/>
      <c r="U90" s="5"/>
    </row>
    <row r="91" spans="3:21" x14ac:dyDescent="0.4">
      <c r="C91" s="69"/>
      <c r="D91" s="70"/>
      <c r="E91" s="70"/>
      <c r="F91" s="70"/>
      <c r="G91" s="268"/>
      <c r="H91" s="70"/>
      <c r="I91" s="70"/>
      <c r="J91" s="70"/>
      <c r="K91" s="70"/>
      <c r="L91" s="70" t="s">
        <v>133</v>
      </c>
      <c r="M91" s="240">
        <f>SUM(M87:M90)</f>
        <v>1</v>
      </c>
      <c r="N91" s="70"/>
      <c r="O91" s="70"/>
      <c r="P91" s="70"/>
      <c r="Q91" s="70"/>
      <c r="R91" s="74"/>
      <c r="S91" s="63"/>
      <c r="T91" s="5"/>
      <c r="U91" s="5"/>
    </row>
    <row r="92" spans="3:21" ht="15" thickBot="1" x14ac:dyDescent="0.45">
      <c r="C92" s="78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80"/>
      <c r="S92" s="63"/>
      <c r="T92" s="5"/>
      <c r="U92" s="5"/>
    </row>
    <row r="93" spans="3:21" x14ac:dyDescent="0.4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63"/>
      <c r="T93" s="5"/>
      <c r="U93" s="5"/>
    </row>
    <row r="94" spans="3:21" ht="15" thickBot="1" x14ac:dyDescent="0.45">
      <c r="C94" s="5" t="s">
        <v>158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63"/>
      <c r="T94" s="5"/>
      <c r="U94" s="5"/>
    </row>
    <row r="95" spans="3:21" ht="15" thickBot="1" x14ac:dyDescent="0.45">
      <c r="C95" s="36" t="s">
        <v>24</v>
      </c>
      <c r="D95" s="37">
        <f t="shared" ref="D95:D102" si="4">VLOOKUP(C95,$B$32:$Q$39,16,FALSE)</f>
        <v>75440451.089599997</v>
      </c>
      <c r="E95" s="37" t="str">
        <f>_xlfn.XLOOKUP(C95,'Investor Categories'!D:D,'Investor Categories'!C:C,"")</f>
        <v>Alfred I. duPont Charitable Trust</v>
      </c>
      <c r="F95" s="280" t="str" cm="1">
        <f t="array" ref="F95:F100">_xlfn._xlws.SORT(_xlfn.UNIQUE(E95:E103))</f>
        <v/>
      </c>
      <c r="G95" s="37"/>
      <c r="H95" s="38"/>
      <c r="I95" s="38"/>
      <c r="J95" s="38"/>
      <c r="K95" s="281"/>
      <c r="L95" s="57"/>
      <c r="M95" s="57"/>
      <c r="N95" s="37" t="s">
        <v>153</v>
      </c>
      <c r="O95" s="114">
        <f>SUM(D95:D101)+D102</f>
        <v>318654474.29009998</v>
      </c>
      <c r="P95" s="57"/>
      <c r="Q95" s="180" cm="1">
        <f t="array" ref="Q95:Q99">_xlfn._xlws.SORT(G96:G100,1,-1)</f>
        <v>100147583.4523</v>
      </c>
      <c r="R95" s="181">
        <f>Q95/$O$95</f>
        <v>0.31428268401192005</v>
      </c>
      <c r="S95" s="63"/>
      <c r="T95" s="5"/>
      <c r="U95" s="5"/>
    </row>
    <row r="96" spans="3:21" ht="15" thickBot="1" x14ac:dyDescent="0.45">
      <c r="C96" s="39" t="s">
        <v>38</v>
      </c>
      <c r="D96" s="40">
        <f t="shared" si="4"/>
        <v>50535398.144199997</v>
      </c>
      <c r="E96" s="40" t="str">
        <f>_xlfn.XLOOKUP(C96,'Investor Categories'!D:D,'Investor Categories'!C:C,"")</f>
        <v>The New York and Presbyterian Hospital</v>
      </c>
      <c r="F96" s="282" t="str">
        <v>Alfred I. duPont Charitable Trust</v>
      </c>
      <c r="G96" s="265">
        <f>SUMIFS($D$95:$D$103,$E$95:$E$103,F96)</f>
        <v>90304378.897599995</v>
      </c>
      <c r="H96" s="41" t="str">
        <f>VLOOKUP(F96,'Investor Categories'!C:E,3,FALSE)</f>
        <v>(g) Non-profits</v>
      </c>
      <c r="I96" s="41"/>
      <c r="J96" s="41"/>
      <c r="K96" s="60"/>
      <c r="L96" s="58"/>
      <c r="M96" s="58"/>
      <c r="N96" s="58"/>
      <c r="O96" s="58"/>
      <c r="P96" s="58"/>
      <c r="Q96" s="40">
        <v>90837672.156199992</v>
      </c>
      <c r="R96" s="59">
        <f>Q96/$O$95</f>
        <v>0.28506636336605223</v>
      </c>
      <c r="S96" s="63"/>
      <c r="T96" s="5"/>
      <c r="U96" s="5"/>
    </row>
    <row r="97" spans="3:21" x14ac:dyDescent="0.4">
      <c r="C97" s="39" t="s">
        <v>31</v>
      </c>
      <c r="D97" s="40">
        <f t="shared" si="4"/>
        <v>30674219.4494</v>
      </c>
      <c r="E97" s="40" t="str">
        <f>_xlfn.XLOOKUP(C97,'Investor Categories'!D:D,'Investor Categories'!C:C,"")</f>
        <v>The Kresge Foundation</v>
      </c>
      <c r="F97" s="282" t="str">
        <v>Alfred I. duPont Charitable Trust Pension</v>
      </c>
      <c r="G97" s="265">
        <f t="shared" ref="G97:G100" si="5">SUMIFS($D$95:$D$103,$E$95:$E$103,F97)</f>
        <v>6690620.3345999997</v>
      </c>
      <c r="H97" s="41" t="str">
        <f>VLOOKUP(F97,'Investor Categories'!C:E,3,FALSE)</f>
        <v xml:space="preserve">(h) Pension plans (excluding governmental pension plans) </v>
      </c>
      <c r="I97" s="41"/>
      <c r="J97" s="41"/>
      <c r="K97" s="60"/>
      <c r="L97" s="57"/>
      <c r="M97" s="57"/>
      <c r="N97" s="175" t="s">
        <v>142</v>
      </c>
      <c r="O97" s="176">
        <f>SUMIFS($G$95:$G$111,$H$95:$H$111,N97)/$O$95</f>
        <v>0.66472084214441152</v>
      </c>
      <c r="P97" s="58"/>
      <c r="Q97" s="40">
        <v>90304378.897599995</v>
      </c>
      <c r="R97" s="59">
        <f t="shared" ref="R97:R99" si="6">Q97/$O$95</f>
        <v>0.28339278492411113</v>
      </c>
      <c r="S97" s="63"/>
      <c r="T97" s="5"/>
      <c r="U97" s="5"/>
    </row>
    <row r="98" spans="3:21" x14ac:dyDescent="0.4">
      <c r="C98" s="42" t="s">
        <v>32</v>
      </c>
      <c r="D98" s="43">
        <f t="shared" si="4"/>
        <v>1004672.678</v>
      </c>
      <c r="E98" s="43" t="str">
        <f>_xlfn.XLOOKUP(C98,'Investor Categories'!D:D,'Investor Categories'!C:C,"")</f>
        <v>Alfred I. duPont Charitable Trust</v>
      </c>
      <c r="F98" s="283" t="str">
        <v>OMAHA</v>
      </c>
      <c r="G98" s="265">
        <f t="shared" si="5"/>
        <v>100147583.4523</v>
      </c>
      <c r="H98" s="41" t="str">
        <f>VLOOKUP(F98,'Investor Categories'!C:E,3,FALSE)</f>
        <v xml:space="preserve">(d) Insurance companies </v>
      </c>
      <c r="I98" s="41"/>
      <c r="J98" s="41"/>
      <c r="K98" s="60"/>
      <c r="L98" s="58"/>
      <c r="M98" s="58"/>
      <c r="N98" s="44" t="s">
        <v>143</v>
      </c>
      <c r="O98" s="177">
        <f t="shared" ref="O98:O100" si="7">SUMIFS($G$95:$G$111,$H$95:$H$111,N98)/$O$95</f>
        <v>2.0996473843668435E-2</v>
      </c>
      <c r="P98" s="58"/>
      <c r="Q98" s="40">
        <v>30674219.4494</v>
      </c>
      <c r="R98" s="59">
        <f t="shared" si="6"/>
        <v>9.6261693854248181E-2</v>
      </c>
      <c r="S98" s="63"/>
      <c r="T98" s="5"/>
      <c r="U98" s="5"/>
    </row>
    <row r="99" spans="3:21" x14ac:dyDescent="0.4">
      <c r="C99" s="42" t="s">
        <v>33</v>
      </c>
      <c r="D99" s="43">
        <f t="shared" si="4"/>
        <v>13859255.130000001</v>
      </c>
      <c r="E99" s="43" t="str">
        <f>_xlfn.XLOOKUP(C99,'Investor Categories'!D:D,'Investor Categories'!C:C,"")</f>
        <v>Alfred I. duPont Charitable Trust</v>
      </c>
      <c r="F99" s="283" t="str">
        <v>The Kresge Foundation</v>
      </c>
      <c r="G99" s="265">
        <f t="shared" si="5"/>
        <v>30674219.4494</v>
      </c>
      <c r="H99" s="41" t="str">
        <f>VLOOKUP(F99,'Investor Categories'!C:E,3,FALSE)</f>
        <v>(g) Non-profits</v>
      </c>
      <c r="I99" s="41"/>
      <c r="J99" s="41"/>
      <c r="K99" s="60"/>
      <c r="L99" s="58"/>
      <c r="M99" s="58"/>
      <c r="N99" s="44" t="s">
        <v>139</v>
      </c>
      <c r="O99" s="177">
        <f t="shared" si="7"/>
        <v>0.31428268401192005</v>
      </c>
      <c r="P99" s="58"/>
      <c r="Q99" s="40">
        <v>6690620.3345999997</v>
      </c>
      <c r="R99" s="59">
        <f t="shared" si="6"/>
        <v>2.0996473843668435E-2</v>
      </c>
      <c r="S99" s="63"/>
      <c r="T99" s="5"/>
      <c r="U99" s="5"/>
    </row>
    <row r="100" spans="3:21" ht="15" thickBot="1" x14ac:dyDescent="0.45">
      <c r="C100" s="39" t="s">
        <v>34</v>
      </c>
      <c r="D100" s="40">
        <f t="shared" si="4"/>
        <v>6690620.3345999997</v>
      </c>
      <c r="E100" s="40" t="str">
        <f>_xlfn.XLOOKUP(C100,'Investor Categories'!D:D,'Investor Categories'!C:C,"")</f>
        <v>Alfred I. duPont Charitable Trust Pension</v>
      </c>
      <c r="F100" s="282" t="str">
        <v>The New York and Presbyterian Hospital</v>
      </c>
      <c r="G100" s="265">
        <f t="shared" si="5"/>
        <v>90837672.156199992</v>
      </c>
      <c r="H100" s="41" t="str">
        <f>VLOOKUP(F100,'Investor Categories'!C:E,3,FALSE)</f>
        <v>(g) Non-profits</v>
      </c>
      <c r="I100" s="41"/>
      <c r="J100" s="41"/>
      <c r="K100" s="60"/>
      <c r="L100" s="61"/>
      <c r="M100" s="61"/>
      <c r="N100" s="178" t="s">
        <v>145</v>
      </c>
      <c r="O100" s="179">
        <f t="shared" si="7"/>
        <v>0</v>
      </c>
      <c r="P100" s="58"/>
      <c r="Q100" s="43"/>
      <c r="R100" s="59"/>
      <c r="S100" s="63"/>
      <c r="T100" s="5"/>
      <c r="U100" s="5"/>
    </row>
    <row r="101" spans="3:21" ht="15" thickBot="1" x14ac:dyDescent="0.45">
      <c r="C101" s="162" t="s">
        <v>39</v>
      </c>
      <c r="D101" s="163">
        <f t="shared" si="4"/>
        <v>40302274.012000002</v>
      </c>
      <c r="E101" s="43" t="str">
        <f>_xlfn.XLOOKUP(C101,'Investor Categories'!D:D,'Investor Categories'!C:C,"")</f>
        <v>The New York and Presbyterian Hospital</v>
      </c>
      <c r="F101" s="295" t="s">
        <v>119</v>
      </c>
      <c r="G101" s="276">
        <f>SUM(G96:G100)</f>
        <v>318654474.29009998</v>
      </c>
      <c r="H101" s="41"/>
      <c r="I101" s="41"/>
      <c r="J101" s="41"/>
      <c r="K101" s="60"/>
      <c r="L101" s="58"/>
      <c r="M101" s="58"/>
      <c r="N101" s="237" t="s">
        <v>133</v>
      </c>
      <c r="O101" s="239">
        <f>SUM(O97:O100)</f>
        <v>1</v>
      </c>
      <c r="P101" s="58"/>
      <c r="Q101" s="43"/>
      <c r="R101" s="59"/>
      <c r="S101" s="63"/>
      <c r="T101" s="5"/>
      <c r="U101" s="5"/>
    </row>
    <row r="102" spans="3:21" ht="15" thickBot="1" x14ac:dyDescent="0.45">
      <c r="C102" s="42" t="s">
        <v>45</v>
      </c>
      <c r="D102" s="159">
        <f t="shared" si="4"/>
        <v>100147583.4523</v>
      </c>
      <c r="E102" s="43" t="str">
        <f>_xlfn.XLOOKUP(C102,'Investor Categories'!D:D,'Investor Categories'!C:C,"")</f>
        <v/>
      </c>
      <c r="F102" s="296" t="s">
        <v>223</v>
      </c>
      <c r="G102" s="163">
        <f>G101-O95</f>
        <v>0</v>
      </c>
      <c r="H102" s="47"/>
      <c r="I102" s="47"/>
      <c r="J102" s="47"/>
      <c r="K102" s="286"/>
      <c r="L102" s="58"/>
      <c r="M102" s="58"/>
      <c r="N102" s="58"/>
      <c r="O102" s="58"/>
      <c r="P102" s="58"/>
      <c r="Q102" s="43"/>
      <c r="R102" s="59"/>
      <c r="S102" s="63"/>
      <c r="T102" s="5"/>
      <c r="U102" s="5"/>
    </row>
    <row r="103" spans="3:21" x14ac:dyDescent="0.4">
      <c r="C103" s="39" t="s">
        <v>131</v>
      </c>
      <c r="D103" s="40">
        <f>SUMIFS(Notes_Q1,PrimeNoteHolders,Prime_InvestorCapitalPerf!C103)/SUM(Notes_Q1)*$D$102</f>
        <v>100147583.4523</v>
      </c>
      <c r="E103" s="40" t="str">
        <f>_xlfn.XLOOKUP(C103,'Investor Categories'!D:D,'Investor Categories'!C:C,"")</f>
        <v>OMAHA</v>
      </c>
      <c r="F103" s="40"/>
      <c r="G103" s="40"/>
      <c r="H103" s="41"/>
      <c r="I103" s="41"/>
      <c r="J103" s="41"/>
      <c r="K103" s="58"/>
      <c r="L103" s="58"/>
      <c r="M103" s="58"/>
      <c r="N103" s="58"/>
      <c r="O103" s="58"/>
      <c r="P103" s="58"/>
      <c r="Q103" s="40"/>
      <c r="R103" s="59"/>
      <c r="S103" s="63"/>
      <c r="T103" s="5"/>
      <c r="U103" s="5"/>
    </row>
    <row r="104" spans="3:21" x14ac:dyDescent="0.4">
      <c r="C104" s="39"/>
      <c r="D104" s="40"/>
      <c r="E104" s="40"/>
      <c r="F104" s="40"/>
      <c r="G104" s="40"/>
      <c r="H104" s="41"/>
      <c r="I104" s="41"/>
      <c r="J104" s="41"/>
      <c r="K104" s="58"/>
      <c r="L104" s="58"/>
      <c r="M104" s="58"/>
      <c r="N104" s="58"/>
      <c r="O104" s="58"/>
      <c r="P104" s="58"/>
      <c r="Q104" s="40"/>
      <c r="R104" s="59"/>
      <c r="S104" s="63"/>
      <c r="T104" s="5"/>
      <c r="U104" s="5"/>
    </row>
    <row r="105" spans="3:21" x14ac:dyDescent="0.4">
      <c r="C105" s="39"/>
      <c r="D105" s="40"/>
      <c r="E105" s="40"/>
      <c r="F105" s="40"/>
      <c r="G105" s="40"/>
      <c r="H105" s="41"/>
      <c r="I105" s="41"/>
      <c r="J105" s="41"/>
      <c r="K105" s="58"/>
      <c r="L105" s="58"/>
      <c r="M105" s="58"/>
      <c r="N105" s="58"/>
      <c r="O105" s="58"/>
      <c r="P105" s="58"/>
      <c r="Q105" s="40"/>
      <c r="R105" s="59"/>
      <c r="S105" s="63"/>
      <c r="T105" s="5"/>
      <c r="U105" s="5"/>
    </row>
    <row r="106" spans="3:21" x14ac:dyDescent="0.4">
      <c r="C106" s="39"/>
      <c r="D106" s="40"/>
      <c r="E106" s="40"/>
      <c r="F106" s="40"/>
      <c r="G106" s="40"/>
      <c r="H106" s="41"/>
      <c r="I106" s="41"/>
      <c r="J106" s="41"/>
      <c r="K106" s="58"/>
      <c r="L106" s="58"/>
      <c r="M106" s="58"/>
      <c r="N106" s="58"/>
      <c r="O106" s="58"/>
      <c r="P106" s="58"/>
      <c r="Q106" s="40"/>
      <c r="R106" s="59"/>
      <c r="S106" s="63"/>
      <c r="T106" s="5"/>
      <c r="U106" s="5"/>
    </row>
    <row r="107" spans="3:21" x14ac:dyDescent="0.4">
      <c r="C107" s="39"/>
      <c r="D107" s="40"/>
      <c r="E107" s="40"/>
      <c r="F107" s="40"/>
      <c r="G107" s="40"/>
      <c r="H107" s="41"/>
      <c r="I107" s="41"/>
      <c r="J107" s="41"/>
      <c r="K107" s="58"/>
      <c r="L107" s="58"/>
      <c r="M107" s="58"/>
      <c r="N107" s="58"/>
      <c r="O107" s="58"/>
      <c r="P107" s="58"/>
      <c r="Q107" s="43"/>
      <c r="R107" s="59"/>
      <c r="S107" s="63"/>
      <c r="T107" s="5"/>
      <c r="U107" s="5"/>
    </row>
    <row r="108" spans="3:21" x14ac:dyDescent="0.4">
      <c r="C108" s="39"/>
      <c r="D108" s="40"/>
      <c r="E108" s="40"/>
      <c r="F108" s="40"/>
      <c r="G108" s="40"/>
      <c r="H108" s="41"/>
      <c r="I108" s="41"/>
      <c r="J108" s="41"/>
      <c r="K108" s="58"/>
      <c r="L108" s="58"/>
      <c r="M108" s="58"/>
      <c r="N108" s="58"/>
      <c r="O108" s="58"/>
      <c r="P108" s="58"/>
      <c r="Q108" s="237" t="s">
        <v>167</v>
      </c>
      <c r="R108" s="238">
        <f>MAX(R95:R105)</f>
        <v>0.31428268401192005</v>
      </c>
      <c r="S108" s="63"/>
      <c r="T108" s="5"/>
      <c r="U108" s="5"/>
    </row>
    <row r="109" spans="3:21" x14ac:dyDescent="0.4">
      <c r="C109" s="39"/>
      <c r="D109" s="40"/>
      <c r="E109" s="40"/>
      <c r="F109" s="40"/>
      <c r="G109" s="40"/>
      <c r="H109" s="41"/>
      <c r="I109" s="41"/>
      <c r="J109" s="41"/>
      <c r="K109" s="58"/>
      <c r="L109" s="58"/>
      <c r="M109" s="58"/>
      <c r="N109" s="58"/>
      <c r="O109" s="58"/>
      <c r="P109" s="58"/>
      <c r="Q109" s="237" t="s">
        <v>154</v>
      </c>
      <c r="R109" s="238">
        <f>SUM(R95:R99)</f>
        <v>1.0000000000000002</v>
      </c>
      <c r="S109" s="63"/>
      <c r="T109" s="5"/>
      <c r="U109" s="5"/>
    </row>
    <row r="110" spans="3:21" x14ac:dyDescent="0.4">
      <c r="C110" s="39"/>
      <c r="D110" s="40"/>
      <c r="E110" s="40"/>
      <c r="F110" s="40"/>
      <c r="G110" s="40"/>
      <c r="H110" s="41"/>
      <c r="I110" s="41"/>
      <c r="J110" s="41"/>
      <c r="K110" s="58"/>
      <c r="L110" s="58"/>
      <c r="M110" s="58"/>
      <c r="N110" s="58"/>
      <c r="O110" s="58"/>
      <c r="P110" s="58"/>
      <c r="Q110" s="237" t="s">
        <v>224</v>
      </c>
      <c r="R110" s="339">
        <f>COUNTIFS(R95:R103,"&gt;="&amp;0.05)</f>
        <v>4</v>
      </c>
      <c r="S110" s="63"/>
      <c r="T110" s="5"/>
      <c r="U110" s="5"/>
    </row>
    <row r="111" spans="3:21" ht="15" thickBot="1" x14ac:dyDescent="0.45">
      <c r="C111" s="45"/>
      <c r="D111" s="46"/>
      <c r="E111" s="46"/>
      <c r="F111" s="46"/>
      <c r="G111" s="46"/>
      <c r="H111" s="47"/>
      <c r="I111" s="47"/>
      <c r="J111" s="47"/>
      <c r="K111" s="61"/>
      <c r="L111" s="61"/>
      <c r="M111" s="61"/>
      <c r="N111" s="61"/>
      <c r="O111" s="61"/>
      <c r="P111" s="61"/>
      <c r="Q111" s="241" t="s">
        <v>133</v>
      </c>
      <c r="R111" s="242">
        <f>SUM(R95:R101)</f>
        <v>1.0000000000000002</v>
      </c>
      <c r="S111" s="63"/>
      <c r="T111" s="5"/>
      <c r="U111" s="5"/>
    </row>
    <row r="112" spans="3:21" x14ac:dyDescent="0.4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63"/>
      <c r="T112" s="5"/>
      <c r="U112" s="5"/>
    </row>
    <row r="113" spans="3:21" ht="15" thickBot="1" x14ac:dyDescent="0.45">
      <c r="C113" s="5" t="s">
        <v>159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63"/>
      <c r="T113" s="5"/>
      <c r="U113" s="5"/>
    </row>
    <row r="114" spans="3:21" ht="15" thickBot="1" x14ac:dyDescent="0.45">
      <c r="C114" s="81" t="s">
        <v>48</v>
      </c>
      <c r="D114" s="49">
        <f t="shared" ref="D114:D119" si="8">VLOOKUP(C114,$B$42:$Q$47,16,FALSE)</f>
        <v>20412536.567200001</v>
      </c>
      <c r="E114" s="49" t="str">
        <f>_xlfn.XLOOKUP(C114,'Investor Categories'!D:D,'Investor Categories'!C:C,"")</f>
        <v>In Touch Ministries</v>
      </c>
      <c r="F114" s="297" t="str" cm="1">
        <f t="array" ref="F114:F120">_xlfn._xlws.SORT(_xlfn.UNIQUE(E114:E122))</f>
        <v/>
      </c>
      <c r="G114" s="49"/>
      <c r="H114" s="53"/>
      <c r="I114" s="82"/>
      <c r="J114" s="82"/>
      <c r="K114" s="298"/>
      <c r="L114" s="82"/>
      <c r="M114" s="82"/>
      <c r="N114" s="49" t="s">
        <v>153</v>
      </c>
      <c r="O114" s="169">
        <f>SUM(D114:D118)+D119</f>
        <v>227140574.56999999</v>
      </c>
      <c r="P114" s="82"/>
      <c r="Q114" s="54" cm="1">
        <f t="array" ref="Q114:Q119">_xlfn._xlws.SORT(G115:G120,1,-1)</f>
        <v>70385033.211099997</v>
      </c>
      <c r="R114" s="83">
        <f>Q114/$O$114</f>
        <v>0.30987432934140435</v>
      </c>
      <c r="S114" s="63"/>
      <c r="T114" s="5"/>
      <c r="U114" s="5"/>
    </row>
    <row r="115" spans="3:21" s="1" customFormat="1" x14ac:dyDescent="0.4">
      <c r="C115" s="87" t="s">
        <v>165</v>
      </c>
      <c r="D115" s="52">
        <f t="shared" si="8"/>
        <v>1001575.4314999999</v>
      </c>
      <c r="E115" s="52" t="str">
        <f>_xlfn.XLOOKUP(C115,'Investor Categories'!D:D,'Investor Categories'!C:C,"")</f>
        <v>In Touch Ministries</v>
      </c>
      <c r="F115" s="299" t="str">
        <v>GUIDESTONE</v>
      </c>
      <c r="G115" s="52">
        <f>SUMIFS($D$114:$D$122,$E$114:$E$122,F115)</f>
        <v>10019677.785953917</v>
      </c>
      <c r="H115" s="48" t="str">
        <f>VLOOKUP(F115,'Investor Categories'!C:E,3,FALSE)</f>
        <v>(g) Non-profits</v>
      </c>
      <c r="I115" s="85"/>
      <c r="J115" s="85"/>
      <c r="K115" s="92"/>
      <c r="L115" s="85"/>
      <c r="M115" s="85"/>
      <c r="N115" s="52"/>
      <c r="O115" s="108"/>
      <c r="P115" s="85"/>
      <c r="Q115" s="50">
        <v>60118066.715723507</v>
      </c>
      <c r="R115" s="86">
        <f t="shared" ref="R115:R119" si="9">Q115/$O$114</f>
        <v>0.26467339368817339</v>
      </c>
      <c r="S115" s="63"/>
      <c r="T115" s="5"/>
      <c r="U115" s="5"/>
    </row>
    <row r="116" spans="3:21" ht="15" thickBot="1" x14ac:dyDescent="0.45">
      <c r="C116" s="84" t="s">
        <v>49</v>
      </c>
      <c r="D116" s="50">
        <f t="shared" si="8"/>
        <v>23404459.263</v>
      </c>
      <c r="E116" s="50" t="str">
        <f>_xlfn.XLOOKUP(C116,'Investor Categories'!D:D,'Investor Categories'!C:C,"")</f>
        <v>In Touch Ministries</v>
      </c>
      <c r="F116" s="300" t="str">
        <v>In Touch Ministries</v>
      </c>
      <c r="G116" s="52">
        <f t="shared" ref="G116:G120" si="10">SUMIFS($D$114:$D$122,$E$114:$E$122,F116)</f>
        <v>44818571.261700004</v>
      </c>
      <c r="H116" s="48" t="str">
        <f>VLOOKUP(F116,'Investor Categories'!C:E,3,FALSE)</f>
        <v>(g) Non-profits</v>
      </c>
      <c r="I116" s="85"/>
      <c r="J116" s="85"/>
      <c r="K116" s="92"/>
      <c r="L116" s="85"/>
      <c r="M116" s="85"/>
      <c r="N116" s="85"/>
      <c r="O116" s="85"/>
      <c r="P116" s="85"/>
      <c r="Q116" s="50">
        <v>44818571.261700004</v>
      </c>
      <c r="R116" s="86">
        <f t="shared" si="9"/>
        <v>0.19731644751954194</v>
      </c>
      <c r="S116" s="63"/>
      <c r="T116" s="5"/>
      <c r="U116" s="5"/>
    </row>
    <row r="117" spans="3:21" x14ac:dyDescent="0.4">
      <c r="C117" s="87" t="s">
        <v>50</v>
      </c>
      <c r="D117" s="52">
        <f t="shared" si="8"/>
        <v>3223466.1195999999</v>
      </c>
      <c r="E117" s="52" t="str">
        <f>_xlfn.XLOOKUP(C117,'Investor Categories'!D:D,'Investor Categories'!C:C,"")</f>
        <v>Southern Baptist Convention</v>
      </c>
      <c r="F117" s="299" t="str">
        <v>MERCURY</v>
      </c>
      <c r="G117" s="52">
        <f t="shared" si="10"/>
        <v>38575759.475922577</v>
      </c>
      <c r="H117" s="48" t="str">
        <f>VLOOKUP(F117,'Investor Categories'!C:E,3,FALSE)</f>
        <v xml:space="preserve">(d) Insurance companies </v>
      </c>
      <c r="I117" s="85"/>
      <c r="J117" s="85"/>
      <c r="K117" s="92"/>
      <c r="L117" s="82"/>
      <c r="M117" s="82"/>
      <c r="N117" s="170" t="s">
        <v>142</v>
      </c>
      <c r="O117" s="171">
        <f>SUMIFS($G$114:$G$128,$H$114:$H$128,N117)/$O$114</f>
        <v>0.56549451202858214</v>
      </c>
      <c r="P117" s="85"/>
      <c r="Q117" s="50">
        <v>38575759.475922577</v>
      </c>
      <c r="R117" s="86">
        <f t="shared" si="9"/>
        <v>0.16983209428324456</v>
      </c>
      <c r="S117" s="5"/>
      <c r="T117" s="5"/>
      <c r="U117" s="5"/>
    </row>
    <row r="118" spans="3:21" ht="15" thickBot="1" x14ac:dyDescent="0.45">
      <c r="C118" s="88" t="s">
        <v>52</v>
      </c>
      <c r="D118" s="161">
        <f t="shared" si="8"/>
        <v>70385033.211099997</v>
      </c>
      <c r="E118" s="52" t="str">
        <f>_xlfn.XLOOKUP(C118,'Investor Categories'!D:D,'Investor Categories'!C:C,"")</f>
        <v>Word of God Fellowship, Inc.</v>
      </c>
      <c r="F118" s="299" t="str">
        <v>Southern Baptist Convention</v>
      </c>
      <c r="G118" s="52">
        <f t="shared" si="10"/>
        <v>3223466.1195999999</v>
      </c>
      <c r="H118" s="48" t="str">
        <f>VLOOKUP(F118,'Investor Categories'!C:E,3,FALSE)</f>
        <v>(g) Non-profits</v>
      </c>
      <c r="I118" s="85"/>
      <c r="J118" s="85"/>
      <c r="K118" s="92"/>
      <c r="L118" s="85"/>
      <c r="M118" s="85"/>
      <c r="N118" s="51" t="s">
        <v>143</v>
      </c>
      <c r="O118" s="172">
        <f t="shared" ref="O118:O120" si="11">SUMIFS($G$114:$G$128,$H$114:$H$128,N118)/$O$114</f>
        <v>0</v>
      </c>
      <c r="P118" s="85"/>
      <c r="Q118" s="50">
        <v>10019677.785953917</v>
      </c>
      <c r="R118" s="86">
        <f t="shared" si="9"/>
        <v>4.4112232281362219E-2</v>
      </c>
      <c r="S118" s="5"/>
      <c r="T118" s="5"/>
      <c r="U118" s="5"/>
    </row>
    <row r="119" spans="3:21" ht="15" thickBot="1" x14ac:dyDescent="0.45">
      <c r="C119" s="87" t="s">
        <v>51</v>
      </c>
      <c r="D119" s="160">
        <f t="shared" si="8"/>
        <v>108713503.97759999</v>
      </c>
      <c r="E119" s="50" t="str">
        <f>_xlfn.XLOOKUP(C119,'Investor Categories'!D:D,'Investor Categories'!C:C,"")</f>
        <v/>
      </c>
      <c r="F119" s="300" t="str">
        <v>SWIB</v>
      </c>
      <c r="G119" s="52">
        <f t="shared" si="10"/>
        <v>60118066.715723507</v>
      </c>
      <c r="H119" s="48" t="str">
        <f>VLOOKUP(F119,'Investor Categories'!C:E,3,FALSE)</f>
        <v xml:space="preserve">(k) State or municipal governmental pension plans </v>
      </c>
      <c r="I119" s="85"/>
      <c r="J119" s="85"/>
      <c r="K119" s="92"/>
      <c r="L119" s="85"/>
      <c r="M119" s="85"/>
      <c r="N119" s="51" t="s">
        <v>139</v>
      </c>
      <c r="O119" s="172">
        <f t="shared" si="11"/>
        <v>0.16983209428324456</v>
      </c>
      <c r="P119" s="85"/>
      <c r="Q119" s="52">
        <v>3223466.1195999999</v>
      </c>
      <c r="R119" s="86">
        <f t="shared" si="9"/>
        <v>1.4191502886273605E-2</v>
      </c>
      <c r="S119" s="5"/>
      <c r="T119" s="5"/>
      <c r="U119" s="5"/>
    </row>
    <row r="120" spans="3:21" ht="15" thickBot="1" x14ac:dyDescent="0.45">
      <c r="C120" s="87" t="s">
        <v>129</v>
      </c>
      <c r="D120" s="50">
        <f>SUMIFS(Notes_QX1,PrimeNoteHolders,Prime_InvestorCapitalPerf!C120)/SUM(Notes_QX1)*$D$119</f>
        <v>10019677.785953917</v>
      </c>
      <c r="E120" s="50" t="str">
        <f>_xlfn.XLOOKUP(C120,'Investor Categories'!D:D,'Investor Categories'!C:C,"")</f>
        <v>GUIDESTONE</v>
      </c>
      <c r="F120" s="300" t="str">
        <v>Word of God Fellowship, Inc.</v>
      </c>
      <c r="G120" s="52">
        <f t="shared" si="10"/>
        <v>70385033.211099997</v>
      </c>
      <c r="H120" s="48" t="str">
        <f>VLOOKUP(F120,'Investor Categories'!C:E,3,FALSE)</f>
        <v>(g) Non-profits</v>
      </c>
      <c r="I120" s="85"/>
      <c r="J120" s="85"/>
      <c r="K120" s="92"/>
      <c r="L120" s="89"/>
      <c r="M120" s="89"/>
      <c r="N120" s="173" t="s">
        <v>145</v>
      </c>
      <c r="O120" s="174">
        <f t="shared" si="11"/>
        <v>0.26467339368817339</v>
      </c>
      <c r="P120" s="85"/>
      <c r="Q120" s="52"/>
      <c r="R120" s="86"/>
      <c r="S120" s="5"/>
      <c r="T120" s="5"/>
      <c r="U120" s="5"/>
    </row>
    <row r="121" spans="3:21" ht="15" thickBot="1" x14ac:dyDescent="0.45">
      <c r="C121" s="87" t="s">
        <v>130</v>
      </c>
      <c r="D121" s="50">
        <f>SUMIFS(Notes_QX1,PrimeNoteHolders,Prime_InvestorCapitalPerf!C121)/SUM(Notes_QX1)*$D$119</f>
        <v>38575759.475922577</v>
      </c>
      <c r="E121" s="50" t="str">
        <f>_xlfn.XLOOKUP(C121,'Investor Categories'!D:D,'Investor Categories'!C:C,"")</f>
        <v>MERCURY</v>
      </c>
      <c r="F121" s="301" t="s">
        <v>119</v>
      </c>
      <c r="G121" s="277">
        <f>SUM(G115:G120)</f>
        <v>227140574.56999999</v>
      </c>
      <c r="H121" s="48"/>
      <c r="I121" s="85"/>
      <c r="J121" s="85"/>
      <c r="K121" s="92"/>
      <c r="L121" s="85"/>
      <c r="M121" s="85"/>
      <c r="N121" s="243" t="s">
        <v>133</v>
      </c>
      <c r="O121" s="244">
        <f>SUM(O117:O120)</f>
        <v>1</v>
      </c>
      <c r="P121" s="85"/>
      <c r="Q121" s="52"/>
      <c r="R121" s="86"/>
      <c r="S121" s="5"/>
      <c r="T121" s="5"/>
      <c r="U121" s="5"/>
    </row>
    <row r="122" spans="3:21" ht="15" thickBot="1" x14ac:dyDescent="0.45">
      <c r="C122" s="87" t="s">
        <v>118</v>
      </c>
      <c r="D122" s="50">
        <f>SUMIFS(Notes_QX1,PrimeNoteHolders,Prime_InvestorCapitalPerf!C122)/SUM(Notes_QX1)*$D$119</f>
        <v>60118066.715723507</v>
      </c>
      <c r="E122" s="50" t="str">
        <f>_xlfn.XLOOKUP(C122,'Investor Categories'!D:D,'Investor Categories'!C:C,"")</f>
        <v>SWIB</v>
      </c>
      <c r="F122" s="302" t="s">
        <v>223</v>
      </c>
      <c r="G122" s="55">
        <f>G121-O114</f>
        <v>0</v>
      </c>
      <c r="H122" s="56"/>
      <c r="I122" s="89"/>
      <c r="J122" s="89"/>
      <c r="K122" s="90"/>
      <c r="L122" s="85"/>
      <c r="M122" s="85"/>
      <c r="N122" s="85"/>
      <c r="O122" s="85"/>
      <c r="P122" s="85"/>
      <c r="Q122" s="50"/>
      <c r="R122" s="86"/>
      <c r="S122" s="5"/>
      <c r="T122" s="5"/>
      <c r="U122" s="5"/>
    </row>
    <row r="123" spans="3:21" x14ac:dyDescent="0.4">
      <c r="C123" s="87"/>
      <c r="D123" s="50"/>
      <c r="E123" s="50"/>
      <c r="F123" s="50"/>
      <c r="G123" s="50"/>
      <c r="H123" s="48"/>
      <c r="I123" s="85"/>
      <c r="J123" s="85"/>
      <c r="K123" s="85"/>
      <c r="L123" s="85"/>
      <c r="M123" s="85"/>
      <c r="N123" s="85"/>
      <c r="O123" s="85"/>
      <c r="P123" s="85"/>
      <c r="Q123" s="50"/>
      <c r="R123" s="86"/>
      <c r="S123" s="5"/>
      <c r="T123" s="5"/>
      <c r="U123" s="5"/>
    </row>
    <row r="124" spans="3:21" x14ac:dyDescent="0.4">
      <c r="C124" s="87"/>
      <c r="D124" s="50"/>
      <c r="E124" s="50"/>
      <c r="F124" s="50"/>
      <c r="G124" s="50"/>
      <c r="H124" s="48"/>
      <c r="I124" s="85"/>
      <c r="J124" s="85"/>
      <c r="K124" s="85"/>
      <c r="L124" s="85"/>
      <c r="M124" s="85"/>
      <c r="N124" s="85"/>
      <c r="O124" s="85"/>
      <c r="P124" s="85"/>
      <c r="Q124" s="50"/>
      <c r="R124" s="86"/>
      <c r="S124" s="5"/>
      <c r="T124" s="5"/>
      <c r="U124" s="5"/>
    </row>
    <row r="125" spans="3:21" x14ac:dyDescent="0.4">
      <c r="C125" s="87"/>
      <c r="D125" s="50"/>
      <c r="E125" s="50"/>
      <c r="F125" s="50"/>
      <c r="G125" s="50"/>
      <c r="H125" s="48"/>
      <c r="I125" s="85"/>
      <c r="J125" s="85"/>
      <c r="K125" s="85"/>
      <c r="L125" s="85"/>
      <c r="M125" s="85"/>
      <c r="N125" s="85"/>
      <c r="O125" s="85"/>
      <c r="P125" s="85"/>
      <c r="Q125" s="243" t="s">
        <v>167</v>
      </c>
      <c r="R125" s="245">
        <f>MAX(R112:R122)</f>
        <v>0.30987432934140435</v>
      </c>
      <c r="S125" s="5"/>
      <c r="T125" s="5"/>
      <c r="U125" s="5"/>
    </row>
    <row r="126" spans="3:21" x14ac:dyDescent="0.4">
      <c r="C126" s="87"/>
      <c r="D126" s="50"/>
      <c r="E126" s="50"/>
      <c r="F126" s="50"/>
      <c r="G126" s="50"/>
      <c r="H126" s="48"/>
      <c r="I126" s="85"/>
      <c r="J126" s="85"/>
      <c r="K126" s="85"/>
      <c r="L126" s="85"/>
      <c r="M126" s="85"/>
      <c r="N126" s="85"/>
      <c r="O126" s="85"/>
      <c r="P126" s="85"/>
      <c r="Q126" s="243" t="s">
        <v>154</v>
      </c>
      <c r="R126" s="245">
        <f>SUM(R114:R118)</f>
        <v>0.98580849711372631</v>
      </c>
      <c r="S126" s="5"/>
      <c r="T126" s="5"/>
      <c r="U126" s="5"/>
    </row>
    <row r="127" spans="3:21" x14ac:dyDescent="0.4">
      <c r="C127" s="87"/>
      <c r="D127" s="50"/>
      <c r="E127" s="50"/>
      <c r="F127" s="50"/>
      <c r="G127" s="50"/>
      <c r="H127" s="48"/>
      <c r="I127" s="85"/>
      <c r="J127" s="85"/>
      <c r="K127" s="85"/>
      <c r="L127" s="85"/>
      <c r="M127" s="85"/>
      <c r="N127" s="85"/>
      <c r="O127" s="85"/>
      <c r="P127" s="85"/>
      <c r="Q127" s="243" t="s">
        <v>224</v>
      </c>
      <c r="R127" s="340">
        <f>COUNTIFS(R112:R120,"&gt;="&amp;0.05)</f>
        <v>4</v>
      </c>
      <c r="S127" s="5"/>
      <c r="T127" s="5"/>
      <c r="U127" s="5"/>
    </row>
    <row r="128" spans="3:21" ht="15" thickBot="1" x14ac:dyDescent="0.45">
      <c r="C128" s="88"/>
      <c r="D128" s="55"/>
      <c r="E128" s="55"/>
      <c r="F128" s="55"/>
      <c r="G128" s="55"/>
      <c r="H128" s="56"/>
      <c r="I128" s="89"/>
      <c r="J128" s="89"/>
      <c r="K128" s="89"/>
      <c r="L128" s="89"/>
      <c r="M128" s="89"/>
      <c r="N128" s="89"/>
      <c r="O128" s="89"/>
      <c r="P128" s="89"/>
      <c r="Q128" s="246" t="s">
        <v>133</v>
      </c>
      <c r="R128" s="247">
        <f>SUM(R114:R125)</f>
        <v>1.3098743293414041</v>
      </c>
      <c r="S128" s="5"/>
      <c r="T128" s="5"/>
      <c r="U128" s="5"/>
    </row>
    <row r="129" spans="3:21" x14ac:dyDescent="0.4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spans="3:21" x14ac:dyDescent="0.4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spans="3:21" ht="15" thickBot="1" x14ac:dyDescent="0.45">
      <c r="C131" s="62" t="s">
        <v>160</v>
      </c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5"/>
      <c r="T131" s="5"/>
      <c r="U131" s="5"/>
    </row>
    <row r="132" spans="3:21" ht="15" thickBot="1" x14ac:dyDescent="0.45">
      <c r="C132" s="273"/>
      <c r="D132" s="65"/>
      <c r="E132" s="65"/>
      <c r="F132" s="287"/>
      <c r="G132" s="65"/>
      <c r="H132" s="65"/>
      <c r="I132" s="288"/>
      <c r="J132" s="303"/>
      <c r="K132" s="67"/>
      <c r="L132" s="186" t="s">
        <v>139</v>
      </c>
      <c r="M132" s="68">
        <f>SUMIFS($G$133:$G$134,$H$133:$H$134,L132)/$O$132</f>
        <v>0.55555555555555558</v>
      </c>
      <c r="N132" s="185" t="s">
        <v>161</v>
      </c>
      <c r="O132" s="184">
        <f>D133</f>
        <v>90217525.069999993</v>
      </c>
      <c r="P132" s="65"/>
      <c r="Q132" s="231" cm="1">
        <f t="array" ref="Q132:Q133">_xlfn._xlws.SORT(G133:G134,1,-1)</f>
        <v>50120847.26111111</v>
      </c>
      <c r="R132" s="232">
        <f>Q132/$O$132</f>
        <v>0.55555555555555558</v>
      </c>
      <c r="S132" s="5"/>
      <c r="T132" s="5"/>
      <c r="U132" s="5"/>
    </row>
    <row r="133" spans="3:21" ht="15" thickBot="1" x14ac:dyDescent="0.45">
      <c r="C133" s="272" t="s">
        <v>55</v>
      </c>
      <c r="D133" s="164">
        <f>VLOOKUP(C133,$B$56:$Q$56,16,FALSE)</f>
        <v>90217525.069999993</v>
      </c>
      <c r="E133" s="233" t="str">
        <f>_xlfn.XLOOKUP(C133,'Investor Categories'!D:D,'Investor Categories'!C:C,"")</f>
        <v/>
      </c>
      <c r="F133" s="306" t="str" cm="1">
        <f t="array" ref="F133:F134">_xlfn._xlws.SORT(_xlfn.UNIQUE(E134:E135))</f>
        <v>MERCURY</v>
      </c>
      <c r="G133" s="233">
        <f>SUMIFS($D$134:$D$135,$E$134:$E$135,F133)</f>
        <v>50120847.26111111</v>
      </c>
      <c r="H133" s="270" t="str">
        <f>VLOOKUP(F133,'Investor Categories'!C:E,3,FALSE)</f>
        <v xml:space="preserve">(d) Insurance companies </v>
      </c>
      <c r="I133" s="74"/>
      <c r="J133" s="304"/>
      <c r="K133" s="72"/>
      <c r="L133" s="187" t="s">
        <v>141</v>
      </c>
      <c r="M133" s="73">
        <f t="shared" ref="M133:M135" si="12">SUMIFS($G$133:$G$134,$H$133:$H$134,L133)/$O$132</f>
        <v>0</v>
      </c>
      <c r="N133" s="70"/>
      <c r="O133" s="70"/>
      <c r="P133" s="70"/>
      <c r="Q133" s="233">
        <v>40096677.808888882</v>
      </c>
      <c r="R133" s="234">
        <f>Q133/$O$132</f>
        <v>0.44444444444444442</v>
      </c>
      <c r="S133" s="5"/>
      <c r="T133" s="5"/>
      <c r="U133" s="5"/>
    </row>
    <row r="134" spans="3:21" ht="15" thickBot="1" x14ac:dyDescent="0.45">
      <c r="C134" s="111" t="s">
        <v>130</v>
      </c>
      <c r="D134" s="113">
        <f>SUMIFS(Notes_Q3641,PrimeNoteHolders,Prime_InvestorCapitalPerf!C134)/SUM(Notes_Q3641)*$D$133</f>
        <v>50120847.26111111</v>
      </c>
      <c r="E134" s="269" t="str">
        <f>_xlfn.XLOOKUP(C134,'Investor Categories'!D:D,'Investor Categories'!C:C,"")</f>
        <v>MERCURY</v>
      </c>
      <c r="F134" s="307" t="str">
        <v>SWIB</v>
      </c>
      <c r="G134" s="233">
        <f>SUMIFS($D$134:$D$135,$E$134:$E$135,F134)</f>
        <v>40096677.808888882</v>
      </c>
      <c r="H134" s="271" t="str">
        <f>VLOOKUP(F134,'Investor Categories'!C:E,3,FALSE)</f>
        <v xml:space="preserve">(k) State or municipal governmental pension plans </v>
      </c>
      <c r="I134" s="74"/>
      <c r="J134" s="304"/>
      <c r="K134" s="72"/>
      <c r="L134" s="187" t="s">
        <v>142</v>
      </c>
      <c r="M134" s="73">
        <f t="shared" si="12"/>
        <v>0</v>
      </c>
      <c r="N134" s="70"/>
      <c r="O134" s="70"/>
      <c r="P134" s="70"/>
      <c r="Q134" s="70"/>
      <c r="R134" s="74"/>
      <c r="S134" s="5"/>
      <c r="T134" s="5"/>
      <c r="U134" s="5"/>
    </row>
    <row r="135" spans="3:21" ht="15" thickBot="1" x14ac:dyDescent="0.45">
      <c r="C135" s="111" t="s">
        <v>118</v>
      </c>
      <c r="D135" s="113">
        <f>SUMIFS(Notes_Q3641,PrimeNoteHolders,Prime_InvestorCapitalPerf!C135)/SUM(Notes_Q3641)*$D$133</f>
        <v>40096677.808888882</v>
      </c>
      <c r="E135" s="269" t="str">
        <f>_xlfn.XLOOKUP(C135,'Investor Categories'!D:D,'Investor Categories'!C:C,"")</f>
        <v>SWIB</v>
      </c>
      <c r="F135" s="308" t="s">
        <v>119</v>
      </c>
      <c r="G135" s="278">
        <f>SUM(G133:G134)</f>
        <v>90217525.069999993</v>
      </c>
      <c r="H135" s="112"/>
      <c r="I135" s="74"/>
      <c r="J135" s="305"/>
      <c r="K135" s="76"/>
      <c r="L135" s="188" t="s">
        <v>145</v>
      </c>
      <c r="M135" s="77">
        <f t="shared" si="12"/>
        <v>0.44444444444444442</v>
      </c>
      <c r="N135" s="70"/>
      <c r="O135" s="70"/>
      <c r="P135" s="70"/>
      <c r="Q135" s="236" t="s">
        <v>154</v>
      </c>
      <c r="R135" s="235">
        <f>SUM(R132:R134)</f>
        <v>1</v>
      </c>
      <c r="S135" s="5"/>
      <c r="T135" s="5"/>
      <c r="U135" s="5"/>
    </row>
    <row r="136" spans="3:21" ht="15" thickBot="1" x14ac:dyDescent="0.45">
      <c r="C136" s="69"/>
      <c r="D136" s="70"/>
      <c r="E136" s="70"/>
      <c r="F136" s="293" t="s">
        <v>223</v>
      </c>
      <c r="G136" s="290">
        <f>G135-O132</f>
        <v>0</v>
      </c>
      <c r="H136" s="79"/>
      <c r="I136" s="80"/>
      <c r="J136" s="70"/>
      <c r="K136" s="70"/>
      <c r="L136" s="236" t="s">
        <v>133</v>
      </c>
      <c r="M136" s="240">
        <f>SUM(M132:M135)</f>
        <v>1</v>
      </c>
      <c r="N136" s="70"/>
      <c r="O136" s="70"/>
      <c r="P136" s="70"/>
      <c r="Q136" s="70"/>
      <c r="R136" s="74"/>
      <c r="S136" s="5"/>
      <c r="T136" s="5"/>
      <c r="U136" s="5"/>
    </row>
    <row r="137" spans="3:21" ht="15" thickBot="1" x14ac:dyDescent="0.45">
      <c r="C137" s="78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80"/>
      <c r="S137" s="5"/>
      <c r="T137" s="5"/>
      <c r="U137" s="5"/>
    </row>
    <row r="138" spans="3:21" x14ac:dyDescent="0.4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spans="3:21" ht="15" thickBot="1" x14ac:dyDescent="0.45">
      <c r="C139" s="5" t="s">
        <v>166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spans="3:21" ht="15" thickBot="1" x14ac:dyDescent="0.45">
      <c r="C140" s="165" t="s">
        <v>169</v>
      </c>
      <c r="D140" s="49">
        <f>VLOOKUP(C140,$B$26:$Q$29,16,FALSE)</f>
        <v>40016800</v>
      </c>
      <c r="E140" s="49" t="str">
        <f>_xlfn.XLOOKUP(C140,'Investor Categories'!D:D,'Investor Categories'!C:C,"")</f>
        <v>Makena</v>
      </c>
      <c r="F140" s="297" t="str" cm="1">
        <f t="array" ref="F140:F145">_xlfn._xlws.SORT(_xlfn.UNIQUE(E140:E146))</f>
        <v/>
      </c>
      <c r="G140" s="49"/>
      <c r="H140" s="110"/>
      <c r="I140" s="82"/>
      <c r="J140" s="82"/>
      <c r="K140" s="298"/>
      <c r="L140" s="183"/>
      <c r="M140" s="183"/>
      <c r="N140" s="49" t="s">
        <v>161</v>
      </c>
      <c r="O140" s="169">
        <f>SUM(D140:D142)+D143</f>
        <v>184586615.09</v>
      </c>
      <c r="P140" s="116"/>
      <c r="Q140" s="167" cm="1">
        <f t="array" ref="Q140:Q144">_xlfn._xlws.SORT(G141:G145,1,-1)</f>
        <v>62026040.010163933</v>
      </c>
      <c r="R140" s="83">
        <f t="shared" ref="R140:R144" si="13">Q140/$O$140</f>
        <v>0.33602674809287514</v>
      </c>
      <c r="S140" s="5"/>
      <c r="T140" s="5"/>
      <c r="U140" s="5"/>
    </row>
    <row r="141" spans="3:21" s="1" customFormat="1" x14ac:dyDescent="0.4">
      <c r="C141" s="84" t="s">
        <v>170</v>
      </c>
      <c r="D141" s="52">
        <f>VLOOKUP(C141,$B$26:$Q$29,16,FALSE)</f>
        <v>8003360</v>
      </c>
      <c r="E141" s="52" t="str">
        <f>_xlfn.XLOOKUP(C141,'Investor Categories'!D:D,'Investor Categories'!C:C,"")</f>
        <v>Makena</v>
      </c>
      <c r="F141" s="299" t="str">
        <v>AMFAM</v>
      </c>
      <c r="G141" s="52">
        <f>SUMIFS($D$140:$D$146,$E$140:$E$146,F141)</f>
        <v>62026040.010163933</v>
      </c>
      <c r="H141" s="48" t="str">
        <f>VLOOKUP(F141,'Investor Categories'!C:E,3,FALSE)</f>
        <v xml:space="preserve">(d) Insurance companies </v>
      </c>
      <c r="I141" s="85"/>
      <c r="J141" s="85"/>
      <c r="K141" s="92"/>
      <c r="L141" s="109"/>
      <c r="M141" s="52"/>
      <c r="N141" s="85"/>
      <c r="O141" s="115"/>
      <c r="P141" s="117"/>
      <c r="Q141" s="168">
        <v>48020160</v>
      </c>
      <c r="R141" s="86">
        <f t="shared" si="13"/>
        <v>0.26014974041637051</v>
      </c>
      <c r="S141" s="5"/>
      <c r="T141" s="5"/>
      <c r="U141" s="5"/>
    </row>
    <row r="142" spans="3:21" s="1" customFormat="1" ht="15" thickBot="1" x14ac:dyDescent="0.45">
      <c r="C142" s="94" t="s">
        <v>164</v>
      </c>
      <c r="D142" s="161">
        <f>VLOOKUP(C142,$B$26:$Q$29,16,FALSE)</f>
        <v>14515215.07</v>
      </c>
      <c r="E142" s="52" t="str">
        <f>_xlfn.XLOOKUP(C142,'Investor Categories'!D:D,'Investor Categories'!C:C,"")</f>
        <v>Southern Baptist Convention</v>
      </c>
      <c r="F142" s="299" t="str">
        <v>GUIDESTONE</v>
      </c>
      <c r="G142" s="52">
        <f t="shared" ref="G142:G145" si="14">SUMIFS($D$140:$D$146,$E$140:$E$146,F142)</f>
        <v>30012600.004918031</v>
      </c>
      <c r="H142" s="48" t="str">
        <f>VLOOKUP(F142,'Investor Categories'!C:E,3,FALSE)</f>
        <v>(g) Non-profits</v>
      </c>
      <c r="I142" s="85"/>
      <c r="J142" s="85"/>
      <c r="K142" s="92"/>
      <c r="L142" s="109"/>
      <c r="M142" s="52"/>
      <c r="N142" s="85"/>
      <c r="O142" s="115"/>
      <c r="P142" s="117"/>
      <c r="Q142" s="168">
        <v>30012600.004918031</v>
      </c>
      <c r="R142" s="86">
        <f t="shared" si="13"/>
        <v>0.16259358778687505</v>
      </c>
      <c r="S142" s="5"/>
      <c r="T142" s="5"/>
      <c r="U142" s="5"/>
    </row>
    <row r="143" spans="3:21" s="1" customFormat="1" ht="15" thickBot="1" x14ac:dyDescent="0.45">
      <c r="C143" s="84" t="s">
        <v>42</v>
      </c>
      <c r="D143" s="166">
        <f>VLOOKUP(C143,$B$26:$Q$29,16,FALSE)</f>
        <v>122051240.02</v>
      </c>
      <c r="E143" s="52" t="str">
        <f>_xlfn.XLOOKUP(C143,'Investor Categories'!D:D,'Investor Categories'!C:C,"")</f>
        <v/>
      </c>
      <c r="F143" s="299" t="str">
        <v>Makena</v>
      </c>
      <c r="G143" s="52">
        <f t="shared" si="14"/>
        <v>48020160</v>
      </c>
      <c r="H143" s="48" t="str">
        <f>VLOOKUP(F143,'Investor Categories'!C:E,3,FALSE)</f>
        <v xml:space="preserve">(f) Private funds </v>
      </c>
      <c r="I143" s="85"/>
      <c r="J143" s="85"/>
      <c r="K143" s="92"/>
      <c r="L143" s="109"/>
      <c r="M143" s="52"/>
      <c r="N143" s="85"/>
      <c r="O143" s="115"/>
      <c r="P143" s="117"/>
      <c r="Q143" s="168">
        <v>30012600.004918031</v>
      </c>
      <c r="R143" s="86">
        <f t="shared" si="13"/>
        <v>0.16259358778687505</v>
      </c>
      <c r="S143" s="5"/>
      <c r="T143" s="5"/>
      <c r="U143" s="5"/>
    </row>
    <row r="144" spans="3:21" x14ac:dyDescent="0.4">
      <c r="C144" s="84" t="s">
        <v>125</v>
      </c>
      <c r="D144" s="50">
        <f>SUMIFS(Notes_MIG1,PrimeNoteHolders,Prime_InvestorCapitalPerf!C144)/SUM(Notes_MIG1)*$D$143</f>
        <v>62026040.010163933</v>
      </c>
      <c r="E144" s="52" t="str">
        <f>_xlfn.XLOOKUP(C144,'Investor Categories'!D:D,'Investor Categories'!C:C,"")</f>
        <v>AMFAM</v>
      </c>
      <c r="F144" s="300" t="str">
        <v>MERCURY</v>
      </c>
      <c r="G144" s="52">
        <f t="shared" si="14"/>
        <v>30012600.004918031</v>
      </c>
      <c r="H144" s="48" t="str">
        <f>VLOOKUP(F144,'Investor Categories'!C:E,3,FALSE)</f>
        <v xml:space="preserve">(d) Insurance companies </v>
      </c>
      <c r="I144" s="85"/>
      <c r="J144" s="85"/>
      <c r="K144" s="92"/>
      <c r="L144" s="110"/>
      <c r="M144" s="82"/>
      <c r="N144" s="170" t="s">
        <v>139</v>
      </c>
      <c r="O144" s="171">
        <f>SUMIFS($G$140:$G$152,$H$140:$H$152,N144)/$O$140</f>
        <v>0.49862033587975024</v>
      </c>
      <c r="P144" s="117"/>
      <c r="Q144" s="168">
        <v>14515215.07</v>
      </c>
      <c r="R144" s="86">
        <f t="shared" si="13"/>
        <v>7.8636335917004224E-2</v>
      </c>
      <c r="S144" s="5"/>
      <c r="T144" s="5"/>
      <c r="U144" s="5"/>
    </row>
    <row r="145" spans="3:21" ht="15" thickBot="1" x14ac:dyDescent="0.45">
      <c r="C145" s="84" t="s">
        <v>129</v>
      </c>
      <c r="D145" s="50">
        <f>SUMIFS(Notes_MIG1,PrimeNoteHolders,Prime_InvestorCapitalPerf!C145)/SUM(Notes_MIG1)*$D$143</f>
        <v>30012600.004918031</v>
      </c>
      <c r="E145" s="52" t="str">
        <f>_xlfn.XLOOKUP(C145,'Investor Categories'!D:D,'Investor Categories'!C:C,"")</f>
        <v>GUIDESTONE</v>
      </c>
      <c r="F145" s="300" t="str">
        <v>Southern Baptist Convention</v>
      </c>
      <c r="G145" s="52">
        <f t="shared" si="14"/>
        <v>14515215.07</v>
      </c>
      <c r="H145" s="48" t="str">
        <f>VLOOKUP(F145,'Investor Categories'!C:E,3,FALSE)</f>
        <v>(g) Non-profits</v>
      </c>
      <c r="I145" s="85"/>
      <c r="J145" s="182"/>
      <c r="K145" s="311"/>
      <c r="L145" s="309"/>
      <c r="M145" s="85"/>
      <c r="N145" s="51" t="s">
        <v>141</v>
      </c>
      <c r="O145" s="172">
        <f t="shared" ref="O145:O147" si="15">SUMIFS($G$140:$G$152,$H$140:$H$152,N145)/$O$140</f>
        <v>0.26014974041637051</v>
      </c>
      <c r="P145" s="117"/>
      <c r="Q145" s="168"/>
      <c r="R145" s="86"/>
      <c r="S145" s="5"/>
      <c r="T145" s="5"/>
      <c r="U145" s="5"/>
    </row>
    <row r="146" spans="3:21" ht="15" thickBot="1" x14ac:dyDescent="0.45">
      <c r="C146" s="84" t="s">
        <v>130</v>
      </c>
      <c r="D146" s="50">
        <f>SUMIFS(Notes_MIG1,PrimeNoteHolders,Prime_InvestorCapitalPerf!C146)/SUM(Notes_MIG1)*$D$143</f>
        <v>30012600.004918031</v>
      </c>
      <c r="E146" s="52" t="str">
        <f>_xlfn.XLOOKUP(C146,'Investor Categories'!D:D,'Investor Categories'!C:C,"")</f>
        <v>MERCURY</v>
      </c>
      <c r="F146" s="301" t="s">
        <v>119</v>
      </c>
      <c r="G146" s="277">
        <f>SUM(G141:G145)</f>
        <v>184586615.09</v>
      </c>
      <c r="H146" s="48"/>
      <c r="I146" s="85"/>
      <c r="J146" s="182"/>
      <c r="K146" s="311"/>
      <c r="L146" s="309"/>
      <c r="M146" s="85"/>
      <c r="N146" s="51" t="s">
        <v>142</v>
      </c>
      <c r="O146" s="172">
        <f t="shared" si="15"/>
        <v>0.24122992370387927</v>
      </c>
      <c r="P146" s="85"/>
      <c r="Q146" s="168"/>
      <c r="R146" s="86"/>
      <c r="S146" s="5"/>
      <c r="T146" s="5"/>
      <c r="U146" s="5"/>
    </row>
    <row r="147" spans="3:21" ht="15" thickBot="1" x14ac:dyDescent="0.45">
      <c r="C147" s="84"/>
      <c r="D147" s="50"/>
      <c r="E147" s="50"/>
      <c r="F147" s="302" t="s">
        <v>223</v>
      </c>
      <c r="G147" s="55">
        <f>G146-O140</f>
        <v>0</v>
      </c>
      <c r="H147" s="56"/>
      <c r="I147" s="89"/>
      <c r="J147" s="312"/>
      <c r="K147" s="313"/>
      <c r="L147" s="310"/>
      <c r="M147" s="89"/>
      <c r="N147" s="173" t="s">
        <v>140</v>
      </c>
      <c r="O147" s="174">
        <f t="shared" si="15"/>
        <v>0</v>
      </c>
      <c r="P147" s="93"/>
      <c r="Q147" s="93"/>
      <c r="R147" s="86"/>
      <c r="S147" s="5"/>
      <c r="T147" s="5"/>
      <c r="U147" s="5"/>
    </row>
    <row r="148" spans="3:21" x14ac:dyDescent="0.4">
      <c r="C148" s="84"/>
      <c r="D148" s="50"/>
      <c r="E148" s="50"/>
      <c r="F148" s="50"/>
      <c r="G148" s="50"/>
      <c r="H148" s="48"/>
      <c r="I148" s="85"/>
      <c r="J148" s="182"/>
      <c r="K148" s="182"/>
      <c r="L148" s="85"/>
      <c r="M148" s="85"/>
      <c r="N148" s="243" t="s">
        <v>133</v>
      </c>
      <c r="O148" s="244">
        <f>SUM(O144:O147)</f>
        <v>1</v>
      </c>
      <c r="P148" s="85"/>
      <c r="Q148" s="85"/>
      <c r="R148" s="92"/>
      <c r="S148" s="5"/>
      <c r="T148" s="5"/>
      <c r="U148" s="5"/>
    </row>
    <row r="149" spans="3:21" x14ac:dyDescent="0.4">
      <c r="C149" s="84"/>
      <c r="D149" s="50"/>
      <c r="E149" s="50"/>
      <c r="F149" s="50"/>
      <c r="G149" s="50"/>
      <c r="H149" s="48"/>
      <c r="I149" s="85"/>
      <c r="J149" s="182"/>
      <c r="K149" s="182"/>
      <c r="L149" s="182"/>
      <c r="M149" s="182"/>
      <c r="N149" s="85"/>
      <c r="O149" s="85"/>
      <c r="P149" s="85"/>
      <c r="Q149" s="243" t="s">
        <v>167</v>
      </c>
      <c r="R149" s="245">
        <f>MAX(R136:R146)</f>
        <v>0.33602674809287514</v>
      </c>
      <c r="S149" s="5"/>
      <c r="T149" s="5"/>
      <c r="U149" s="5"/>
    </row>
    <row r="150" spans="3:21" x14ac:dyDescent="0.4">
      <c r="C150" s="84"/>
      <c r="D150" s="50"/>
      <c r="E150" s="50"/>
      <c r="F150" s="50"/>
      <c r="G150" s="50"/>
      <c r="H150" s="48"/>
      <c r="I150" s="85"/>
      <c r="J150" s="85"/>
      <c r="K150" s="85"/>
      <c r="L150" s="85"/>
      <c r="M150" s="85"/>
      <c r="N150" s="85"/>
      <c r="O150" s="85"/>
      <c r="P150" s="85"/>
      <c r="Q150" s="243" t="s">
        <v>154</v>
      </c>
      <c r="R150" s="245">
        <f>SUM(R140:R144)</f>
        <v>1</v>
      </c>
      <c r="S150" s="5"/>
      <c r="T150" s="5"/>
      <c r="U150" s="5"/>
    </row>
    <row r="151" spans="3:21" x14ac:dyDescent="0.4">
      <c r="C151" s="84"/>
      <c r="D151" s="50"/>
      <c r="E151" s="50"/>
      <c r="F151" s="50"/>
      <c r="G151" s="50"/>
      <c r="H151" s="48"/>
      <c r="I151" s="85"/>
      <c r="J151" s="85"/>
      <c r="K151" s="85"/>
      <c r="L151" s="85"/>
      <c r="M151" s="85"/>
      <c r="N151" s="85"/>
      <c r="O151" s="85"/>
      <c r="P151" s="85"/>
      <c r="Q151" s="243" t="s">
        <v>224</v>
      </c>
      <c r="R151" s="340">
        <f>COUNTIFS(R136:R144,"&gt;="&amp;0.05)</f>
        <v>5</v>
      </c>
      <c r="S151" s="5"/>
      <c r="T151" s="5"/>
      <c r="U151" s="5"/>
    </row>
    <row r="152" spans="3:21" ht="15" thickBot="1" x14ac:dyDescent="0.45">
      <c r="C152" s="94"/>
      <c r="D152" s="55"/>
      <c r="E152" s="55"/>
      <c r="F152" s="55"/>
      <c r="G152" s="55"/>
      <c r="H152" s="56"/>
      <c r="I152" s="89"/>
      <c r="J152" s="89"/>
      <c r="K152" s="89"/>
      <c r="L152" s="89"/>
      <c r="M152" s="89"/>
      <c r="N152" s="89"/>
      <c r="O152" s="89"/>
      <c r="P152" s="89"/>
      <c r="Q152" s="246" t="s">
        <v>119</v>
      </c>
      <c r="R152" s="247">
        <f>SUM(R140:R149)</f>
        <v>1.3360267480928751</v>
      </c>
      <c r="S152" s="5"/>
      <c r="T152" s="5"/>
      <c r="U152" s="5"/>
    </row>
    <row r="153" spans="3:21" x14ac:dyDescent="0.4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spans="3:21" ht="15" thickBot="1" x14ac:dyDescent="0.45">
      <c r="C154" s="5" t="s">
        <v>176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spans="3:21" ht="15" thickBot="1" x14ac:dyDescent="0.45">
      <c r="C155" s="191" t="s">
        <v>24</v>
      </c>
      <c r="D155" s="192">
        <f>VLOOKUP(C155,$B$50:$Q$53,16,FALSE)</f>
        <v>75361077.150000006</v>
      </c>
      <c r="E155" s="192" t="str">
        <f>_xlfn.XLOOKUP(C155,'Investor Categories'!D:D,'Investor Categories'!C:C,"")</f>
        <v>Alfred I. duPont Charitable Trust</v>
      </c>
      <c r="F155" s="314" t="str" cm="1">
        <f t="array" ref="F155:F156">_xlfn._xlws.SORT(_xlfn.UNIQUE(E155:E158))</f>
        <v>Alfred I. duPont Charitable Trust</v>
      </c>
      <c r="G155" s="192">
        <f>SUMIFS($D$155:$D$158,$E$155:$E$158,F155)</f>
        <v>90209366.600000009</v>
      </c>
      <c r="H155" s="193" t="str">
        <f>VLOOKUP(F155,'Investor Categories'!C:E,3,FALSE)</f>
        <v>(g) Non-profits</v>
      </c>
      <c r="I155" s="194"/>
      <c r="J155" s="194"/>
      <c r="K155" s="315"/>
      <c r="L155" s="195"/>
      <c r="M155" s="195"/>
      <c r="N155" s="192" t="s">
        <v>161</v>
      </c>
      <c r="O155" s="196">
        <f>SUM(D155:D158)+D159</f>
        <v>96892947.100000009</v>
      </c>
      <c r="P155" s="197"/>
      <c r="Q155" s="198" cm="1">
        <f t="array" ref="Q155:Q156">_xlfn._xlws.SORT(G155:G156,1,-1)</f>
        <v>90209366.600000009</v>
      </c>
      <c r="R155" s="199">
        <f>Q155/$O$155</f>
        <v>0.93102098037020076</v>
      </c>
      <c r="S155" s="5"/>
      <c r="T155" s="5"/>
      <c r="U155" s="5"/>
    </row>
    <row r="156" spans="3:21" ht="15" thickBot="1" x14ac:dyDescent="0.45">
      <c r="C156" s="200" t="s">
        <v>32</v>
      </c>
      <c r="D156" s="201">
        <f>VLOOKUP(C156,$B$50:$Q$53,16,FALSE)</f>
        <v>1003615.68</v>
      </c>
      <c r="E156" s="201" t="str">
        <f>_xlfn.XLOOKUP(C156,'Investor Categories'!D:D,'Investor Categories'!C:C,"")</f>
        <v>Alfred I. duPont Charitable Trust</v>
      </c>
      <c r="F156" s="316" t="str">
        <v>Alfred I. duPont Charitable Trust Pension</v>
      </c>
      <c r="G156" s="201">
        <f t="shared" ref="G156" si="16">SUMIFS($D$155:$D$158,$E$155:$E$158,F156)</f>
        <v>6683580.5</v>
      </c>
      <c r="H156" s="202" t="str">
        <f>VLOOKUP(F156,'Investor Categories'!C:E,3,FALSE)</f>
        <v xml:space="preserve">(h) Pension plans (excluding governmental pension plans) </v>
      </c>
      <c r="I156" s="203"/>
      <c r="J156" s="203"/>
      <c r="K156" s="225"/>
      <c r="L156" s="204"/>
      <c r="M156" s="201"/>
      <c r="N156" s="203"/>
      <c r="O156" s="205"/>
      <c r="P156" s="206"/>
      <c r="Q156" s="207">
        <v>6683580.5</v>
      </c>
      <c r="R156" s="208">
        <f t="shared" ref="R156" si="17">Q156/$O$155</f>
        <v>6.8979019629799243E-2</v>
      </c>
      <c r="S156" s="5"/>
      <c r="T156" s="5"/>
      <c r="U156" s="5"/>
    </row>
    <row r="157" spans="3:21" s="1" customFormat="1" ht="15" thickBot="1" x14ac:dyDescent="0.45">
      <c r="C157" s="200" t="s">
        <v>33</v>
      </c>
      <c r="D157" s="201">
        <f>VLOOKUP(C157,$B$50:$Q$53,16,FALSE)</f>
        <v>13844673.77</v>
      </c>
      <c r="E157" s="201" t="str">
        <f>_xlfn.XLOOKUP(C157,'Investor Categories'!D:D,'Investor Categories'!C:C,"")</f>
        <v>Alfred I. duPont Charitable Trust</v>
      </c>
      <c r="F157" s="317" t="s">
        <v>119</v>
      </c>
      <c r="G157" s="279">
        <f>SUM(G155:G156)</f>
        <v>96892947.100000009</v>
      </c>
      <c r="H157" s="202"/>
      <c r="I157" s="203"/>
      <c r="J157" s="203"/>
      <c r="K157" s="225"/>
      <c r="L157" s="204"/>
      <c r="M157" s="201"/>
      <c r="N157" s="203"/>
      <c r="O157" s="205"/>
      <c r="P157" s="206"/>
      <c r="Q157" s="207"/>
      <c r="R157" s="208"/>
      <c r="S157" s="5"/>
      <c r="T157" s="5"/>
      <c r="U157" s="5"/>
    </row>
    <row r="158" spans="3:21" ht="15" thickBot="1" x14ac:dyDescent="0.45">
      <c r="C158" s="209" t="s">
        <v>34</v>
      </c>
      <c r="D158" s="210">
        <f>VLOOKUP(C158,$B$50:$Q$53,16,FALSE)</f>
        <v>6683580.5</v>
      </c>
      <c r="E158" s="201" t="str">
        <f>_xlfn.XLOOKUP(C158,'Investor Categories'!D:D,'Investor Categories'!C:C,"")</f>
        <v>Alfred I. duPont Charitable Trust Pension</v>
      </c>
      <c r="F158" s="318" t="s">
        <v>223</v>
      </c>
      <c r="G158" s="210">
        <f>G157-O155</f>
        <v>0</v>
      </c>
      <c r="H158" s="319"/>
      <c r="I158" s="221"/>
      <c r="J158" s="221"/>
      <c r="K158" s="320"/>
      <c r="L158" s="204"/>
      <c r="M158" s="201"/>
      <c r="N158" s="203"/>
      <c r="O158" s="205"/>
      <c r="P158" s="206"/>
      <c r="Q158" s="207"/>
      <c r="R158" s="208"/>
    </row>
    <row r="159" spans="3:21" ht="15" thickBot="1" x14ac:dyDescent="0.45">
      <c r="C159" s="200"/>
      <c r="D159" s="274"/>
      <c r="E159" s="201"/>
      <c r="F159" s="201"/>
      <c r="G159" s="201"/>
      <c r="H159" s="207"/>
      <c r="I159" s="203"/>
      <c r="J159" s="203"/>
      <c r="K159" s="203"/>
      <c r="L159" s="204"/>
      <c r="M159" s="201"/>
      <c r="N159" s="203"/>
      <c r="O159" s="205"/>
      <c r="P159" s="206"/>
      <c r="Q159" s="207"/>
      <c r="R159" s="208"/>
    </row>
    <row r="160" spans="3:21" x14ac:dyDescent="0.4">
      <c r="C160" s="200"/>
      <c r="D160" s="211"/>
      <c r="E160" s="211"/>
      <c r="F160" s="211"/>
      <c r="G160" s="211"/>
      <c r="H160" s="212"/>
      <c r="I160" s="203"/>
      <c r="J160" s="203"/>
      <c r="K160" s="203"/>
      <c r="L160" s="213"/>
      <c r="M160" s="194"/>
      <c r="N160" s="214" t="s">
        <v>142</v>
      </c>
      <c r="O160" s="215">
        <f>SUMIFS($G$155:$G$167,$H$155:$H$167,N160)/$O$155</f>
        <v>0.93102098037020076</v>
      </c>
      <c r="P160" s="206"/>
      <c r="Q160" s="207"/>
      <c r="R160" s="208"/>
    </row>
    <row r="161" spans="3:18" x14ac:dyDescent="0.4">
      <c r="C161" s="200"/>
      <c r="D161" s="211"/>
      <c r="E161" s="211"/>
      <c r="F161" s="211"/>
      <c r="G161" s="211"/>
      <c r="H161" s="212"/>
      <c r="I161" s="203"/>
      <c r="J161" s="216"/>
      <c r="K161" s="216"/>
      <c r="L161" s="217"/>
      <c r="M161" s="203"/>
      <c r="N161" s="218" t="s">
        <v>143</v>
      </c>
      <c r="O161" s="219">
        <f t="shared" ref="O161" si="18">SUMIFS($G$155:$G$167,$H$155:$H$167,N161)/$O$155</f>
        <v>6.8979019629799243E-2</v>
      </c>
      <c r="P161" s="206"/>
      <c r="Q161" s="207"/>
      <c r="R161" s="208"/>
    </row>
    <row r="162" spans="3:18" x14ac:dyDescent="0.4">
      <c r="C162" s="200"/>
      <c r="D162" s="211"/>
      <c r="E162" s="211"/>
      <c r="F162" s="211"/>
      <c r="G162" s="211"/>
      <c r="H162" s="212"/>
      <c r="I162" s="203"/>
      <c r="J162" s="216"/>
      <c r="K162" s="216"/>
      <c r="L162" s="217"/>
      <c r="M162" s="203"/>
      <c r="N162" s="218"/>
      <c r="O162" s="219"/>
      <c r="P162" s="203"/>
      <c r="Q162" s="207"/>
      <c r="R162" s="208"/>
    </row>
    <row r="163" spans="3:18" ht="15" thickBot="1" x14ac:dyDescent="0.45">
      <c r="C163" s="200"/>
      <c r="D163" s="211"/>
      <c r="E163" s="211"/>
      <c r="F163" s="211"/>
      <c r="G163" s="211"/>
      <c r="H163" s="212"/>
      <c r="I163" s="203"/>
      <c r="J163" s="216"/>
      <c r="K163" s="216"/>
      <c r="L163" s="220"/>
      <c r="M163" s="221"/>
      <c r="N163" s="222"/>
      <c r="O163" s="223"/>
      <c r="P163" s="224"/>
      <c r="Q163" s="224"/>
      <c r="R163" s="208"/>
    </row>
    <row r="164" spans="3:18" x14ac:dyDescent="0.4">
      <c r="C164" s="200"/>
      <c r="D164" s="211"/>
      <c r="E164" s="211"/>
      <c r="F164" s="211"/>
      <c r="G164" s="211"/>
      <c r="H164" s="212"/>
      <c r="I164" s="203"/>
      <c r="J164" s="216"/>
      <c r="K164" s="216"/>
      <c r="L164" s="203"/>
      <c r="M164" s="203"/>
      <c r="N164" s="248" t="s">
        <v>133</v>
      </c>
      <c r="O164" s="249">
        <f>SUM(O160:O163)</f>
        <v>1</v>
      </c>
      <c r="P164" s="203"/>
      <c r="Q164" s="203"/>
      <c r="R164" s="225"/>
    </row>
    <row r="165" spans="3:18" x14ac:dyDescent="0.4">
      <c r="C165" s="200"/>
      <c r="D165" s="211"/>
      <c r="E165" s="211"/>
      <c r="F165" s="211"/>
      <c r="G165" s="211"/>
      <c r="H165" s="212"/>
      <c r="I165" s="203"/>
      <c r="J165" s="216"/>
      <c r="K165" s="216"/>
      <c r="L165" s="216"/>
      <c r="M165" s="216"/>
      <c r="N165" s="203"/>
      <c r="O165" s="203"/>
      <c r="P165" s="203"/>
      <c r="Q165" s="203"/>
      <c r="R165" s="225"/>
    </row>
    <row r="166" spans="3:18" x14ac:dyDescent="0.4">
      <c r="C166" s="200"/>
      <c r="D166" s="211"/>
      <c r="E166" s="211"/>
      <c r="F166" s="211"/>
      <c r="G166" s="211"/>
      <c r="H166" s="212"/>
      <c r="I166" s="203"/>
      <c r="J166" s="203"/>
      <c r="K166" s="203"/>
      <c r="L166" s="203"/>
      <c r="M166" s="203"/>
      <c r="N166" s="203"/>
      <c r="O166" s="203"/>
      <c r="P166" s="203"/>
      <c r="Q166" s="248" t="s">
        <v>154</v>
      </c>
      <c r="R166" s="250">
        <f>SUM(R155:R160)</f>
        <v>1</v>
      </c>
    </row>
    <row r="167" spans="3:18" x14ac:dyDescent="0.4">
      <c r="C167" s="200"/>
      <c r="D167" s="211"/>
      <c r="E167" s="211"/>
      <c r="F167" s="211"/>
      <c r="G167" s="211"/>
      <c r="H167" s="212"/>
      <c r="I167" s="203"/>
      <c r="J167" s="203"/>
      <c r="K167" s="203"/>
      <c r="L167" s="203"/>
      <c r="M167" s="203"/>
      <c r="N167" s="203"/>
      <c r="O167" s="203"/>
      <c r="P167" s="203"/>
      <c r="Q167" s="204"/>
      <c r="R167" s="208"/>
    </row>
    <row r="168" spans="3:18" ht="15" thickBot="1" x14ac:dyDescent="0.45">
      <c r="C168" s="209"/>
      <c r="D168" s="226"/>
      <c r="E168" s="226"/>
      <c r="F168" s="226"/>
      <c r="G168" s="226"/>
      <c r="H168" s="227"/>
      <c r="I168" s="221"/>
      <c r="J168" s="221"/>
      <c r="K168" s="221"/>
      <c r="L168" s="221"/>
      <c r="M168" s="221"/>
      <c r="N168" s="221"/>
      <c r="O168" s="221"/>
      <c r="P168" s="221"/>
      <c r="Q168" s="251" t="s">
        <v>119</v>
      </c>
      <c r="R168" s="252">
        <f>SUM(R155:R165)</f>
        <v>1</v>
      </c>
    </row>
    <row r="169" spans="3:18" x14ac:dyDescent="0.4">
      <c r="E169" s="1"/>
      <c r="G169" s="1"/>
    </row>
    <row r="170" spans="3:18" x14ac:dyDescent="0.4">
      <c r="E170" s="1"/>
      <c r="G170" s="1"/>
    </row>
    <row r="171" spans="3:18" x14ac:dyDescent="0.4">
      <c r="E171" s="1"/>
      <c r="G171" s="1"/>
    </row>
    <row r="172" spans="3:18" x14ac:dyDescent="0.4">
      <c r="E172" s="1"/>
      <c r="G172" s="1"/>
    </row>
    <row r="173" spans="3:18" x14ac:dyDescent="0.4">
      <c r="E173" s="1"/>
      <c r="G173" s="1"/>
    </row>
    <row r="174" spans="3:18" x14ac:dyDescent="0.4">
      <c r="E174" s="1"/>
      <c r="G174" s="1"/>
    </row>
    <row r="175" spans="3:18" x14ac:dyDescent="0.4">
      <c r="E175" s="1"/>
      <c r="G175" s="1"/>
    </row>
    <row r="176" spans="3:18" x14ac:dyDescent="0.4">
      <c r="E176" s="1"/>
      <c r="G176" s="1"/>
    </row>
    <row r="177" spans="5:7" x14ac:dyDescent="0.4">
      <c r="E177" s="1"/>
      <c r="G177" s="1"/>
    </row>
    <row r="178" spans="5:7" x14ac:dyDescent="0.4">
      <c r="E178" s="1"/>
      <c r="G178" s="1"/>
    </row>
    <row r="179" spans="5:7" x14ac:dyDescent="0.4">
      <c r="E179" s="1"/>
      <c r="G179" s="1"/>
    </row>
    <row r="180" spans="5:7" x14ac:dyDescent="0.4">
      <c r="E180" s="1"/>
      <c r="G180" s="1"/>
    </row>
    <row r="181" spans="5:7" x14ac:dyDescent="0.4">
      <c r="E181" s="1"/>
      <c r="G181" s="1"/>
    </row>
    <row r="182" spans="5:7" x14ac:dyDescent="0.4">
      <c r="E182" s="1"/>
      <c r="G182" s="1"/>
    </row>
  </sheetData>
  <sortState xmlns:xlrd2="http://schemas.microsoft.com/office/spreadsheetml/2017/richdata2" ref="O140:O145">
    <sortCondition descending="1" ref="O140:O145"/>
  </sortState>
  <mergeCells count="58">
    <mergeCell ref="A1:C1"/>
    <mergeCell ref="A2:V2"/>
    <mergeCell ref="A3:V3"/>
    <mergeCell ref="A4:V4"/>
    <mergeCell ref="C5:D5"/>
    <mergeCell ref="A6:E6"/>
    <mergeCell ref="C7:D7"/>
    <mergeCell ref="C8:D8"/>
    <mergeCell ref="C9:D9"/>
    <mergeCell ref="C10:D10"/>
    <mergeCell ref="C11:D11"/>
    <mergeCell ref="C14:D14"/>
    <mergeCell ref="C15:D15"/>
    <mergeCell ref="C16:D16"/>
    <mergeCell ref="C17:D17"/>
    <mergeCell ref="C12:D12"/>
    <mergeCell ref="C13:D13"/>
    <mergeCell ref="C18:D18"/>
    <mergeCell ref="C19:D19"/>
    <mergeCell ref="A20:E20"/>
    <mergeCell ref="A21:E21"/>
    <mergeCell ref="C22:D22"/>
    <mergeCell ref="C23:D23"/>
    <mergeCell ref="A24:E24"/>
    <mergeCell ref="A25:E25"/>
    <mergeCell ref="C26:D26"/>
    <mergeCell ref="C29:D29"/>
    <mergeCell ref="C27:D27"/>
    <mergeCell ref="C28:D28"/>
    <mergeCell ref="A30:E30"/>
    <mergeCell ref="A31:E31"/>
    <mergeCell ref="C32:D32"/>
    <mergeCell ref="C33:D33"/>
    <mergeCell ref="C34:D34"/>
    <mergeCell ref="C35:D35"/>
    <mergeCell ref="C36:D36"/>
    <mergeCell ref="C37:D37"/>
    <mergeCell ref="C38:D38"/>
    <mergeCell ref="C39:D39"/>
    <mergeCell ref="A40:E40"/>
    <mergeCell ref="A41:E41"/>
    <mergeCell ref="C42:D42"/>
    <mergeCell ref="C43:D43"/>
    <mergeCell ref="C44:D44"/>
    <mergeCell ref="C56:D56"/>
    <mergeCell ref="A57:E57"/>
    <mergeCell ref="B58:E58"/>
    <mergeCell ref="C45:D45"/>
    <mergeCell ref="C46:D46"/>
    <mergeCell ref="C47:D47"/>
    <mergeCell ref="A48:E48"/>
    <mergeCell ref="A49:E49"/>
    <mergeCell ref="C50:D50"/>
    <mergeCell ref="C51:D51"/>
    <mergeCell ref="C52:D52"/>
    <mergeCell ref="C53:D53"/>
    <mergeCell ref="A54:E54"/>
    <mergeCell ref="A55:E55"/>
  </mergeCells>
  <pageMargins left="0.15" right="0.15" top="0.2" bottom="0.35365000000000002" header="0.2" footer="0.2"/>
  <pageSetup orientation="landscape" horizontalDpi="300" verticalDpi="300" r:id="rId1"/>
  <headerFooter alignWithMargins="0">
    <oddFooter>&amp;L&amp;"Tahoma,Regular"&amp;8 Created on 10/4/2021 11:07:42 AM &amp;C&amp;"Tahoma,Regular"&amp;8 1 of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F0DD-5A3E-4B12-8AE0-F8CCAD402B15}">
  <dimension ref="C4:U35"/>
  <sheetViews>
    <sheetView showGridLines="0" zoomScale="60" zoomScaleNormal="60" workbookViewId="0">
      <selection activeCell="J22" activeCellId="2" sqref="C6:J7 C17:J18 C22:J23"/>
    </sheetView>
  </sheetViews>
  <sheetFormatPr defaultColWidth="9.15234375" defaultRowHeight="14.6" x14ac:dyDescent="0.4"/>
  <cols>
    <col min="1" max="2" width="9.15234375" style="20"/>
    <col min="3" max="3" width="12.23046875" style="20" bestFit="1" customWidth="1"/>
    <col min="4" max="4" width="25.69140625" style="20" bestFit="1" customWidth="1"/>
    <col min="5" max="7" width="15.84375" style="20" bestFit="1" customWidth="1"/>
    <col min="8" max="8" width="14.84375" style="20" bestFit="1" customWidth="1"/>
    <col min="9" max="9" width="13.4609375" style="20" bestFit="1" customWidth="1"/>
    <col min="10" max="10" width="16.53515625" style="20" bestFit="1" customWidth="1"/>
    <col min="11" max="12" width="9.15234375" style="20"/>
    <col min="13" max="13" width="15.53515625" style="20" bestFit="1" customWidth="1"/>
    <col min="14" max="14" width="24.15234375" style="20" bestFit="1" customWidth="1"/>
    <col min="15" max="16" width="15.84375" style="20" bestFit="1" customWidth="1"/>
    <col min="17" max="17" width="23.4609375" style="20" bestFit="1" customWidth="1"/>
    <col min="18" max="20" width="15.84375" style="20" bestFit="1" customWidth="1"/>
    <col min="21" max="21" width="15.53515625" style="20" customWidth="1"/>
    <col min="22" max="16384" width="9.15234375" style="20"/>
  </cols>
  <sheetData>
    <row r="4" spans="3:21" x14ac:dyDescent="0.4">
      <c r="D4" s="21"/>
      <c r="E4" s="22" t="s">
        <v>62</v>
      </c>
      <c r="F4" s="22" t="s">
        <v>63</v>
      </c>
      <c r="G4" s="22" t="s">
        <v>64</v>
      </c>
      <c r="H4" s="22" t="s">
        <v>65</v>
      </c>
      <c r="I4" s="22" t="s">
        <v>66</v>
      </c>
      <c r="J4" s="22" t="s">
        <v>67</v>
      </c>
      <c r="K4" s="21"/>
      <c r="L4" s="21"/>
      <c r="M4" s="21"/>
      <c r="N4" s="6"/>
      <c r="O4" s="136" t="s">
        <v>62</v>
      </c>
      <c r="P4" s="137" t="s">
        <v>68</v>
      </c>
      <c r="Q4" s="137" t="s">
        <v>69</v>
      </c>
      <c r="R4" s="137" t="s">
        <v>70</v>
      </c>
      <c r="S4" s="137" t="s">
        <v>71</v>
      </c>
      <c r="T4" s="137" t="s">
        <v>72</v>
      </c>
      <c r="U4" s="137" t="s">
        <v>173</v>
      </c>
    </row>
    <row r="5" spans="3:21" x14ac:dyDescent="0.4">
      <c r="C5" s="20" t="s">
        <v>152</v>
      </c>
      <c r="D5" s="21"/>
      <c r="E5" s="22" t="s">
        <v>120</v>
      </c>
      <c r="F5" s="22" t="s">
        <v>121</v>
      </c>
      <c r="G5" s="22" t="s">
        <v>122</v>
      </c>
      <c r="H5" s="22" t="s">
        <v>73</v>
      </c>
      <c r="I5" s="22" t="s">
        <v>123</v>
      </c>
      <c r="J5" s="22" t="s">
        <v>124</v>
      </c>
      <c r="K5" s="21"/>
      <c r="L5" s="21"/>
      <c r="M5" s="20" t="s">
        <v>152</v>
      </c>
      <c r="N5" s="138" t="s">
        <v>74</v>
      </c>
      <c r="O5" s="137" t="s">
        <v>75</v>
      </c>
      <c r="P5" s="137" t="s">
        <v>76</v>
      </c>
      <c r="Q5" s="137" t="s">
        <v>77</v>
      </c>
      <c r="R5" s="137" t="s">
        <v>78</v>
      </c>
      <c r="S5" s="137" t="s">
        <v>79</v>
      </c>
      <c r="T5" s="137" t="s">
        <v>80</v>
      </c>
      <c r="U5" s="137" t="s">
        <v>174</v>
      </c>
    </row>
    <row r="6" spans="3:21" x14ac:dyDescent="0.4">
      <c r="C6" s="20" t="s">
        <v>125</v>
      </c>
      <c r="D6" s="21" t="s">
        <v>81</v>
      </c>
      <c r="E6" s="24">
        <v>56000000</v>
      </c>
      <c r="F6" s="25">
        <v>0</v>
      </c>
      <c r="G6" s="25">
        <v>0</v>
      </c>
      <c r="H6" s="25">
        <v>0</v>
      </c>
      <c r="I6" s="25">
        <v>0</v>
      </c>
      <c r="J6" s="26">
        <v>56000000</v>
      </c>
      <c r="K6" s="21"/>
      <c r="L6" s="21"/>
      <c r="M6" s="21"/>
      <c r="N6" s="139" t="s">
        <v>82</v>
      </c>
      <c r="O6" s="140">
        <v>0</v>
      </c>
      <c r="P6" s="141">
        <v>0</v>
      </c>
      <c r="Q6" s="141">
        <v>0</v>
      </c>
      <c r="R6" s="141">
        <v>0</v>
      </c>
      <c r="S6" s="141">
        <v>0</v>
      </c>
      <c r="T6" s="141">
        <v>0</v>
      </c>
      <c r="U6" s="142">
        <v>0</v>
      </c>
    </row>
    <row r="7" spans="3:21" x14ac:dyDescent="0.4">
      <c r="C7" s="20" t="s">
        <v>125</v>
      </c>
      <c r="D7" s="21" t="s">
        <v>83</v>
      </c>
      <c r="E7" s="27">
        <v>6000000</v>
      </c>
      <c r="F7" s="28">
        <v>0</v>
      </c>
      <c r="G7" s="28">
        <v>0</v>
      </c>
      <c r="H7" s="28">
        <v>0</v>
      </c>
      <c r="I7" s="28">
        <v>0</v>
      </c>
      <c r="J7" s="29">
        <v>6000000</v>
      </c>
      <c r="K7" s="21"/>
      <c r="L7" s="21"/>
      <c r="M7" s="21" t="s">
        <v>134</v>
      </c>
      <c r="N7" s="143" t="s">
        <v>84</v>
      </c>
      <c r="O7" s="144">
        <v>0</v>
      </c>
      <c r="P7" s="145">
        <v>0</v>
      </c>
      <c r="Q7" s="145">
        <v>0</v>
      </c>
      <c r="R7" s="145">
        <v>0</v>
      </c>
      <c r="S7" s="145">
        <v>0</v>
      </c>
      <c r="T7" s="145">
        <v>0</v>
      </c>
      <c r="U7" s="146">
        <v>18100000</v>
      </c>
    </row>
    <row r="8" spans="3:21" x14ac:dyDescent="0.4">
      <c r="C8" s="20" t="s">
        <v>126</v>
      </c>
      <c r="D8" s="21" t="s">
        <v>85</v>
      </c>
      <c r="E8" s="27">
        <v>0</v>
      </c>
      <c r="F8" s="28">
        <v>0</v>
      </c>
      <c r="G8" s="28">
        <v>0</v>
      </c>
      <c r="H8" s="28">
        <v>0</v>
      </c>
      <c r="I8" s="28">
        <v>0</v>
      </c>
      <c r="J8" s="29">
        <v>0</v>
      </c>
      <c r="K8" s="21"/>
      <c r="L8" s="21"/>
      <c r="M8" s="21" t="s">
        <v>134</v>
      </c>
      <c r="N8" s="143" t="s">
        <v>86</v>
      </c>
      <c r="O8" s="144">
        <v>0</v>
      </c>
      <c r="P8" s="145">
        <v>0</v>
      </c>
      <c r="Q8" s="145">
        <v>0</v>
      </c>
      <c r="R8" s="145">
        <v>0</v>
      </c>
      <c r="S8" s="145">
        <v>0</v>
      </c>
      <c r="T8" s="145">
        <v>0</v>
      </c>
      <c r="U8" s="146">
        <v>10300000</v>
      </c>
    </row>
    <row r="9" spans="3:21" x14ac:dyDescent="0.4">
      <c r="C9" s="20" t="s">
        <v>126</v>
      </c>
      <c r="D9" s="21" t="s">
        <v>87</v>
      </c>
      <c r="E9" s="27">
        <v>0</v>
      </c>
      <c r="F9" s="28">
        <v>0</v>
      </c>
      <c r="G9" s="28">
        <v>0</v>
      </c>
      <c r="H9" s="28">
        <v>0</v>
      </c>
      <c r="I9" s="28">
        <v>0</v>
      </c>
      <c r="J9" s="29">
        <v>0</v>
      </c>
      <c r="K9" s="21"/>
      <c r="L9" s="21"/>
      <c r="M9" s="21" t="s">
        <v>134</v>
      </c>
      <c r="N9" s="143" t="s">
        <v>88</v>
      </c>
      <c r="O9" s="144">
        <v>0</v>
      </c>
      <c r="P9" s="145">
        <v>0</v>
      </c>
      <c r="Q9" s="145">
        <v>0</v>
      </c>
      <c r="R9" s="145">
        <v>0</v>
      </c>
      <c r="S9" s="145">
        <v>0</v>
      </c>
      <c r="T9" s="145">
        <v>0</v>
      </c>
      <c r="U9" s="146">
        <v>5700000</v>
      </c>
    </row>
    <row r="10" spans="3:21" x14ac:dyDescent="0.4">
      <c r="C10" s="20" t="s">
        <v>126</v>
      </c>
      <c r="D10" s="21" t="s">
        <v>89</v>
      </c>
      <c r="E10" s="27">
        <v>0</v>
      </c>
      <c r="F10" s="28">
        <v>0</v>
      </c>
      <c r="G10" s="28">
        <v>0</v>
      </c>
      <c r="H10" s="28">
        <v>0</v>
      </c>
      <c r="I10" s="28">
        <v>0</v>
      </c>
      <c r="J10" s="29">
        <v>0</v>
      </c>
      <c r="K10" s="21"/>
      <c r="L10" s="21"/>
      <c r="M10" s="21" t="s">
        <v>134</v>
      </c>
      <c r="N10" s="143" t="s">
        <v>90</v>
      </c>
      <c r="O10" s="144">
        <v>0</v>
      </c>
      <c r="P10" s="145">
        <v>0</v>
      </c>
      <c r="Q10" s="145">
        <v>0</v>
      </c>
      <c r="R10" s="145">
        <v>0</v>
      </c>
      <c r="S10" s="145">
        <v>0</v>
      </c>
      <c r="T10" s="145">
        <v>0</v>
      </c>
      <c r="U10" s="146">
        <v>11000000</v>
      </c>
    </row>
    <row r="11" spans="3:21" x14ac:dyDescent="0.4">
      <c r="C11" s="20" t="s">
        <v>126</v>
      </c>
      <c r="D11" s="21" t="s">
        <v>91</v>
      </c>
      <c r="E11" s="27">
        <v>0</v>
      </c>
      <c r="F11" s="28">
        <v>0</v>
      </c>
      <c r="G11" s="28">
        <v>0</v>
      </c>
      <c r="H11" s="28">
        <v>0</v>
      </c>
      <c r="I11" s="28">
        <v>0</v>
      </c>
      <c r="J11" s="29">
        <v>0</v>
      </c>
      <c r="K11" s="21"/>
      <c r="L11" s="21"/>
      <c r="M11" s="21" t="s">
        <v>134</v>
      </c>
      <c r="N11" s="143" t="s">
        <v>92</v>
      </c>
      <c r="O11" s="144">
        <v>0</v>
      </c>
      <c r="P11" s="145">
        <v>0</v>
      </c>
      <c r="Q11" s="145">
        <v>0</v>
      </c>
      <c r="R11" s="145">
        <v>0</v>
      </c>
      <c r="S11" s="145">
        <v>0</v>
      </c>
      <c r="T11" s="145">
        <v>0</v>
      </c>
      <c r="U11" s="146">
        <v>9900000</v>
      </c>
    </row>
    <row r="12" spans="3:21" x14ac:dyDescent="0.4">
      <c r="C12" s="20" t="s">
        <v>126</v>
      </c>
      <c r="D12" s="21" t="s">
        <v>93</v>
      </c>
      <c r="E12" s="27">
        <v>0</v>
      </c>
      <c r="F12" s="28">
        <v>0</v>
      </c>
      <c r="G12" s="28">
        <v>0</v>
      </c>
      <c r="H12" s="28">
        <v>0</v>
      </c>
      <c r="I12" s="28">
        <v>0</v>
      </c>
      <c r="J12" s="29">
        <v>0</v>
      </c>
      <c r="K12" s="21"/>
      <c r="L12" s="21"/>
      <c r="M12" s="21" t="s">
        <v>135</v>
      </c>
      <c r="N12" s="143" t="s">
        <v>94</v>
      </c>
      <c r="O12" s="144">
        <v>0</v>
      </c>
      <c r="P12" s="145">
        <v>0</v>
      </c>
      <c r="Q12" s="145">
        <v>0</v>
      </c>
      <c r="R12" s="145">
        <v>0</v>
      </c>
      <c r="S12" s="145">
        <v>0</v>
      </c>
      <c r="T12" s="145">
        <v>25000000</v>
      </c>
      <c r="U12" s="146">
        <v>0</v>
      </c>
    </row>
    <row r="13" spans="3:21" x14ac:dyDescent="0.4">
      <c r="C13" s="20" t="s">
        <v>127</v>
      </c>
      <c r="D13" s="21" t="s">
        <v>95</v>
      </c>
      <c r="E13" s="27">
        <v>0</v>
      </c>
      <c r="F13" s="28">
        <v>0</v>
      </c>
      <c r="G13" s="28">
        <v>0</v>
      </c>
      <c r="H13" s="28">
        <v>0</v>
      </c>
      <c r="I13" s="28">
        <v>0</v>
      </c>
      <c r="J13" s="29">
        <v>0</v>
      </c>
      <c r="K13" s="21"/>
      <c r="L13" s="21"/>
      <c r="M13" s="21" t="s">
        <v>127</v>
      </c>
      <c r="N13" s="143" t="s">
        <v>96</v>
      </c>
      <c r="O13" s="144">
        <v>0</v>
      </c>
      <c r="P13" s="145">
        <v>0</v>
      </c>
      <c r="Q13" s="145">
        <v>0</v>
      </c>
      <c r="R13" s="145">
        <v>0</v>
      </c>
      <c r="S13" s="145">
        <v>0</v>
      </c>
      <c r="T13" s="145">
        <v>0</v>
      </c>
      <c r="U13" s="146">
        <v>0</v>
      </c>
    </row>
    <row r="14" spans="3:21" x14ac:dyDescent="0.4">
      <c r="C14" s="20" t="s">
        <v>127</v>
      </c>
      <c r="D14" s="21" t="s">
        <v>97</v>
      </c>
      <c r="E14" s="27">
        <v>0</v>
      </c>
      <c r="F14" s="28">
        <v>0</v>
      </c>
      <c r="G14" s="28">
        <v>0</v>
      </c>
      <c r="H14" s="28">
        <v>0</v>
      </c>
      <c r="I14" s="28">
        <v>0</v>
      </c>
      <c r="J14" s="29">
        <v>0</v>
      </c>
      <c r="K14" s="21"/>
      <c r="L14" s="21"/>
      <c r="M14" s="21" t="s">
        <v>135</v>
      </c>
      <c r="N14" s="143" t="s">
        <v>98</v>
      </c>
      <c r="O14" s="144">
        <v>0</v>
      </c>
      <c r="P14" s="145">
        <v>0</v>
      </c>
      <c r="Q14" s="145">
        <v>0</v>
      </c>
      <c r="R14" s="145">
        <v>0</v>
      </c>
      <c r="S14" s="145">
        <v>0</v>
      </c>
      <c r="T14" s="145">
        <v>25000000</v>
      </c>
      <c r="U14" s="146">
        <v>0</v>
      </c>
    </row>
    <row r="15" spans="3:21" x14ac:dyDescent="0.4">
      <c r="C15" s="20" t="s">
        <v>128</v>
      </c>
      <c r="D15" s="7" t="s">
        <v>99</v>
      </c>
      <c r="E15" s="27">
        <v>0</v>
      </c>
      <c r="F15" s="28">
        <v>0</v>
      </c>
      <c r="G15" s="28">
        <v>0</v>
      </c>
      <c r="H15" s="28">
        <v>0</v>
      </c>
      <c r="I15" s="28">
        <v>0</v>
      </c>
      <c r="J15" s="29">
        <v>0</v>
      </c>
      <c r="K15" s="21"/>
      <c r="L15" s="21"/>
      <c r="M15" s="21" t="s">
        <v>132</v>
      </c>
      <c r="N15" s="143" t="s">
        <v>100</v>
      </c>
      <c r="O15" s="144">
        <v>0</v>
      </c>
      <c r="P15" s="145">
        <v>0</v>
      </c>
      <c r="Q15" s="145">
        <v>0</v>
      </c>
      <c r="R15" s="145">
        <v>0</v>
      </c>
      <c r="S15" s="145">
        <v>0</v>
      </c>
      <c r="T15" s="145">
        <v>0</v>
      </c>
      <c r="U15" s="146">
        <v>47500000</v>
      </c>
    </row>
    <row r="16" spans="3:21" x14ac:dyDescent="0.4">
      <c r="C16" s="20" t="s">
        <v>128</v>
      </c>
      <c r="D16" s="7" t="s">
        <v>101</v>
      </c>
      <c r="E16" s="27">
        <v>0</v>
      </c>
      <c r="F16" s="28">
        <v>0</v>
      </c>
      <c r="G16" s="28">
        <v>0</v>
      </c>
      <c r="H16" s="28">
        <v>0</v>
      </c>
      <c r="I16" s="28">
        <v>0</v>
      </c>
      <c r="J16" s="29">
        <v>0</v>
      </c>
      <c r="K16" s="21"/>
      <c r="L16" s="21"/>
      <c r="M16" s="21" t="s">
        <v>130</v>
      </c>
      <c r="N16" s="143" t="s">
        <v>102</v>
      </c>
      <c r="O16" s="144">
        <v>0</v>
      </c>
      <c r="P16" s="145">
        <v>0</v>
      </c>
      <c r="Q16" s="145">
        <v>0</v>
      </c>
      <c r="R16" s="145">
        <v>0</v>
      </c>
      <c r="S16" s="145">
        <v>0</v>
      </c>
      <c r="T16" s="145">
        <v>0</v>
      </c>
      <c r="U16" s="146">
        <v>0</v>
      </c>
    </row>
    <row r="17" spans="3:21" x14ac:dyDescent="0.4">
      <c r="C17" s="20" t="s">
        <v>129</v>
      </c>
      <c r="D17" s="21" t="s">
        <v>103</v>
      </c>
      <c r="E17" s="27">
        <v>0</v>
      </c>
      <c r="F17" s="28">
        <v>0</v>
      </c>
      <c r="G17" s="28">
        <v>10000000</v>
      </c>
      <c r="H17" s="28">
        <v>0</v>
      </c>
      <c r="I17" s="28">
        <v>0</v>
      </c>
      <c r="J17" s="29">
        <v>15000000</v>
      </c>
      <c r="K17" s="21"/>
      <c r="L17" s="21"/>
      <c r="M17" s="21" t="s">
        <v>130</v>
      </c>
      <c r="N17" s="143" t="s">
        <v>104</v>
      </c>
      <c r="O17" s="144">
        <v>0</v>
      </c>
      <c r="P17" s="145">
        <v>0</v>
      </c>
      <c r="Q17" s="145">
        <v>0</v>
      </c>
      <c r="R17" s="145">
        <v>0</v>
      </c>
      <c r="S17" s="145">
        <v>0</v>
      </c>
      <c r="T17" s="145">
        <v>0</v>
      </c>
      <c r="U17" s="146">
        <v>0</v>
      </c>
    </row>
    <row r="18" spans="3:21" x14ac:dyDescent="0.4">
      <c r="C18" s="20" t="s">
        <v>129</v>
      </c>
      <c r="D18" s="21" t="s">
        <v>105</v>
      </c>
      <c r="E18" s="27">
        <v>0</v>
      </c>
      <c r="F18" s="28">
        <v>0</v>
      </c>
      <c r="G18" s="28">
        <v>0</v>
      </c>
      <c r="H18" s="28">
        <v>0</v>
      </c>
      <c r="I18" s="28">
        <v>0</v>
      </c>
      <c r="J18" s="29">
        <v>15000000</v>
      </c>
      <c r="K18" s="21"/>
      <c r="L18" s="21"/>
      <c r="M18" s="21" t="s">
        <v>130</v>
      </c>
      <c r="N18" s="143" t="s">
        <v>106</v>
      </c>
      <c r="O18" s="144">
        <v>0</v>
      </c>
      <c r="P18" s="145">
        <v>0</v>
      </c>
      <c r="Q18" s="145">
        <v>0</v>
      </c>
      <c r="R18" s="145">
        <v>0</v>
      </c>
      <c r="S18" s="145">
        <v>0</v>
      </c>
      <c r="T18" s="145">
        <v>0</v>
      </c>
      <c r="U18" s="146">
        <v>15000000</v>
      </c>
    </row>
    <row r="19" spans="3:21" x14ac:dyDescent="0.4">
      <c r="C19" s="20" t="s">
        <v>130</v>
      </c>
      <c r="D19" s="21" t="s">
        <v>107</v>
      </c>
      <c r="E19" s="27">
        <v>5000000</v>
      </c>
      <c r="F19" s="28">
        <v>0</v>
      </c>
      <c r="G19" s="28">
        <v>5000000</v>
      </c>
      <c r="H19" s="28">
        <v>0</v>
      </c>
      <c r="I19" s="28">
        <v>0</v>
      </c>
      <c r="J19" s="29">
        <v>0</v>
      </c>
      <c r="K19" s="21"/>
      <c r="L19" s="21"/>
      <c r="M19" s="21" t="s">
        <v>130</v>
      </c>
      <c r="N19" s="147" t="s">
        <v>107</v>
      </c>
      <c r="O19" s="148">
        <v>0</v>
      </c>
      <c r="P19" s="149">
        <v>0</v>
      </c>
      <c r="Q19" s="149">
        <v>0</v>
      </c>
      <c r="R19" s="149">
        <v>0</v>
      </c>
      <c r="S19" s="149">
        <v>0</v>
      </c>
      <c r="T19" s="149">
        <v>0</v>
      </c>
      <c r="U19" s="150">
        <v>0</v>
      </c>
    </row>
    <row r="20" spans="3:21" ht="15" thickBot="1" x14ac:dyDescent="0.45">
      <c r="C20" s="20" t="s">
        <v>130</v>
      </c>
      <c r="D20" s="21" t="s">
        <v>106</v>
      </c>
      <c r="E20" s="27">
        <v>5000000</v>
      </c>
      <c r="F20" s="28">
        <v>0</v>
      </c>
      <c r="G20" s="28">
        <v>0</v>
      </c>
      <c r="H20" s="28">
        <v>0</v>
      </c>
      <c r="I20" s="28">
        <v>0</v>
      </c>
      <c r="J20" s="29">
        <v>0</v>
      </c>
      <c r="K20" s="21"/>
      <c r="L20" s="21"/>
      <c r="M20" s="21" t="s">
        <v>133</v>
      </c>
      <c r="N20" s="138" t="s">
        <v>108</v>
      </c>
      <c r="O20" s="151">
        <v>0</v>
      </c>
      <c r="P20" s="151">
        <v>0</v>
      </c>
      <c r="Q20" s="151">
        <v>0</v>
      </c>
      <c r="R20" s="151">
        <v>0</v>
      </c>
      <c r="S20" s="151">
        <v>0</v>
      </c>
      <c r="T20" s="151">
        <v>50000000</v>
      </c>
      <c r="U20" s="151">
        <v>117500000</v>
      </c>
    </row>
    <row r="21" spans="3:21" ht="15" thickBot="1" x14ac:dyDescent="0.45">
      <c r="C21" s="20" t="s">
        <v>130</v>
      </c>
      <c r="D21" s="21" t="s">
        <v>109</v>
      </c>
      <c r="E21" s="27">
        <v>0</v>
      </c>
      <c r="F21" s="28">
        <v>0</v>
      </c>
      <c r="G21" s="28">
        <v>0</v>
      </c>
      <c r="H21" s="28">
        <v>0</v>
      </c>
      <c r="I21" s="28">
        <v>0</v>
      </c>
      <c r="J21" s="29">
        <v>0</v>
      </c>
      <c r="K21" s="21"/>
      <c r="L21" s="21"/>
      <c r="M21" s="21"/>
      <c r="N21" s="152"/>
      <c r="O21" s="152"/>
      <c r="P21" s="152"/>
      <c r="Q21" s="152"/>
      <c r="R21" s="152"/>
      <c r="S21" s="152"/>
      <c r="T21" s="152"/>
      <c r="U21" s="153">
        <v>167500000</v>
      </c>
    </row>
    <row r="22" spans="3:21" x14ac:dyDescent="0.4">
      <c r="C22" s="20" t="s">
        <v>130</v>
      </c>
      <c r="D22" s="21" t="s">
        <v>102</v>
      </c>
      <c r="E22" s="27">
        <v>15000000</v>
      </c>
      <c r="F22" s="28">
        <v>0</v>
      </c>
      <c r="G22" s="28">
        <v>20000000</v>
      </c>
      <c r="H22" s="28">
        <v>20000000</v>
      </c>
      <c r="I22" s="28">
        <v>0</v>
      </c>
      <c r="J22" s="29">
        <v>15000000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3:21" x14ac:dyDescent="0.4">
      <c r="C23" s="20" t="s">
        <v>130</v>
      </c>
      <c r="D23" s="21" t="s">
        <v>104</v>
      </c>
      <c r="E23" s="27">
        <v>22000000</v>
      </c>
      <c r="F23" s="28">
        <v>0</v>
      </c>
      <c r="G23" s="28">
        <v>10000000</v>
      </c>
      <c r="H23" s="28">
        <v>30000000</v>
      </c>
      <c r="I23" s="28">
        <v>0</v>
      </c>
      <c r="J23" s="29">
        <v>15000000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3:21" x14ac:dyDescent="0.4">
      <c r="C24" s="20" t="s">
        <v>130</v>
      </c>
      <c r="D24" s="21" t="s">
        <v>110</v>
      </c>
      <c r="E24" s="27">
        <v>0</v>
      </c>
      <c r="F24" s="28">
        <v>0</v>
      </c>
      <c r="G24" s="28">
        <v>2000000</v>
      </c>
      <c r="H24" s="28">
        <v>0</v>
      </c>
      <c r="I24" s="28">
        <v>0</v>
      </c>
      <c r="J24" s="29">
        <v>0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3:21" x14ac:dyDescent="0.4">
      <c r="C25" s="20" t="s">
        <v>130</v>
      </c>
      <c r="D25" s="21" t="s">
        <v>111</v>
      </c>
      <c r="E25" s="27">
        <v>0</v>
      </c>
      <c r="F25" s="28">
        <v>0</v>
      </c>
      <c r="G25" s="28">
        <v>1500000</v>
      </c>
      <c r="H25" s="28">
        <v>0</v>
      </c>
      <c r="I25" s="28">
        <v>0</v>
      </c>
      <c r="J25" s="29">
        <v>0</v>
      </c>
      <c r="K25" s="21"/>
      <c r="L25" s="21"/>
      <c r="M25" s="21"/>
      <c r="N25" s="21"/>
      <c r="O25" s="138" t="s">
        <v>112</v>
      </c>
      <c r="P25" s="138" t="s">
        <v>113</v>
      </c>
      <c r="Q25" s="154" t="s">
        <v>114</v>
      </c>
      <c r="R25" s="21"/>
      <c r="S25" s="21"/>
      <c r="T25" s="21"/>
      <c r="U25" s="21"/>
    </row>
    <row r="26" spans="3:21" x14ac:dyDescent="0.4">
      <c r="C26" s="20" t="s">
        <v>130</v>
      </c>
      <c r="D26" s="21" t="s">
        <v>115</v>
      </c>
      <c r="E26" s="27">
        <v>0</v>
      </c>
      <c r="F26" s="28">
        <v>0</v>
      </c>
      <c r="G26" s="28">
        <v>0</v>
      </c>
      <c r="H26" s="28">
        <v>0</v>
      </c>
      <c r="I26" s="28">
        <v>0</v>
      </c>
      <c r="J26" s="29">
        <v>0</v>
      </c>
      <c r="K26" s="21"/>
      <c r="L26" s="21"/>
      <c r="M26" s="21"/>
      <c r="N26" s="21"/>
      <c r="O26" s="152" t="s">
        <v>70</v>
      </c>
      <c r="P26" s="152" t="s">
        <v>78</v>
      </c>
      <c r="Q26" s="155">
        <v>0</v>
      </c>
      <c r="R26" s="21"/>
      <c r="S26" s="21"/>
      <c r="T26" s="21"/>
      <c r="U26" s="21"/>
    </row>
    <row r="27" spans="3:21" x14ac:dyDescent="0.4">
      <c r="C27" s="20" t="s">
        <v>131</v>
      </c>
      <c r="D27" s="21" t="s">
        <v>116</v>
      </c>
      <c r="E27" s="27">
        <v>0</v>
      </c>
      <c r="F27" s="28">
        <v>60000000</v>
      </c>
      <c r="G27" s="28">
        <v>0</v>
      </c>
      <c r="H27" s="28">
        <v>0</v>
      </c>
      <c r="I27" s="28">
        <v>0</v>
      </c>
      <c r="J27" s="29">
        <v>0</v>
      </c>
      <c r="K27" s="21"/>
      <c r="L27" s="21"/>
      <c r="M27" s="21"/>
      <c r="N27" s="21"/>
      <c r="O27" s="152" t="s">
        <v>71</v>
      </c>
      <c r="P27" s="152" t="s">
        <v>79</v>
      </c>
      <c r="Q27" s="155">
        <v>0</v>
      </c>
      <c r="R27" s="21"/>
      <c r="S27" s="21"/>
      <c r="T27" s="21"/>
      <c r="U27" s="21"/>
    </row>
    <row r="28" spans="3:21" x14ac:dyDescent="0.4">
      <c r="C28" s="20" t="s">
        <v>131</v>
      </c>
      <c r="D28" s="21" t="s">
        <v>117</v>
      </c>
      <c r="E28" s="27">
        <v>0</v>
      </c>
      <c r="F28" s="28">
        <v>40000000</v>
      </c>
      <c r="G28" s="28">
        <v>0</v>
      </c>
      <c r="H28" s="28">
        <v>0</v>
      </c>
      <c r="I28" s="28">
        <v>0</v>
      </c>
      <c r="J28" s="29">
        <v>0</v>
      </c>
      <c r="K28" s="21"/>
      <c r="L28" s="21"/>
      <c r="M28" s="21"/>
      <c r="N28" s="21"/>
      <c r="O28" s="152" t="s">
        <v>72</v>
      </c>
      <c r="P28" s="152" t="s">
        <v>80</v>
      </c>
      <c r="Q28" s="155">
        <v>50000000</v>
      </c>
      <c r="R28" s="21"/>
      <c r="S28" s="21"/>
      <c r="T28" s="21"/>
      <c r="U28" s="21"/>
    </row>
    <row r="29" spans="3:21" x14ac:dyDescent="0.4">
      <c r="C29" s="20" t="s">
        <v>118</v>
      </c>
      <c r="D29" s="21" t="s">
        <v>118</v>
      </c>
      <c r="E29" s="27">
        <v>0</v>
      </c>
      <c r="F29" s="28">
        <v>0</v>
      </c>
      <c r="G29" s="28">
        <v>60000000</v>
      </c>
      <c r="H29" s="28">
        <v>40000000</v>
      </c>
      <c r="I29" s="28">
        <v>0</v>
      </c>
      <c r="J29" s="29">
        <v>0</v>
      </c>
      <c r="K29" s="21"/>
      <c r="L29" s="21"/>
      <c r="M29" s="21"/>
      <c r="N29" s="21"/>
      <c r="O29" s="152" t="s">
        <v>173</v>
      </c>
      <c r="P29" s="152" t="s">
        <v>174</v>
      </c>
      <c r="Q29" s="156">
        <v>117500000</v>
      </c>
      <c r="R29" s="21"/>
      <c r="S29" s="21"/>
      <c r="T29" s="21"/>
      <c r="U29" s="21"/>
    </row>
    <row r="30" spans="3:21" x14ac:dyDescent="0.4">
      <c r="C30" s="20" t="s">
        <v>132</v>
      </c>
      <c r="D30" s="21" t="s">
        <v>100</v>
      </c>
      <c r="E30" s="30">
        <v>47500000</v>
      </c>
      <c r="F30" s="31">
        <v>0</v>
      </c>
      <c r="G30" s="31">
        <v>0</v>
      </c>
      <c r="H30" s="31">
        <v>0</v>
      </c>
      <c r="I30" s="31">
        <v>0</v>
      </c>
      <c r="J30" s="32">
        <v>0</v>
      </c>
      <c r="K30" s="21"/>
      <c r="L30" s="21"/>
      <c r="M30" s="21"/>
      <c r="N30" s="21"/>
      <c r="O30" s="152"/>
      <c r="P30" s="152"/>
      <c r="Q30" s="157">
        <v>167500000</v>
      </c>
      <c r="R30" s="21"/>
      <c r="S30" s="21"/>
      <c r="T30" s="21"/>
      <c r="U30" s="21"/>
    </row>
    <row r="31" spans="3:21" x14ac:dyDescent="0.4">
      <c r="D31" s="23" t="s">
        <v>119</v>
      </c>
      <c r="E31" s="33">
        <v>156500000</v>
      </c>
      <c r="F31" s="33">
        <v>100000000</v>
      </c>
      <c r="G31" s="33">
        <v>108500000</v>
      </c>
      <c r="H31" s="33">
        <v>90000000</v>
      </c>
      <c r="I31" s="33">
        <v>0</v>
      </c>
      <c r="J31" s="33">
        <v>122000000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3:21" x14ac:dyDescent="0.4">
      <c r="D32" s="21"/>
      <c r="E32" s="34"/>
      <c r="F32" s="21"/>
      <c r="G32" s="21"/>
      <c r="H32" s="21"/>
      <c r="I32" s="21"/>
      <c r="J32" s="35">
        <v>577000000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4:21" x14ac:dyDescent="0.4"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4:21" x14ac:dyDescent="0.4">
      <c r="D34" s="21"/>
      <c r="E34" s="21"/>
      <c r="F34" s="21"/>
      <c r="G34" s="21"/>
      <c r="H34" s="21">
        <f>H29/H31</f>
        <v>0.44444444444444442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4:21" x14ac:dyDescent="0.4">
      <c r="H35" s="20">
        <f>SUM(H22:H23)/H31</f>
        <v>0.55555555555555558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8FB5-43D6-4A35-9751-C9E686ADC9C5}">
  <dimension ref="B3:G70"/>
  <sheetViews>
    <sheetView zoomScale="85" zoomScaleNormal="85" workbookViewId="0">
      <selection activeCell="C25" sqref="C25"/>
    </sheetView>
  </sheetViews>
  <sheetFormatPr defaultColWidth="9.15234375" defaultRowHeight="14.6" x14ac:dyDescent="0.4"/>
  <cols>
    <col min="1" max="1" width="9.15234375" style="9"/>
    <col min="2" max="2" width="35" style="9" bestFit="1" customWidth="1"/>
    <col min="3" max="3" width="34.921875" style="9" bestFit="1" customWidth="1"/>
    <col min="4" max="4" width="69.4609375" style="9" bestFit="1" customWidth="1"/>
    <col min="5" max="5" width="58.84375" style="9" bestFit="1" customWidth="1"/>
    <col min="6" max="6" width="9.15234375" style="9"/>
    <col min="7" max="7" width="62" style="9" bestFit="1" customWidth="1"/>
    <col min="8" max="16384" width="9.15234375" style="9"/>
  </cols>
  <sheetData>
    <row r="3" spans="2:7" x14ac:dyDescent="0.4">
      <c r="C3" s="8" t="s">
        <v>178</v>
      </c>
      <c r="D3" s="8"/>
      <c r="E3" s="8" t="s">
        <v>148</v>
      </c>
      <c r="G3" s="8" t="s">
        <v>149</v>
      </c>
    </row>
    <row r="4" spans="2:7" ht="14.5" customHeight="1" x14ac:dyDescent="0.4">
      <c r="C4" s="9" t="s">
        <v>24</v>
      </c>
      <c r="D4" s="10" t="s">
        <v>24</v>
      </c>
      <c r="E4" s="11" t="s">
        <v>142</v>
      </c>
      <c r="G4" s="12" t="s">
        <v>136</v>
      </c>
    </row>
    <row r="5" spans="2:7" ht="14.5" customHeight="1" x14ac:dyDescent="0.4">
      <c r="C5" s="9" t="s">
        <v>125</v>
      </c>
      <c r="D5" s="13" t="s">
        <v>125</v>
      </c>
      <c r="E5" s="14" t="s">
        <v>139</v>
      </c>
      <c r="G5" s="15" t="s">
        <v>137</v>
      </c>
    </row>
    <row r="6" spans="2:7" ht="14.5" customHeight="1" x14ac:dyDescent="0.4">
      <c r="C6" s="9" t="s">
        <v>126</v>
      </c>
      <c r="D6" s="13" t="s">
        <v>126</v>
      </c>
      <c r="E6" s="14" t="s">
        <v>139</v>
      </c>
      <c r="G6" s="15" t="s">
        <v>138</v>
      </c>
    </row>
    <row r="7" spans="2:7" x14ac:dyDescent="0.4">
      <c r="C7" s="253" t="s">
        <v>181</v>
      </c>
      <c r="D7" s="13" t="s">
        <v>26</v>
      </c>
      <c r="E7" s="14" t="s">
        <v>143</v>
      </c>
      <c r="G7" s="15" t="s">
        <v>139</v>
      </c>
    </row>
    <row r="8" spans="2:7" ht="14.5" customHeight="1" x14ac:dyDescent="0.4">
      <c r="C8" s="9" t="s">
        <v>134</v>
      </c>
      <c r="D8" s="13" t="s">
        <v>134</v>
      </c>
      <c r="E8" s="14" t="s">
        <v>139</v>
      </c>
      <c r="G8" s="15" t="s">
        <v>140</v>
      </c>
    </row>
    <row r="9" spans="2:7" ht="14.5" customHeight="1" x14ac:dyDescent="0.4">
      <c r="C9" s="9" t="s">
        <v>27</v>
      </c>
      <c r="D9" s="13" t="s">
        <v>27</v>
      </c>
      <c r="E9" s="14" t="s">
        <v>142</v>
      </c>
      <c r="G9" s="15" t="s">
        <v>141</v>
      </c>
    </row>
    <row r="10" spans="2:7" ht="14.5" customHeight="1" x14ac:dyDescent="0.4">
      <c r="C10" s="9" t="s">
        <v>127</v>
      </c>
      <c r="D10" s="13" t="s">
        <v>127</v>
      </c>
      <c r="E10" s="14" t="s">
        <v>139</v>
      </c>
      <c r="G10" s="15" t="s">
        <v>142</v>
      </c>
    </row>
    <row r="11" spans="2:7" ht="14.5" customHeight="1" x14ac:dyDescent="0.4">
      <c r="C11" s="9" t="s">
        <v>128</v>
      </c>
      <c r="D11" s="13" t="s">
        <v>128</v>
      </c>
      <c r="E11" s="14" t="s">
        <v>139</v>
      </c>
      <c r="G11" s="15" t="s">
        <v>143</v>
      </c>
    </row>
    <row r="12" spans="2:7" ht="14.5" customHeight="1" x14ac:dyDescent="0.4">
      <c r="C12" s="9" t="s">
        <v>129</v>
      </c>
      <c r="D12" s="13" t="s">
        <v>129</v>
      </c>
      <c r="E12" s="14" t="s">
        <v>142</v>
      </c>
      <c r="G12" s="15" t="s">
        <v>144</v>
      </c>
    </row>
    <row r="13" spans="2:7" ht="14.5" customHeight="1" x14ac:dyDescent="0.4">
      <c r="C13" s="9" t="s">
        <v>39</v>
      </c>
      <c r="D13" s="13" t="s">
        <v>38</v>
      </c>
      <c r="E13" s="14" t="s">
        <v>142</v>
      </c>
      <c r="G13" s="15" t="s">
        <v>150</v>
      </c>
    </row>
    <row r="14" spans="2:7" ht="14.5" customHeight="1" x14ac:dyDescent="0.4">
      <c r="B14" s="262"/>
      <c r="C14" s="9" t="s">
        <v>220</v>
      </c>
      <c r="D14" s="13" t="s">
        <v>48</v>
      </c>
      <c r="E14" s="14" t="s">
        <v>142</v>
      </c>
      <c r="G14" s="15" t="s">
        <v>145</v>
      </c>
    </row>
    <row r="15" spans="2:7" ht="14.5" customHeight="1" x14ac:dyDescent="0.4">
      <c r="B15" s="262"/>
      <c r="C15" s="9" t="s">
        <v>220</v>
      </c>
      <c r="D15" s="13" t="s">
        <v>165</v>
      </c>
      <c r="E15" s="14" t="s">
        <v>142</v>
      </c>
      <c r="G15" s="15" t="s">
        <v>146</v>
      </c>
    </row>
    <row r="16" spans="2:7" ht="14.5" customHeight="1" x14ac:dyDescent="0.4">
      <c r="B16" s="262"/>
      <c r="C16" s="9" t="s">
        <v>220</v>
      </c>
      <c r="D16" s="13" t="s">
        <v>49</v>
      </c>
      <c r="E16" s="14" t="s">
        <v>142</v>
      </c>
      <c r="G16" s="15" t="s">
        <v>147</v>
      </c>
    </row>
    <row r="17" spans="2:7" ht="14.5" customHeight="1" x14ac:dyDescent="0.4">
      <c r="C17" s="9" t="s">
        <v>218</v>
      </c>
      <c r="D17" s="13" t="s">
        <v>50</v>
      </c>
      <c r="E17" s="14" t="s">
        <v>142</v>
      </c>
      <c r="G17" s="15" t="s">
        <v>151</v>
      </c>
    </row>
    <row r="18" spans="2:7" ht="14.5" customHeight="1" x14ac:dyDescent="0.4">
      <c r="C18" s="9" t="s">
        <v>28</v>
      </c>
      <c r="D18" s="13" t="s">
        <v>28</v>
      </c>
      <c r="E18" s="14" t="s">
        <v>141</v>
      </c>
      <c r="G18" s="16" t="s">
        <v>221</v>
      </c>
    </row>
    <row r="19" spans="2:7" ht="14.5" customHeight="1" x14ac:dyDescent="0.4">
      <c r="C19" s="9" t="s">
        <v>130</v>
      </c>
      <c r="D19" s="13" t="s">
        <v>130</v>
      </c>
      <c r="E19" s="14" t="s">
        <v>139</v>
      </c>
      <c r="G19" s="17"/>
    </row>
    <row r="20" spans="2:7" ht="14.5" customHeight="1" x14ac:dyDescent="0.4">
      <c r="C20" s="9" t="s">
        <v>135</v>
      </c>
      <c r="D20" s="13" t="s">
        <v>135</v>
      </c>
      <c r="E20" s="14" t="s">
        <v>139</v>
      </c>
      <c r="G20" s="17"/>
    </row>
    <row r="21" spans="2:7" ht="14.5" customHeight="1" x14ac:dyDescent="0.4">
      <c r="C21" s="9" t="s">
        <v>131</v>
      </c>
      <c r="D21" s="13" t="s">
        <v>131</v>
      </c>
      <c r="E21" s="14" t="s">
        <v>139</v>
      </c>
      <c r="G21" s="17"/>
    </row>
    <row r="22" spans="2:7" ht="14.5" customHeight="1" x14ac:dyDescent="0.4">
      <c r="C22" s="9" t="s">
        <v>118</v>
      </c>
      <c r="D22" s="13" t="s">
        <v>118</v>
      </c>
      <c r="E22" s="14" t="s">
        <v>145</v>
      </c>
      <c r="G22" s="17"/>
    </row>
    <row r="23" spans="2:7" ht="14.5" customHeight="1" x14ac:dyDescent="0.4">
      <c r="C23" s="9" t="s">
        <v>31</v>
      </c>
      <c r="D23" s="13" t="s">
        <v>31</v>
      </c>
      <c r="E23" s="14" t="s">
        <v>142</v>
      </c>
      <c r="G23" s="17"/>
    </row>
    <row r="24" spans="2:7" ht="14.5" customHeight="1" x14ac:dyDescent="0.4">
      <c r="C24" s="267" t="s">
        <v>222</v>
      </c>
      <c r="D24" s="13" t="s">
        <v>29</v>
      </c>
      <c r="E24" s="14" t="s">
        <v>221</v>
      </c>
      <c r="G24" s="261"/>
    </row>
    <row r="25" spans="2:7" ht="14.5" customHeight="1" x14ac:dyDescent="0.4">
      <c r="C25" s="9" t="s">
        <v>24</v>
      </c>
      <c r="D25" s="13" t="s">
        <v>32</v>
      </c>
      <c r="E25" s="14" t="s">
        <v>142</v>
      </c>
      <c r="G25" s="17"/>
    </row>
    <row r="26" spans="2:7" ht="14.5" customHeight="1" x14ac:dyDescent="0.4">
      <c r="C26" s="9" t="s">
        <v>24</v>
      </c>
      <c r="D26" s="13" t="s">
        <v>33</v>
      </c>
      <c r="E26" s="14" t="s">
        <v>142</v>
      </c>
      <c r="G26" s="17"/>
    </row>
    <row r="27" spans="2:7" ht="14.5" customHeight="1" x14ac:dyDescent="0.4">
      <c r="B27" s="262"/>
      <c r="C27" s="9" t="s">
        <v>219</v>
      </c>
      <c r="D27" s="13" t="s">
        <v>34</v>
      </c>
      <c r="E27" s="14" t="s">
        <v>143</v>
      </c>
      <c r="G27" s="17"/>
    </row>
    <row r="28" spans="2:7" ht="14.5" customHeight="1" x14ac:dyDescent="0.4">
      <c r="C28" s="253" t="s">
        <v>39</v>
      </c>
      <c r="D28" s="13" t="s">
        <v>39</v>
      </c>
      <c r="E28" s="14" t="s">
        <v>142</v>
      </c>
    </row>
    <row r="29" spans="2:7" ht="14.5" customHeight="1" x14ac:dyDescent="0.4">
      <c r="C29" s="253" t="s">
        <v>179</v>
      </c>
      <c r="D29" s="13" t="s">
        <v>169</v>
      </c>
      <c r="E29" s="14" t="s">
        <v>141</v>
      </c>
    </row>
    <row r="30" spans="2:7" ht="14.5" customHeight="1" x14ac:dyDescent="0.4">
      <c r="C30" s="253" t="s">
        <v>179</v>
      </c>
      <c r="D30" s="13" t="s">
        <v>170</v>
      </c>
      <c r="E30" s="14" t="s">
        <v>141</v>
      </c>
    </row>
    <row r="31" spans="2:7" ht="14.5" customHeight="1" x14ac:dyDescent="0.4">
      <c r="C31" s="9" t="s">
        <v>218</v>
      </c>
      <c r="D31" s="13" t="s">
        <v>164</v>
      </c>
      <c r="E31" s="14" t="s">
        <v>142</v>
      </c>
    </row>
    <row r="32" spans="2:7" ht="14.5" customHeight="1" x14ac:dyDescent="0.4">
      <c r="C32" s="253" t="s">
        <v>180</v>
      </c>
      <c r="D32" s="13" t="s">
        <v>35</v>
      </c>
      <c r="E32" s="14" t="s">
        <v>142</v>
      </c>
    </row>
    <row r="33" spans="3:5" ht="14.5" customHeight="1" x14ac:dyDescent="0.4">
      <c r="C33" s="253" t="s">
        <v>132</v>
      </c>
      <c r="D33" s="13" t="s">
        <v>132</v>
      </c>
      <c r="E33" s="14" t="s">
        <v>139</v>
      </c>
    </row>
    <row r="34" spans="3:5" ht="14.5" customHeight="1" x14ac:dyDescent="0.4">
      <c r="C34" s="9" t="s">
        <v>52</v>
      </c>
      <c r="D34" s="18" t="s">
        <v>52</v>
      </c>
      <c r="E34" s="19" t="s">
        <v>142</v>
      </c>
    </row>
    <row r="35" spans="3:5" ht="14.5" customHeight="1" x14ac:dyDescent="0.4">
      <c r="D35" s="254"/>
      <c r="E35" s="254"/>
    </row>
    <row r="36" spans="3:5" ht="14.5" customHeight="1" x14ac:dyDescent="0.4">
      <c r="D36" s="254"/>
      <c r="E36" s="254"/>
    </row>
    <row r="37" spans="3:5" ht="14.5" customHeight="1" x14ac:dyDescent="0.4">
      <c r="C37" s="8" t="s">
        <v>178</v>
      </c>
      <c r="D37" s="8" t="s">
        <v>215</v>
      </c>
      <c r="E37" s="8" t="s">
        <v>148</v>
      </c>
    </row>
    <row r="38" spans="3:5" ht="14.5" customHeight="1" x14ac:dyDescent="0.4">
      <c r="C38" s="9" t="s">
        <v>125</v>
      </c>
      <c r="D38" s="255" t="s">
        <v>214</v>
      </c>
      <c r="E38" s="256" t="s">
        <v>139</v>
      </c>
    </row>
    <row r="39" spans="3:5" x14ac:dyDescent="0.4">
      <c r="C39" s="9" t="s">
        <v>125</v>
      </c>
      <c r="D39" s="257" t="s">
        <v>214</v>
      </c>
      <c r="E39" s="258" t="s">
        <v>139</v>
      </c>
    </row>
    <row r="40" spans="3:5" x14ac:dyDescent="0.4">
      <c r="C40" s="9" t="s">
        <v>186</v>
      </c>
      <c r="D40" s="257" t="s">
        <v>200</v>
      </c>
      <c r="E40" s="258" t="s">
        <v>139</v>
      </c>
    </row>
    <row r="41" spans="3:5" x14ac:dyDescent="0.4">
      <c r="C41" s="9" t="s">
        <v>186</v>
      </c>
      <c r="D41" s="257" t="s">
        <v>201</v>
      </c>
      <c r="E41" s="258" t="s">
        <v>139</v>
      </c>
    </row>
    <row r="42" spans="3:5" x14ac:dyDescent="0.4">
      <c r="C42" s="253" t="s">
        <v>216</v>
      </c>
      <c r="D42" s="257" t="s">
        <v>202</v>
      </c>
      <c r="E42" s="258" t="s">
        <v>143</v>
      </c>
    </row>
    <row r="43" spans="3:5" x14ac:dyDescent="0.4">
      <c r="C43" s="253" t="s">
        <v>217</v>
      </c>
      <c r="D43" s="257" t="s">
        <v>203</v>
      </c>
      <c r="E43" s="258" t="s">
        <v>142</v>
      </c>
    </row>
    <row r="44" spans="3:5" x14ac:dyDescent="0.4">
      <c r="C44" s="9" t="s">
        <v>186</v>
      </c>
      <c r="D44" s="257" t="s">
        <v>204</v>
      </c>
      <c r="E44" s="258" t="s">
        <v>139</v>
      </c>
    </row>
    <row r="45" spans="3:5" x14ac:dyDescent="0.4">
      <c r="C45" s="9" t="s">
        <v>134</v>
      </c>
      <c r="D45" s="257" t="s">
        <v>84</v>
      </c>
      <c r="E45" s="258" t="s">
        <v>139</v>
      </c>
    </row>
    <row r="46" spans="3:5" x14ac:dyDescent="0.4">
      <c r="C46" s="9" t="s">
        <v>134</v>
      </c>
      <c r="D46" s="257" t="s">
        <v>86</v>
      </c>
      <c r="E46" s="258" t="s">
        <v>139</v>
      </c>
    </row>
    <row r="47" spans="3:5" x14ac:dyDescent="0.4">
      <c r="C47" s="9" t="s">
        <v>134</v>
      </c>
      <c r="D47" s="257" t="s">
        <v>88</v>
      </c>
      <c r="E47" s="258" t="s">
        <v>139</v>
      </c>
    </row>
    <row r="48" spans="3:5" x14ac:dyDescent="0.4">
      <c r="C48" s="9" t="s">
        <v>134</v>
      </c>
      <c r="D48" s="257" t="s">
        <v>90</v>
      </c>
      <c r="E48" s="258" t="s">
        <v>139</v>
      </c>
    </row>
    <row r="49" spans="3:5" x14ac:dyDescent="0.4">
      <c r="C49" s="9" t="s">
        <v>134</v>
      </c>
      <c r="D49" s="257" t="s">
        <v>92</v>
      </c>
      <c r="E49" s="258" t="s">
        <v>139</v>
      </c>
    </row>
    <row r="50" spans="3:5" x14ac:dyDescent="0.4">
      <c r="C50" s="9" t="s">
        <v>96</v>
      </c>
      <c r="D50" s="257" t="s">
        <v>198</v>
      </c>
      <c r="E50" s="258" t="s">
        <v>139</v>
      </c>
    </row>
    <row r="51" spans="3:5" x14ac:dyDescent="0.4">
      <c r="C51" s="9" t="s">
        <v>96</v>
      </c>
      <c r="D51" s="257" t="s">
        <v>199</v>
      </c>
      <c r="E51" s="258" t="s">
        <v>139</v>
      </c>
    </row>
    <row r="52" spans="3:5" x14ac:dyDescent="0.4">
      <c r="C52" s="9" t="s">
        <v>187</v>
      </c>
      <c r="D52" s="257" t="s">
        <v>207</v>
      </c>
      <c r="E52" s="258" t="s">
        <v>139</v>
      </c>
    </row>
    <row r="53" spans="3:5" x14ac:dyDescent="0.4">
      <c r="C53" s="9" t="s">
        <v>187</v>
      </c>
      <c r="D53" s="257" t="s">
        <v>207</v>
      </c>
      <c r="E53" s="258" t="s">
        <v>139</v>
      </c>
    </row>
    <row r="54" spans="3:5" x14ac:dyDescent="0.4">
      <c r="C54" s="9" t="s">
        <v>218</v>
      </c>
      <c r="D54" s="257" t="s">
        <v>205</v>
      </c>
      <c r="E54" s="258" t="s">
        <v>142</v>
      </c>
    </row>
    <row r="55" spans="3:5" x14ac:dyDescent="0.4">
      <c r="C55" s="9" t="s">
        <v>218</v>
      </c>
      <c r="D55" s="257" t="s">
        <v>206</v>
      </c>
      <c r="E55" s="258" t="s">
        <v>142</v>
      </c>
    </row>
    <row r="56" spans="3:5" x14ac:dyDescent="0.4">
      <c r="C56" s="9" t="s">
        <v>183</v>
      </c>
      <c r="D56" s="257" t="s">
        <v>192</v>
      </c>
      <c r="E56" s="258" t="s">
        <v>139</v>
      </c>
    </row>
    <row r="57" spans="3:5" x14ac:dyDescent="0.4">
      <c r="C57" s="9" t="s">
        <v>183</v>
      </c>
      <c r="D57" s="257" t="s">
        <v>191</v>
      </c>
      <c r="E57" s="258" t="s">
        <v>139</v>
      </c>
    </row>
    <row r="58" spans="3:5" x14ac:dyDescent="0.4">
      <c r="C58" s="9" t="s">
        <v>183</v>
      </c>
      <c r="D58" s="257" t="s">
        <v>193</v>
      </c>
      <c r="E58" s="258" t="s">
        <v>139</v>
      </c>
    </row>
    <row r="59" spans="3:5" x14ac:dyDescent="0.4">
      <c r="C59" s="9" t="s">
        <v>183</v>
      </c>
      <c r="D59" s="257" t="s">
        <v>196</v>
      </c>
      <c r="E59" s="258" t="s">
        <v>139</v>
      </c>
    </row>
    <row r="60" spans="3:5" x14ac:dyDescent="0.4">
      <c r="C60" s="9" t="s">
        <v>183</v>
      </c>
      <c r="D60" s="257" t="s">
        <v>197</v>
      </c>
      <c r="E60" s="258" t="s">
        <v>139</v>
      </c>
    </row>
    <row r="61" spans="3:5" x14ac:dyDescent="0.4">
      <c r="C61" s="9" t="s">
        <v>183</v>
      </c>
      <c r="D61" s="257" t="s">
        <v>211</v>
      </c>
      <c r="E61" s="258" t="s">
        <v>139</v>
      </c>
    </row>
    <row r="62" spans="3:5" x14ac:dyDescent="0.4">
      <c r="C62" s="9" t="s">
        <v>183</v>
      </c>
      <c r="D62" s="257" t="s">
        <v>212</v>
      </c>
      <c r="E62" s="258" t="s">
        <v>139</v>
      </c>
    </row>
    <row r="63" spans="3:5" x14ac:dyDescent="0.4">
      <c r="C63" s="9" t="s">
        <v>183</v>
      </c>
      <c r="D63" s="257" t="s">
        <v>213</v>
      </c>
      <c r="E63" s="258" t="s">
        <v>139</v>
      </c>
    </row>
    <row r="64" spans="3:5" x14ac:dyDescent="0.4">
      <c r="C64" s="9" t="s">
        <v>189</v>
      </c>
      <c r="D64" s="257" t="s">
        <v>209</v>
      </c>
      <c r="E64" s="258" t="s">
        <v>139</v>
      </c>
    </row>
    <row r="65" spans="3:5" x14ac:dyDescent="0.4">
      <c r="C65" s="9" t="s">
        <v>189</v>
      </c>
      <c r="D65" s="257" t="s">
        <v>210</v>
      </c>
      <c r="E65" s="258" t="s">
        <v>139</v>
      </c>
    </row>
    <row r="66" spans="3:5" x14ac:dyDescent="0.4">
      <c r="C66" s="9" t="s">
        <v>184</v>
      </c>
      <c r="D66" s="257" t="s">
        <v>194</v>
      </c>
      <c r="E66" s="258" t="s">
        <v>139</v>
      </c>
    </row>
    <row r="67" spans="3:5" x14ac:dyDescent="0.4">
      <c r="C67" s="9" t="s">
        <v>184</v>
      </c>
      <c r="D67" s="257" t="s">
        <v>208</v>
      </c>
      <c r="E67" s="258" t="s">
        <v>139</v>
      </c>
    </row>
    <row r="68" spans="3:5" x14ac:dyDescent="0.4">
      <c r="C68" s="9" t="s">
        <v>188</v>
      </c>
      <c r="D68" s="257" t="s">
        <v>82</v>
      </c>
      <c r="E68" s="258" t="s">
        <v>136</v>
      </c>
    </row>
    <row r="69" spans="3:5" x14ac:dyDescent="0.4">
      <c r="C69" s="9" t="s">
        <v>182</v>
      </c>
      <c r="D69" s="257" t="s">
        <v>190</v>
      </c>
      <c r="E69" s="258" t="s">
        <v>138</v>
      </c>
    </row>
    <row r="70" spans="3:5" x14ac:dyDescent="0.4">
      <c r="C70" s="9" t="s">
        <v>185</v>
      </c>
      <c r="D70" s="259" t="s">
        <v>195</v>
      </c>
      <c r="E70" s="2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USG_InvestorCapitalPerf</vt:lpstr>
      <vt:lpstr>Prime_InvestorCapitalPerf</vt:lpstr>
      <vt:lpstr>Note Holders</vt:lpstr>
      <vt:lpstr>Investor Categories</vt:lpstr>
      <vt:lpstr>InvestorCategories</vt:lpstr>
      <vt:lpstr>Notes_M1</vt:lpstr>
      <vt:lpstr>Notes_MIG1</vt:lpstr>
      <vt:lpstr>Notes_Q1</vt:lpstr>
      <vt:lpstr>Notes_Q364_1</vt:lpstr>
      <vt:lpstr>Notes_Q3641</vt:lpstr>
      <vt:lpstr>Notes_QX1</vt:lpstr>
      <vt:lpstr>PrimeNoteHolders</vt:lpstr>
      <vt:lpstr>Prime_InvestorCapitalPerf!Print_Titles</vt:lpstr>
      <vt:lpstr>USG_InvestorCapitalPerf!Print_Titles</vt:lpstr>
      <vt:lpstr>USG_M6</vt:lpstr>
      <vt:lpstr>USG_M7</vt:lpstr>
      <vt:lpstr>USGNoteHolders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St. Pierre</dc:creator>
  <cp:lastModifiedBy>Martin St. Pierre</cp:lastModifiedBy>
  <dcterms:created xsi:type="dcterms:W3CDTF">2021-10-07T22:15:46Z</dcterms:created>
  <dcterms:modified xsi:type="dcterms:W3CDTF">2022-04-13T13:43:29Z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