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7.15.22\"/>
    </mc:Choice>
  </mc:AlternateContent>
  <xr:revisionPtr revIDLastSave="0" documentId="13_ncr:1_{F8EF775F-BF18-4118-8FB3-3F7ECFD8BF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G_InvestorCapitalPerf" sheetId="3" r:id="rId1"/>
    <sheet name="Prime_InvestorCapitalPerf" sheetId="1" r:id="rId2"/>
    <sheet name="Note Holders" sheetId="2" r:id="rId3"/>
    <sheet name="Investor Categories" sheetId="4" r:id="rId4"/>
  </sheets>
  <definedNames>
    <definedName name="_xlnm._FilterDatabase" localSheetId="3" hidden="1">'Investor Categories'!$C$38:$E$71</definedName>
    <definedName name="InvestorCategories">'Investor Categories'!$D$4:$E$35</definedName>
    <definedName name="Notes_A1">'Note Holders'!$I$6:$I$30</definedName>
    <definedName name="Notes_M1">'Note Holders'!$E$6:$E$30</definedName>
    <definedName name="Notes_MIG1">'Note Holders'!$L$6:$L$30</definedName>
    <definedName name="Notes_MIG2">'Note Holders'!$K$6:$K$30</definedName>
    <definedName name="Notes_Q1">'Note Holders'!$F$6:$F$30</definedName>
    <definedName name="Notes_Q364_1">'Note Holders'!$H$6:$H$30</definedName>
    <definedName name="Notes_Q3641">'Note Holders'!$H$6:$H$30</definedName>
    <definedName name="Notes_QX1">'Note Holders'!$G$6:$G$30</definedName>
    <definedName name="PrimeNoteHolders">'Note Holders'!$C$6:$C$30</definedName>
    <definedName name="_xlnm.Print_Titles" localSheetId="1">Prime_InvestorCapitalPerf!$1:$1</definedName>
    <definedName name="_xlnm.Print_Titles" localSheetId="0">USG_InvestorCapitalPerf!$1:$1</definedName>
    <definedName name="USG_M6">'Note Holders'!$V$6:$V$19</definedName>
    <definedName name="USG_M7">'Note Holders'!$W$6:$W$19</definedName>
    <definedName name="USGNoteHolders">'Note Holders'!$O$6:$O$19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69" i="1" l="1"/>
  <c r="R168" i="1"/>
  <c r="R166" i="1"/>
  <c r="R158" i="1"/>
  <c r="R159" i="1"/>
  <c r="H161" i="1"/>
  <c r="G161" i="1"/>
  <c r="E161" i="1"/>
  <c r="O155" i="1"/>
  <c r="E159" i="1"/>
  <c r="D159" i="1"/>
  <c r="D158" i="1"/>
  <c r="E133" i="1"/>
  <c r="E129" i="1"/>
  <c r="D129" i="1"/>
  <c r="E109" i="1"/>
  <c r="D109" i="1"/>
  <c r="D69" i="1"/>
  <c r="E95" i="1"/>
  <c r="D95" i="1"/>
  <c r="D94" i="1"/>
  <c r="D93" i="1"/>
  <c r="O92" i="1" l="1"/>
  <c r="E94" i="1"/>
  <c r="F92" i="1" s="1" a="1"/>
  <c r="E150" i="1"/>
  <c r="E149" i="1"/>
  <c r="E148" i="1"/>
  <c r="D148" i="1"/>
  <c r="D150" i="1" s="1"/>
  <c r="E175" i="1"/>
  <c r="E174" i="1"/>
  <c r="E173" i="1"/>
  <c r="E172" i="1"/>
  <c r="E163" i="1"/>
  <c r="E162" i="1"/>
  <c r="E160" i="1"/>
  <c r="F155" i="1" s="1" a="1"/>
  <c r="E157" i="1"/>
  <c r="E156" i="1"/>
  <c r="E155" i="1"/>
  <c r="D160" i="1"/>
  <c r="D163" i="1" s="1"/>
  <c r="H159" i="1" l="1"/>
  <c r="G159" i="1"/>
  <c r="H158" i="1"/>
  <c r="G158" i="1"/>
  <c r="F172" i="1" a="1"/>
  <c r="F172" i="1" s="1"/>
  <c r="F148" i="1" a="1"/>
  <c r="G149" i="1" s="1"/>
  <c r="F92" i="1"/>
  <c r="G93" i="1"/>
  <c r="H93" i="1"/>
  <c r="F155" i="1"/>
  <c r="H160" i="1"/>
  <c r="H157" i="1"/>
  <c r="H156" i="1"/>
  <c r="O147" i="1"/>
  <c r="D149" i="1"/>
  <c r="D161" i="1"/>
  <c r="G156" i="1" s="1"/>
  <c r="D162" i="1"/>
  <c r="G157" i="1" s="1"/>
  <c r="D134" i="1"/>
  <c r="D137" i="1" s="1"/>
  <c r="E137" i="1"/>
  <c r="E136" i="1"/>
  <c r="E135" i="1"/>
  <c r="E134" i="1"/>
  <c r="E132" i="1"/>
  <c r="E131" i="1"/>
  <c r="E130" i="1"/>
  <c r="E128" i="1"/>
  <c r="D116" i="1"/>
  <c r="D117" i="1" s="1"/>
  <c r="E117" i="1"/>
  <c r="E116" i="1"/>
  <c r="E115" i="1"/>
  <c r="E114" i="1"/>
  <c r="E113" i="1"/>
  <c r="E112" i="1"/>
  <c r="E111" i="1"/>
  <c r="E110" i="1"/>
  <c r="E108" i="1"/>
  <c r="E102" i="1"/>
  <c r="E101" i="1"/>
  <c r="F101" i="1" s="1" a="1"/>
  <c r="F101" i="1" s="1"/>
  <c r="G101" i="1" s="1"/>
  <c r="E80" i="1"/>
  <c r="D80" i="1"/>
  <c r="D83" i="1" s="1"/>
  <c r="E83" i="1"/>
  <c r="E82" i="1"/>
  <c r="E81" i="1"/>
  <c r="E79" i="1"/>
  <c r="E78" i="1"/>
  <c r="E77" i="1"/>
  <c r="E76" i="1"/>
  <c r="E75" i="1"/>
  <c r="E74" i="1"/>
  <c r="E73" i="1"/>
  <c r="E72" i="1"/>
  <c r="E71" i="1"/>
  <c r="E70" i="1"/>
  <c r="E69" i="1"/>
  <c r="E68" i="1"/>
  <c r="D175" i="1"/>
  <c r="G173" i="1" s="1"/>
  <c r="D174" i="1"/>
  <c r="D173" i="1"/>
  <c r="D172" i="1"/>
  <c r="D157" i="1"/>
  <c r="D156" i="1"/>
  <c r="D155" i="1"/>
  <c r="D133" i="1"/>
  <c r="D132" i="1"/>
  <c r="D131" i="1"/>
  <c r="D130" i="1"/>
  <c r="D128" i="1"/>
  <c r="D115" i="1"/>
  <c r="D114" i="1"/>
  <c r="D113" i="1"/>
  <c r="D112" i="1"/>
  <c r="D111" i="1"/>
  <c r="D110" i="1"/>
  <c r="D108" i="1"/>
  <c r="D102" i="1"/>
  <c r="D101" i="1"/>
  <c r="D77" i="1"/>
  <c r="D76" i="1"/>
  <c r="D79" i="1"/>
  <c r="D78" i="1"/>
  <c r="D75" i="1"/>
  <c r="D73" i="1"/>
  <c r="D72" i="1"/>
  <c r="D71" i="1"/>
  <c r="D70" i="1"/>
  <c r="D68" i="1"/>
  <c r="D17" i="3"/>
  <c r="D16" i="3"/>
  <c r="D15" i="3"/>
  <c r="D82" i="1" l="1"/>
  <c r="H173" i="1"/>
  <c r="O164" i="1"/>
  <c r="D81" i="1"/>
  <c r="H101" i="1"/>
  <c r="F128" i="1" a="1"/>
  <c r="O128" i="1"/>
  <c r="O172" i="1"/>
  <c r="D135" i="1"/>
  <c r="H149" i="1"/>
  <c r="F148" i="1"/>
  <c r="H148" i="1" s="1"/>
  <c r="H92" i="1"/>
  <c r="G92" i="1"/>
  <c r="G148" i="1"/>
  <c r="G150" i="1" s="1"/>
  <c r="G151" i="1" s="1"/>
  <c r="F108" i="1" a="1"/>
  <c r="O108" i="1"/>
  <c r="O68" i="1"/>
  <c r="F68" i="1" a="1"/>
  <c r="G80" i="1" s="1"/>
  <c r="G102" i="1"/>
  <c r="D136" i="1"/>
  <c r="G160" i="1"/>
  <c r="O163" i="1" s="1"/>
  <c r="G172" i="1"/>
  <c r="H172" i="1"/>
  <c r="O161" i="1" l="1"/>
  <c r="G134" i="1"/>
  <c r="H129" i="1"/>
  <c r="G129" i="1"/>
  <c r="Q147" i="1" a="1"/>
  <c r="Q147" i="1" s="1"/>
  <c r="R147" i="1" s="1"/>
  <c r="O178" i="1"/>
  <c r="M148" i="1"/>
  <c r="M147" i="1"/>
  <c r="M150" i="1"/>
  <c r="M149" i="1"/>
  <c r="G114" i="1"/>
  <c r="H109" i="1"/>
  <c r="G109" i="1"/>
  <c r="H132" i="1"/>
  <c r="G132" i="1"/>
  <c r="G133" i="1"/>
  <c r="H133" i="1"/>
  <c r="H134" i="1"/>
  <c r="H130" i="1"/>
  <c r="Q92" i="1" a="1"/>
  <c r="G94" i="1"/>
  <c r="G95" i="1" s="1"/>
  <c r="H131" i="1"/>
  <c r="F128" i="1"/>
  <c r="G131" i="1"/>
  <c r="H111" i="1"/>
  <c r="G113" i="1"/>
  <c r="H110" i="1"/>
  <c r="G110" i="1"/>
  <c r="F108" i="1"/>
  <c r="H112" i="1"/>
  <c r="H113" i="1"/>
  <c r="G112" i="1"/>
  <c r="G111" i="1"/>
  <c r="H114" i="1"/>
  <c r="H80" i="1"/>
  <c r="F68" i="1"/>
  <c r="H77" i="1"/>
  <c r="O162" i="1"/>
  <c r="G163" i="1"/>
  <c r="G164" i="1" s="1"/>
  <c r="Q155" i="1" a="1"/>
  <c r="Q155" i="1" s="1"/>
  <c r="R155" i="1" s="1"/>
  <c r="O177" i="1"/>
  <c r="G174" i="1"/>
  <c r="G175" i="1" s="1"/>
  <c r="Q172" i="1" a="1"/>
  <c r="Q172" i="1" s="1"/>
  <c r="R172" i="1" s="1"/>
  <c r="Q100" i="1" a="1"/>
  <c r="Q100" i="1" s="1"/>
  <c r="G130" i="1"/>
  <c r="G71" i="1"/>
  <c r="G77" i="1"/>
  <c r="H78" i="1"/>
  <c r="H70" i="1"/>
  <c r="G78" i="1"/>
  <c r="H71" i="1"/>
  <c r="H79" i="1"/>
  <c r="H72" i="1"/>
  <c r="G70" i="1"/>
  <c r="G74" i="1"/>
  <c r="H73" i="1"/>
  <c r="G72" i="1"/>
  <c r="H74" i="1"/>
  <c r="G73" i="1"/>
  <c r="H75" i="1"/>
  <c r="H76" i="1"/>
  <c r="G79" i="1"/>
  <c r="G75" i="1"/>
  <c r="G76" i="1"/>
  <c r="O100" i="1"/>
  <c r="T68" i="1" s="1"/>
  <c r="T70" i="1" s="1"/>
  <c r="Q128" i="1" l="1" a="1"/>
  <c r="G136" i="1"/>
  <c r="R173" i="1"/>
  <c r="R183" i="1" s="1"/>
  <c r="O114" i="1"/>
  <c r="R148" i="1"/>
  <c r="R150" i="1" s="1"/>
  <c r="O135" i="1"/>
  <c r="Q108" i="1" a="1"/>
  <c r="G115" i="1"/>
  <c r="G116" i="1" s="1"/>
  <c r="O133" i="1"/>
  <c r="Q92" i="1"/>
  <c r="R92" i="1" s="1"/>
  <c r="R93" i="1"/>
  <c r="O134" i="1"/>
  <c r="O112" i="1"/>
  <c r="O111" i="1"/>
  <c r="O113" i="1"/>
  <c r="G81" i="1"/>
  <c r="G82" i="1" s="1"/>
  <c r="R156" i="1"/>
  <c r="R157" i="1"/>
  <c r="R101" i="1"/>
  <c r="M93" i="1"/>
  <c r="M92" i="1"/>
  <c r="M95" i="1"/>
  <c r="M94" i="1"/>
  <c r="M102" i="1"/>
  <c r="G103" i="1"/>
  <c r="R161" i="1"/>
  <c r="R160" i="1"/>
  <c r="Q68" i="1" a="1"/>
  <c r="O132" i="1"/>
  <c r="G137" i="1"/>
  <c r="O70" i="1"/>
  <c r="O73" i="1"/>
  <c r="O74" i="1"/>
  <c r="O71" i="1"/>
  <c r="O72" i="1"/>
  <c r="R100" i="1"/>
  <c r="M101" i="1"/>
  <c r="M100" i="1"/>
  <c r="M103" i="1"/>
  <c r="R185" i="1"/>
  <c r="E23" i="3"/>
  <c r="E22" i="3"/>
  <c r="E21" i="3"/>
  <c r="E20" i="3"/>
  <c r="E19" i="3"/>
  <c r="E16" i="3"/>
  <c r="D23" i="3"/>
  <c r="D22" i="3"/>
  <c r="D21" i="3"/>
  <c r="D20" i="3"/>
  <c r="D19" i="3"/>
  <c r="I15" i="3"/>
  <c r="Q128" i="1" l="1"/>
  <c r="R133" i="1"/>
  <c r="R129" i="1"/>
  <c r="R103" i="1"/>
  <c r="R167" i="1"/>
  <c r="Q108" i="1"/>
  <c r="R108" i="1" s="1"/>
  <c r="R109" i="1"/>
  <c r="M96" i="1"/>
  <c r="R95" i="1"/>
  <c r="R130" i="1"/>
  <c r="I21" i="3"/>
  <c r="Q68" i="1"/>
  <c r="R68" i="1" s="1"/>
  <c r="R79" i="1"/>
  <c r="M151" i="1"/>
  <c r="M104" i="1"/>
  <c r="R76" i="1"/>
  <c r="R77" i="1"/>
  <c r="R78" i="1"/>
  <c r="I17" i="3"/>
  <c r="I18" i="3"/>
  <c r="R69" i="1"/>
  <c r="R128" i="1"/>
  <c r="R142" i="1" s="1"/>
  <c r="R131" i="1"/>
  <c r="R132" i="1"/>
  <c r="R110" i="1"/>
  <c r="R111" i="1"/>
  <c r="R112" i="1"/>
  <c r="R113" i="1"/>
  <c r="R70" i="1"/>
  <c r="R73" i="1"/>
  <c r="R71" i="1"/>
  <c r="R72" i="1"/>
  <c r="R74" i="1"/>
  <c r="R75" i="1"/>
  <c r="R140" i="1" l="1"/>
  <c r="R143" i="1"/>
  <c r="R141" i="1"/>
  <c r="R88" i="1"/>
  <c r="R86" i="1"/>
  <c r="R122" i="1"/>
  <c r="R125" i="1"/>
  <c r="R124" i="1"/>
  <c r="O181" i="1"/>
  <c r="O115" i="1"/>
  <c r="O136" i="1"/>
  <c r="R89" i="1"/>
  <c r="R87" i="1"/>
  <c r="O165" i="1"/>
  <c r="R123" i="1"/>
  <c r="O7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<sst xmlns="http://schemas.openxmlformats.org/spreadsheetml/2006/main" count="959" uniqueCount="234">
  <si>
    <t>LUCIDII - Lucid Prime Fund LLC</t>
  </si>
  <si>
    <t>INVESTOR CAPITAL DETAIL FOR PARTNERSHIPS</t>
  </si>
  <si>
    <t/>
  </si>
  <si>
    <t>Investor Description</t>
  </si>
  <si>
    <t>Parent Investor</t>
  </si>
  <si>
    <t>Investor Type Code</t>
  </si>
  <si>
    <t>Beginning Capital</t>
  </si>
  <si>
    <t>Contributions</t>
  </si>
  <si>
    <t xml:space="preserve">Withdrawals  (BEG)  </t>
  </si>
  <si>
    <t>Assignments</t>
  </si>
  <si>
    <t>Intra Pool (BEG)</t>
  </si>
  <si>
    <t xml:space="preserve">Revised Beginning Capital </t>
  </si>
  <si>
    <t>Income Allocation</t>
  </si>
  <si>
    <t>Mgmt Fee</t>
  </si>
  <si>
    <t>Incentive Fee</t>
  </si>
  <si>
    <t>Withdrawals  (END)</t>
  </si>
  <si>
    <t>Intra Pool (END)</t>
  </si>
  <si>
    <t>Ending Net Capital</t>
  </si>
  <si>
    <t>Ending Shares</t>
  </si>
  <si>
    <t>NAV per  Share</t>
  </si>
  <si>
    <t>Gross RoR %</t>
  </si>
  <si>
    <t>Mgmt RoR %</t>
  </si>
  <si>
    <t>Net RoR %</t>
  </si>
  <si>
    <t>Lucid Prime Fund LLC</t>
  </si>
  <si>
    <t>Alfred I. duPont Charitable Trust</t>
  </si>
  <si>
    <t>LP</t>
  </si>
  <si>
    <t>Amica Retiree Medical Trust</t>
  </si>
  <si>
    <t>Children's Health System of Texas</t>
  </si>
  <si>
    <t>IRR K LLC</t>
  </si>
  <si>
    <t>Lucid Management and Capital Partners LP</t>
  </si>
  <si>
    <t>Prime Notes LLC Series M-1</t>
  </si>
  <si>
    <t>The Kresge Foundation</t>
  </si>
  <si>
    <t>The Nemours Foundation</t>
  </si>
  <si>
    <t>The Nemours Foundation - Intermediate Account</t>
  </si>
  <si>
    <t>The Nemours Foundation Pension Plan</t>
  </si>
  <si>
    <t>University of Virginia Investment Mgmt Company</t>
  </si>
  <si>
    <t>SubTotal for Lucid Prime Fund LLC</t>
  </si>
  <si>
    <t>Lucid Prime Fund LLC_C1</t>
  </si>
  <si>
    <t>Hudson East River Systems, LLC</t>
  </si>
  <si>
    <t>The New York and Presbyterian Hospital</t>
  </si>
  <si>
    <t>SubTotal for Lucid Prime Fund LLC_C1</t>
  </si>
  <si>
    <t>Lucid Prime Fund LLC_MIG</t>
  </si>
  <si>
    <t>Prime Notes Series MIG-1</t>
  </si>
  <si>
    <t>SubTotal for Lucid Prime Fund LLC_MIG</t>
  </si>
  <si>
    <t>Lucid Prime Fund LLC_Q1</t>
  </si>
  <si>
    <t>Prime Notes LLC Series Q1-1</t>
  </si>
  <si>
    <t>SubTotal for Lucid Prime Fund LLC_Q1</t>
  </si>
  <si>
    <t>Lucid Prime Fund LLC_QX</t>
  </si>
  <si>
    <t>In Touch Foundation, Inc.</t>
  </si>
  <si>
    <t>In Touch Ministries, Inc.</t>
  </si>
  <si>
    <t>International Mission Board of Southern Baptist Convention</t>
  </si>
  <si>
    <t>Prime Notes Series QX-1</t>
  </si>
  <si>
    <t>Word of God Fellowship, Inc.</t>
  </si>
  <si>
    <t>SubTotal for Lucid Prime Fund LLC_QX</t>
  </si>
  <si>
    <t>Lucid Prime Fund LLC_Q364</t>
  </si>
  <si>
    <t>Prime Notes Series Q364-1</t>
  </si>
  <si>
    <t>SubTotal for Lucid Prime Fund LLC_Q364</t>
  </si>
  <si>
    <t>Grand Total</t>
  </si>
  <si>
    <t>LUCID - Lucid Cash Fund USG LLC</t>
  </si>
  <si>
    <t>Lucid Cash Fund USG LLC</t>
  </si>
  <si>
    <t>Lucid Management and Capital Partners LLC</t>
  </si>
  <si>
    <t>SubTotal for Lucid Cash Fund USG LLC</t>
  </si>
  <si>
    <t>M-1</t>
  </si>
  <si>
    <t>Q1-1</t>
  </si>
  <si>
    <t>QX-1</t>
  </si>
  <si>
    <t>Q364-1</t>
  </si>
  <si>
    <t>M1-1</t>
  </si>
  <si>
    <t>MIG-1</t>
  </si>
  <si>
    <t>M-2</t>
  </si>
  <si>
    <t>M-3</t>
  </si>
  <si>
    <t>M-4</t>
  </si>
  <si>
    <t>M-5</t>
  </si>
  <si>
    <t>M-6</t>
  </si>
  <si>
    <t>74166WAF1</t>
  </si>
  <si>
    <t>Noteholders</t>
  </si>
  <si>
    <t>903340AA5</t>
  </si>
  <si>
    <t>90366JAA5</t>
  </si>
  <si>
    <t>90366JAB3</t>
  </si>
  <si>
    <t>90366JAC1</t>
  </si>
  <si>
    <t>90366JAD9</t>
  </si>
  <si>
    <t>90366JAE7</t>
  </si>
  <si>
    <t>AMFAM - 1</t>
  </si>
  <si>
    <t>Martin St. Pierre</t>
  </si>
  <si>
    <t>AMFAM - 5</t>
  </si>
  <si>
    <t>ANICO BARC</t>
  </si>
  <si>
    <t>Amica - CF</t>
  </si>
  <si>
    <t>ANICO ING</t>
  </si>
  <si>
    <t>Amica - CSRT</t>
  </si>
  <si>
    <t>ANICO MS</t>
  </si>
  <si>
    <t>Amica - LIC</t>
  </si>
  <si>
    <t>ANICO SUN</t>
  </si>
  <si>
    <t>Amica - MIC</t>
  </si>
  <si>
    <t>ANICO WF</t>
  </si>
  <si>
    <t>Amica - P&amp;C</t>
  </si>
  <si>
    <t>Nationwide - Cash</t>
  </si>
  <si>
    <t>Farmers</t>
  </si>
  <si>
    <t>Farmers - MCIC</t>
  </si>
  <si>
    <t>Nationwide - Mutual</t>
  </si>
  <si>
    <t>Fortitude - Gen</t>
  </si>
  <si>
    <t>Woodmen - Life</t>
  </si>
  <si>
    <t>Fortitude - Life</t>
  </si>
  <si>
    <t>Mercury - MCC</t>
  </si>
  <si>
    <t>Guidestone - FinRe</t>
  </si>
  <si>
    <t>Mercury - MIC</t>
  </si>
  <si>
    <t>Guidestone - FinRe As Nom</t>
  </si>
  <si>
    <t>Mercury - AMI</t>
  </si>
  <si>
    <t>Mercury - AIS</t>
  </si>
  <si>
    <t>Total Outstanding</t>
  </si>
  <si>
    <t>Mercury - CAIC</t>
  </si>
  <si>
    <t>Mercury - MICGA</t>
  </si>
  <si>
    <t>Mercury - MICIL</t>
  </si>
  <si>
    <t>Series</t>
  </si>
  <si>
    <t>Cusip</t>
  </si>
  <si>
    <t>Amt. Outstanding</t>
  </si>
  <si>
    <t>Mercury - MNIC</t>
  </si>
  <si>
    <t>Omaha - Life</t>
  </si>
  <si>
    <t>Omaha - Mutual</t>
  </si>
  <si>
    <t>SWIB</t>
  </si>
  <si>
    <t>Total</t>
  </si>
  <si>
    <t>74166WAA2</t>
  </si>
  <si>
    <t>74166WAB0</t>
  </si>
  <si>
    <t>74166WAE4</t>
  </si>
  <si>
    <t>74166WAC8</t>
  </si>
  <si>
    <t>74166WAD6</t>
  </si>
  <si>
    <t>AMFAM</t>
  </si>
  <si>
    <t>AMICA</t>
  </si>
  <si>
    <t>FARMERS</t>
  </si>
  <si>
    <t>FORTITUDE</t>
  </si>
  <si>
    <t>GUIDESTONE</t>
  </si>
  <si>
    <t>MERCURY</t>
  </si>
  <si>
    <t>OMAHA</t>
  </si>
  <si>
    <t>WOODMEN</t>
  </si>
  <si>
    <t>TOTAL</t>
  </si>
  <si>
    <t>ANICO</t>
  </si>
  <si>
    <t>NATIONWIDE</t>
  </si>
  <si>
    <t xml:space="preserve">(a) Individuals that are United States persons (including their trusts) </t>
  </si>
  <si>
    <t xml:space="preserve">(b) Individuals that are not United States persons (including their trusts) </t>
  </si>
  <si>
    <t xml:space="preserve">(c) Broker-dealers </t>
  </si>
  <si>
    <t xml:space="preserve">(d) Insurance companies </t>
  </si>
  <si>
    <t xml:space="preserve">(e) Investment companies registered with the SEC </t>
  </si>
  <si>
    <t xml:space="preserve">(f) Private funds </t>
  </si>
  <si>
    <t>(g) Non-profits</t>
  </si>
  <si>
    <t xml:space="preserve">(h) Pension plans (excluding governmental pension plans) </t>
  </si>
  <si>
    <t xml:space="preserve">(i) Banking or thrift institutions (proprietary) </t>
  </si>
  <si>
    <t xml:space="preserve">(k) State or municipal governmental pension plans </t>
  </si>
  <si>
    <t xml:space="preserve">(l) Sovereign wealth funds and foreign official institutions </t>
  </si>
  <si>
    <t xml:space="preserve">(m) Investors that are not United States persons </t>
  </si>
  <si>
    <t>OUR CLASSIFICATION</t>
  </si>
  <si>
    <t>CATAGORIES</t>
  </si>
  <si>
    <t xml:space="preserve">(j) State or municipal government entities (excludingpension plans) </t>
  </si>
  <si>
    <t>(n) Other</t>
  </si>
  <si>
    <t>Family</t>
  </si>
  <si>
    <t>TOTAL NAV</t>
  </si>
  <si>
    <t>Top 5</t>
  </si>
  <si>
    <t>SERIES M</t>
  </si>
  <si>
    <t>SERIES C1</t>
  </si>
  <si>
    <t>Top 5- 100%</t>
  </si>
  <si>
    <t>SERIES Q1</t>
  </si>
  <si>
    <t>SERIES QX</t>
  </si>
  <si>
    <t>SERIES Q364</t>
  </si>
  <si>
    <t>Total NAV</t>
  </si>
  <si>
    <t>The Southern Baptist Theological Seminary</t>
  </si>
  <si>
    <t>In Touch Media, Inc.</t>
  </si>
  <si>
    <t>SERIES-MIG</t>
  </si>
  <si>
    <t>Largest</t>
  </si>
  <si>
    <t># over 5%</t>
  </si>
  <si>
    <t>Makena Capital Holdings B, LP</t>
  </si>
  <si>
    <t>MFIF Holdings Blue, L.P.</t>
  </si>
  <si>
    <t>Lucid Prime Fund LLC_S1</t>
  </si>
  <si>
    <t>SubTotal for Lucid Prime Fund LLC_S1</t>
  </si>
  <si>
    <t>M-7</t>
  </si>
  <si>
    <t>90366JAF4</t>
  </si>
  <si>
    <t>USG ASSETS LLC Series M-7</t>
  </si>
  <si>
    <t>SERIES-S1</t>
  </si>
  <si>
    <t>FUND TOTAL NAV</t>
  </si>
  <si>
    <t>Parent Org</t>
  </si>
  <si>
    <t>Makena</t>
  </si>
  <si>
    <t>UVIMCO</t>
  </si>
  <si>
    <t>AMICA (Pension)</t>
  </si>
  <si>
    <t>Stifel</t>
  </si>
  <si>
    <t>Mercury</t>
  </si>
  <si>
    <t>Omaha</t>
  </si>
  <si>
    <t>Woodmen</t>
  </si>
  <si>
    <t>Amica</t>
  </si>
  <si>
    <t>Fortitude</t>
  </si>
  <si>
    <t>Physical</t>
  </si>
  <si>
    <t>Nationwide</t>
  </si>
  <si>
    <t>Stifel, Nicolaus &amp; Co. Inc</t>
  </si>
  <si>
    <t>Mercury Insurance Company</t>
  </si>
  <si>
    <t>AIS Management LLC</t>
  </si>
  <si>
    <t>American Mercury Insurance Company</t>
  </si>
  <si>
    <t>United of Omaha Life Insurance Company</t>
  </si>
  <si>
    <t>Woodmen of the World Life Insurance Society</t>
  </si>
  <si>
    <t>Mercury Casualty Company</t>
  </si>
  <si>
    <t>California Automobile Insurance Company</t>
  </si>
  <si>
    <t>Farmers Insurance Exchange</t>
  </si>
  <si>
    <t>Mid-Century Insurance Company</t>
  </si>
  <si>
    <t>Amica Mutual Insurance Company</t>
  </si>
  <si>
    <t>Amica Life Insurance Company</t>
  </si>
  <si>
    <t>Amica Companies Supplement Retirement Trust</t>
  </si>
  <si>
    <t>Amica Companies Foundation</t>
  </si>
  <si>
    <t>Amica Property and Casualty Insurance Company</t>
  </si>
  <si>
    <t>GuideStone Financial Resources of the Southern Baptist Convention</t>
  </si>
  <si>
    <t>GuideStone Financial Resources of the Southern Baptist Convention, As Nominee</t>
  </si>
  <si>
    <t>Fortitude Reinsurance Company Ltd.</t>
  </si>
  <si>
    <t>Mutual of Omaha Insurance Company</t>
  </si>
  <si>
    <t>Nationwide Cash Management Company</t>
  </si>
  <si>
    <t xml:space="preserve">Nationwide Mutual Insurance Company </t>
  </si>
  <si>
    <t>Mercury Insurance Company of Georgia</t>
  </si>
  <si>
    <t>Mercury Insurance Company of Illinois</t>
  </si>
  <si>
    <t>Mercury National Insurance Company</t>
  </si>
  <si>
    <t>American Family Mutual Insurance Company</t>
  </si>
  <si>
    <t>Legal Name</t>
  </si>
  <si>
    <t>Amica (Pension)</t>
  </si>
  <si>
    <t>Amica (Non-Profit)</t>
  </si>
  <si>
    <t>Southern Baptist Convention</t>
  </si>
  <si>
    <t>Alfred I. duPont Charitable Trust Pension</t>
  </si>
  <si>
    <t>In Touch Ministries</t>
  </si>
  <si>
    <t>(o) LMCP INTERNAL</t>
  </si>
  <si>
    <t>LMCP INTERNAL</t>
  </si>
  <si>
    <t>Check</t>
  </si>
  <si>
    <t>#&gt;5%</t>
  </si>
  <si>
    <t>For the Period 6/1/2022 to 6/30/2022</t>
  </si>
  <si>
    <t>A1-1</t>
  </si>
  <si>
    <t>MIG-2</t>
  </si>
  <si>
    <t>74166WAG9</t>
  </si>
  <si>
    <t>74166WAH7</t>
  </si>
  <si>
    <t>Lucid Prime Fund LLC_A1</t>
  </si>
  <si>
    <t>Prime Notes Series A1-1</t>
  </si>
  <si>
    <t>SubTotal for Lucid Prime Fund LLC_A1</t>
  </si>
  <si>
    <t>Prime Notes Series MIG-2</t>
  </si>
  <si>
    <t>Word of God Fellowship, Inc. Cash Reserves</t>
  </si>
  <si>
    <t>SERIES A1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</si>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</sst>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10409]#,##0.00;\(#,##0.00\);&quot;-&quot;"/>
    <numFmt numFmtId="165" formatCode="[$-10409]#,##0.00;\(#,##0.00\);&quot;&quot;"/>
    <numFmt numFmtId="166" formatCode="[$-10409]#,##0.0000;\(#,##0.0000\);0.0000"/>
    <numFmt numFmtId="167" formatCode="[$-10409]#,##0;\(#,##0\);&quot;-&quot;"/>
    <numFmt numFmtId="168" formatCode="_(* #,##0_);_(* \(#,##0\);_(* &quot;-&quot;??_);_(@_)"/>
    <numFmt numFmtId="169" formatCode="_(* #,##0.0_);_(* \(#,##0.0\);_(* &quot;-&quot;??_);_(@_)"/>
  </numFmts>
  <fonts count="3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000000"/>
      <name val="Tahoma"/>
      <family val="2"/>
    </font>
    <font>
      <sz val="7"/>
      <color rgb="FF000000"/>
      <name val="Tahoma"/>
      <family val="2"/>
    </font>
    <font>
      <sz val="10"/>
      <color rgb="FF000000"/>
      <name val="Arial"/>
      <family val="2"/>
    </font>
    <font>
      <sz val="6"/>
      <color rgb="FF000000"/>
      <name val="Tahoma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6"/>
      <color rgb="FF000000"/>
      <name val="Tahoma"/>
      <family val="2"/>
    </font>
    <font>
      <b/>
      <sz val="11"/>
      <name val="Calibri"/>
      <family val="2"/>
    </font>
    <font>
      <b/>
      <sz val="8"/>
      <color rgb="FF000000"/>
      <name val="Arial"/>
      <family val="2"/>
    </font>
    <font>
      <b/>
      <sz val="8"/>
      <color rgb="FF000000"/>
      <name val="Tahoma"/>
      <family val="2"/>
    </font>
    <font>
      <sz val="6"/>
      <name val="Tahoma"/>
      <family val="2"/>
    </font>
    <font>
      <sz val="6"/>
      <color theme="1"/>
      <name val="Tahoma"/>
      <family val="2"/>
    </font>
    <font>
      <b/>
      <sz val="8"/>
      <name val="Tahoma"/>
      <family val="2"/>
    </font>
    <font>
      <b/>
      <sz val="11"/>
      <color rgb="FF000000"/>
      <name val="Calibri"/>
      <family val="2"/>
      <scheme val="minor"/>
    </font>
    <font>
      <b/>
      <sz val="6"/>
      <name val="Tahoma"/>
      <family val="2"/>
    </font>
    <font>
      <sz val="11"/>
      <name val="Calibri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2"/>
    </font>
    <font>
      <sz val="8"/>
      <color rgb="FF000000"/>
      <name val="Tahoma"/>
      <family val="2"/>
    </font>
    <font>
      <sz val="7"/>
      <color rgb="FF000000"/>
      <name val="Tahoma"/>
      <family val="2"/>
    </font>
    <font>
      <u/>
      <sz val="7"/>
      <color rgb="FF000000"/>
      <name val="Tahoma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6"/>
      <color rgb="FF000000"/>
      <name val="Tahoma"/>
      <family val="2"/>
    </font>
    <font>
      <sz val="1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F8F6F3"/>
        <bgColor rgb="FFF8F6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rgb="FFF8F6F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9" tint="0.79998168889431442"/>
        <bgColor rgb="FFF8F6F3"/>
      </patternFill>
    </fill>
    <fill>
      <patternFill patternType="solid">
        <fgColor theme="7" tint="0.79998168889431442"/>
        <bgColor rgb="FFF8F6F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rgb="FFF8F6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/>
    <xf numFmtId="43" fontId="10" fillId="0" borderId="0" applyFont="0" applyFill="0" applyBorder="0" applyAlignment="0" applyProtection="0"/>
  </cellStyleXfs>
  <cellXfs count="354">
    <xf numFmtId="0" fontId="5" fillId="0" borderId="0" xfId="0" applyFont="1" applyFill="1" applyBorder="1"/>
    <xf numFmtId="0" fontId="5" fillId="0" borderId="0" xfId="0" applyFont="1" applyFill="1" applyBorder="1"/>
    <xf numFmtId="0" fontId="5" fillId="0" borderId="0" xfId="0" applyFont="1"/>
    <xf numFmtId="0" fontId="5" fillId="0" borderId="0" xfId="0" applyFont="1" applyFill="1" applyBorder="1" applyAlignment="1"/>
    <xf numFmtId="0" fontId="12" fillId="4" borderId="0" xfId="0" applyFont="1" applyFill="1" applyAlignment="1">
      <alignment horizontal="left" wrapText="1"/>
    </xf>
    <xf numFmtId="0" fontId="11" fillId="0" borderId="0" xfId="3" applyFont="1"/>
    <xf numFmtId="0" fontId="4" fillId="0" borderId="0" xfId="3"/>
    <xf numFmtId="0" fontId="11" fillId="5" borderId="3" xfId="3" applyFont="1" applyFill="1" applyBorder="1"/>
    <xf numFmtId="0" fontId="11" fillId="5" borderId="5" xfId="3" applyFont="1" applyFill="1" applyBorder="1"/>
    <xf numFmtId="0" fontId="5" fillId="6" borderId="12" xfId="3" applyFont="1" applyFill="1" applyBorder="1"/>
    <xf numFmtId="0" fontId="11" fillId="5" borderId="6" xfId="3" applyFont="1" applyFill="1" applyBorder="1"/>
    <xf numFmtId="0" fontId="11" fillId="5" borderId="7" xfId="3" applyFont="1" applyFill="1" applyBorder="1"/>
    <xf numFmtId="0" fontId="5" fillId="6" borderId="13" xfId="3" applyFont="1" applyFill="1" applyBorder="1"/>
    <xf numFmtId="0" fontId="5" fillId="6" borderId="14" xfId="3" applyFont="1" applyFill="1" applyBorder="1"/>
    <xf numFmtId="0" fontId="5" fillId="0" borderId="0" xfId="3" applyFont="1"/>
    <xf numFmtId="0" fontId="11" fillId="5" borderId="8" xfId="3" applyFont="1" applyFill="1" applyBorder="1"/>
    <xf numFmtId="0" fontId="11" fillId="5" borderId="10" xfId="3" applyFont="1" applyFill="1" applyBorder="1"/>
    <xf numFmtId="0" fontId="5" fillId="4" borderId="0" xfId="0" applyFont="1" applyFill="1" applyBorder="1"/>
    <xf numFmtId="0" fontId="0" fillId="4" borderId="0" xfId="0" applyFill="1"/>
    <xf numFmtId="0" fontId="9" fillId="7" borderId="15" xfId="0" applyNumberFormat="1" applyFont="1" applyFill="1" applyBorder="1" applyAlignment="1">
      <alignment readingOrder="1"/>
    </xf>
    <xf numFmtId="164" fontId="9" fillId="7" borderId="16" xfId="0" applyNumberFormat="1" applyFont="1" applyFill="1" applyBorder="1" applyAlignment="1">
      <alignment horizontal="right" readingOrder="1"/>
    </xf>
    <xf numFmtId="0" fontId="9" fillId="7" borderId="16" xfId="0" applyNumberFormat="1" applyFont="1" applyFill="1" applyBorder="1" applyAlignment="1">
      <alignment readingOrder="1"/>
    </xf>
    <xf numFmtId="0" fontId="9" fillId="9" borderId="18" xfId="0" applyNumberFormat="1" applyFont="1" applyFill="1" applyBorder="1" applyAlignment="1">
      <alignment readingOrder="1"/>
    </xf>
    <xf numFmtId="164" fontId="9" fillId="9" borderId="0" xfId="0" applyNumberFormat="1" applyFont="1" applyFill="1" applyBorder="1" applyAlignment="1">
      <alignment horizontal="right" readingOrder="1"/>
    </xf>
    <xf numFmtId="0" fontId="9" fillId="7" borderId="0" xfId="0" applyNumberFormat="1" applyFont="1" applyFill="1" applyBorder="1" applyAlignment="1">
      <alignment readingOrder="1"/>
    </xf>
    <xf numFmtId="0" fontId="9" fillId="7" borderId="18" xfId="0" applyNumberFormat="1" applyFont="1" applyFill="1" applyBorder="1" applyAlignment="1">
      <alignment readingOrder="1"/>
    </xf>
    <xf numFmtId="164" fontId="9" fillId="7" borderId="0" xfId="0" applyNumberFormat="1" applyFont="1" applyFill="1" applyBorder="1" applyAlignment="1">
      <alignment horizontal="right" readingOrder="1"/>
    </xf>
    <xf numFmtId="0" fontId="9" fillId="7" borderId="0" xfId="0" applyNumberFormat="1" applyFont="1" applyFill="1" applyBorder="1" applyAlignment="1">
      <alignment horizontal="right" readingOrder="1"/>
    </xf>
    <xf numFmtId="0" fontId="9" fillId="9" borderId="20" xfId="0" applyNumberFormat="1" applyFont="1" applyFill="1" applyBorder="1" applyAlignment="1">
      <alignment readingOrder="1"/>
    </xf>
    <xf numFmtId="164" fontId="9" fillId="9" borderId="21" xfId="0" applyNumberFormat="1" applyFont="1" applyFill="1" applyBorder="1" applyAlignment="1">
      <alignment horizontal="right" readingOrder="1"/>
    </xf>
    <xf numFmtId="0" fontId="9" fillId="7" borderId="21" xfId="0" applyNumberFormat="1" applyFont="1" applyFill="1" applyBorder="1" applyAlignment="1">
      <alignment readingOrder="1"/>
    </xf>
    <xf numFmtId="0" fontId="9" fillId="11" borderId="0" xfId="0" applyNumberFormat="1" applyFont="1" applyFill="1" applyBorder="1" applyAlignment="1">
      <alignment readingOrder="1"/>
    </xf>
    <xf numFmtId="164" fontId="9" fillId="11" borderId="16" xfId="0" applyNumberFormat="1" applyFont="1" applyFill="1" applyBorder="1" applyAlignment="1">
      <alignment horizontal="right" readingOrder="1"/>
    </xf>
    <xf numFmtId="164" fontId="9" fillId="13" borderId="0" xfId="0" applyNumberFormat="1" applyFont="1" applyFill="1" applyBorder="1" applyAlignment="1">
      <alignment horizontal="right" readingOrder="1"/>
    </xf>
    <xf numFmtId="0" fontId="9" fillId="11" borderId="0" xfId="0" applyNumberFormat="1" applyFont="1" applyFill="1" applyBorder="1" applyAlignment="1">
      <alignment horizontal="right" readingOrder="1"/>
    </xf>
    <xf numFmtId="164" fontId="9" fillId="11" borderId="0" xfId="0" applyNumberFormat="1" applyFont="1" applyFill="1" applyBorder="1" applyAlignment="1">
      <alignment horizontal="right" readingOrder="1"/>
    </xf>
    <xf numFmtId="0" fontId="9" fillId="11" borderId="16" xfId="0" applyNumberFormat="1" applyFont="1" applyFill="1" applyBorder="1" applyAlignment="1">
      <alignment readingOrder="1"/>
    </xf>
    <xf numFmtId="164" fontId="9" fillId="13" borderId="16" xfId="0" applyNumberFormat="1" applyFont="1" applyFill="1" applyBorder="1" applyAlignment="1">
      <alignment horizontal="right" readingOrder="1"/>
    </xf>
    <xf numFmtId="164" fontId="9" fillId="13" borderId="21" xfId="0" applyNumberFormat="1" applyFont="1" applyFill="1" applyBorder="1" applyAlignment="1">
      <alignment horizontal="right" readingOrder="1"/>
    </xf>
    <xf numFmtId="0" fontId="9" fillId="11" borderId="21" xfId="0" applyNumberFormat="1" applyFont="1" applyFill="1" applyBorder="1" applyAlignment="1">
      <alignment readingOrder="1"/>
    </xf>
    <xf numFmtId="0" fontId="5" fillId="8" borderId="16" xfId="0" applyFont="1" applyFill="1" applyBorder="1" applyAlignment="1"/>
    <xf numFmtId="0" fontId="5" fillId="8" borderId="0" xfId="0" applyFont="1" applyFill="1" applyBorder="1" applyAlignment="1"/>
    <xf numFmtId="9" fontId="5" fillId="8" borderId="19" xfId="0" applyNumberFormat="1" applyFont="1" applyFill="1" applyBorder="1" applyAlignment="1"/>
    <xf numFmtId="0" fontId="5" fillId="8" borderId="19" xfId="0" applyFont="1" applyFill="1" applyBorder="1" applyAlignment="1"/>
    <xf numFmtId="0" fontId="5" fillId="8" borderId="21" xfId="0" applyFont="1" applyFill="1" applyBorder="1" applyAlignment="1"/>
    <xf numFmtId="0" fontId="0" fillId="0" borderId="0" xfId="0" applyAlignment="1"/>
    <xf numFmtId="0" fontId="5" fillId="0" borderId="0" xfId="3" applyFont="1" applyAlignment="1"/>
    <xf numFmtId="0" fontId="11" fillId="5" borderId="15" xfId="0" applyFont="1" applyFill="1" applyBorder="1" applyAlignment="1"/>
    <xf numFmtId="0" fontId="14" fillId="5" borderId="16" xfId="3" applyFont="1" applyFill="1" applyBorder="1" applyAlignment="1"/>
    <xf numFmtId="0" fontId="15" fillId="10" borderId="15" xfId="0" applyFont="1" applyFill="1" applyBorder="1" applyAlignment="1">
      <alignment horizontal="left" readingOrder="1"/>
    </xf>
    <xf numFmtId="9" fontId="13" fillId="10" borderId="16" xfId="2" applyFont="1" applyFill="1" applyBorder="1" applyAlignment="1">
      <alignment horizontal="center" readingOrder="1"/>
    </xf>
    <xf numFmtId="9" fontId="13" fillId="10" borderId="17" xfId="2" applyFont="1" applyFill="1" applyBorder="1" applyAlignment="1">
      <alignment horizontal="center" readingOrder="1"/>
    </xf>
    <xf numFmtId="0" fontId="11" fillId="5" borderId="18" xfId="0" applyFont="1" applyFill="1" applyBorder="1" applyAlignment="1"/>
    <xf numFmtId="0" fontId="14" fillId="5" borderId="0" xfId="3" applyFont="1" applyFill="1" applyBorder="1" applyAlignment="1"/>
    <xf numFmtId="0" fontId="15" fillId="10" borderId="18" xfId="0" applyFont="1" applyFill="1" applyBorder="1" applyAlignment="1">
      <alignment horizontal="left" readingOrder="1"/>
    </xf>
    <xf numFmtId="9" fontId="13" fillId="10" borderId="0" xfId="2" applyFont="1" applyFill="1" applyBorder="1" applyAlignment="1">
      <alignment horizontal="center" readingOrder="1"/>
    </xf>
    <xf numFmtId="9" fontId="13" fillId="10" borderId="19" xfId="2" applyFont="1" applyFill="1" applyBorder="1" applyAlignment="1">
      <alignment horizontal="center" readingOrder="1"/>
    </xf>
    <xf numFmtId="0" fontId="14" fillId="5" borderId="19" xfId="3" applyFont="1" applyFill="1" applyBorder="1" applyAlignment="1"/>
    <xf numFmtId="0" fontId="15" fillId="10" borderId="20" xfId="0" applyFont="1" applyFill="1" applyBorder="1" applyAlignment="1">
      <alignment horizontal="left" readingOrder="1"/>
    </xf>
    <xf numFmtId="9" fontId="13" fillId="10" borderId="21" xfId="2" applyFont="1" applyFill="1" applyBorder="1" applyAlignment="1">
      <alignment horizontal="center" readingOrder="1"/>
    </xf>
    <xf numFmtId="9" fontId="13" fillId="10" borderId="22" xfId="2" applyFont="1" applyFill="1" applyBorder="1" applyAlignment="1">
      <alignment horizontal="center" readingOrder="1"/>
    </xf>
    <xf numFmtId="0" fontId="11" fillId="5" borderId="20" xfId="0" applyFont="1" applyFill="1" applyBorder="1" applyAlignment="1"/>
    <xf numFmtId="0" fontId="14" fillId="5" borderId="21" xfId="3" applyFont="1" applyFill="1" applyBorder="1" applyAlignment="1"/>
    <xf numFmtId="0" fontId="14" fillId="5" borderId="22" xfId="3" applyFont="1" applyFill="1" applyBorder="1" applyAlignment="1"/>
    <xf numFmtId="0" fontId="9" fillId="11" borderId="15" xfId="0" applyNumberFormat="1" applyFont="1" applyFill="1" applyBorder="1" applyAlignment="1">
      <alignment readingOrder="1"/>
    </xf>
    <xf numFmtId="0" fontId="5" fillId="12" borderId="16" xfId="0" applyFont="1" applyFill="1" applyBorder="1" applyAlignment="1"/>
    <xf numFmtId="9" fontId="5" fillId="12" borderId="17" xfId="0" applyNumberFormat="1" applyFont="1" applyFill="1" applyBorder="1" applyAlignment="1"/>
    <xf numFmtId="0" fontId="9" fillId="13" borderId="18" xfId="0" applyNumberFormat="1" applyFont="1" applyFill="1" applyBorder="1" applyAlignment="1">
      <alignment readingOrder="1"/>
    </xf>
    <xf numFmtId="0" fontId="5" fillId="12" borderId="0" xfId="0" applyFont="1" applyFill="1" applyBorder="1" applyAlignment="1"/>
    <xf numFmtId="9" fontId="5" fillId="12" borderId="19" xfId="0" applyNumberFormat="1" applyFont="1" applyFill="1" applyBorder="1" applyAlignment="1"/>
    <xf numFmtId="0" fontId="9" fillId="11" borderId="18" xfId="0" applyNumberFormat="1" applyFont="1" applyFill="1" applyBorder="1" applyAlignment="1">
      <alignment readingOrder="1"/>
    </xf>
    <xf numFmtId="0" fontId="9" fillId="11" borderId="20" xfId="0" applyNumberFormat="1" applyFont="1" applyFill="1" applyBorder="1" applyAlignment="1">
      <alignment readingOrder="1"/>
    </xf>
    <xf numFmtId="0" fontId="5" fillId="12" borderId="21" xfId="0" applyFont="1" applyFill="1" applyBorder="1" applyAlignment="1"/>
    <xf numFmtId="0" fontId="5" fillId="12" borderId="22" xfId="0" applyFont="1" applyFill="1" applyBorder="1" applyAlignment="1"/>
    <xf numFmtId="0" fontId="5" fillId="12" borderId="16" xfId="0" applyFont="1" applyFill="1" applyBorder="1" applyAlignment="1">
      <alignment horizontal="right"/>
    </xf>
    <xf numFmtId="0" fontId="5" fillId="12" borderId="19" xfId="0" applyFont="1" applyFill="1" applyBorder="1" applyAlignment="1"/>
    <xf numFmtId="0" fontId="14" fillId="12" borderId="0" xfId="3" applyFont="1" applyFill="1" applyBorder="1" applyAlignment="1"/>
    <xf numFmtId="0" fontId="9" fillId="13" borderId="20" xfId="0" applyNumberFormat="1" applyFont="1" applyFill="1" applyBorder="1" applyAlignment="1">
      <alignment readingOrder="1"/>
    </xf>
    <xf numFmtId="0" fontId="5" fillId="0" borderId="0" xfId="0" applyFont="1" applyAlignment="1"/>
    <xf numFmtId="0" fontId="9" fillId="11" borderId="15" xfId="0" applyFont="1" applyFill="1" applyBorder="1" applyAlignment="1">
      <alignment wrapText="1" readingOrder="1"/>
    </xf>
    <xf numFmtId="167" fontId="9" fillId="11" borderId="16" xfId="0" applyNumberFormat="1" applyFont="1" applyFill="1" applyBorder="1" applyAlignment="1">
      <alignment horizontal="right" wrapText="1" readingOrder="1"/>
    </xf>
    <xf numFmtId="167" fontId="16" fillId="11" borderId="17" xfId="0" applyNumberFormat="1" applyFont="1" applyFill="1" applyBorder="1" applyAlignment="1">
      <alignment horizontal="right" wrapText="1" readingOrder="1"/>
    </xf>
    <xf numFmtId="0" fontId="9" fillId="11" borderId="18" xfId="0" applyFont="1" applyFill="1" applyBorder="1" applyAlignment="1">
      <alignment wrapText="1" readingOrder="1"/>
    </xf>
    <xf numFmtId="167" fontId="9" fillId="13" borderId="0" xfId="0" applyNumberFormat="1" applyFont="1" applyFill="1" applyBorder="1" applyAlignment="1">
      <alignment horizontal="right" wrapText="1" readingOrder="1"/>
    </xf>
    <xf numFmtId="9" fontId="5" fillId="12" borderId="19" xfId="2" applyNumberFormat="1" applyFont="1" applyFill="1" applyBorder="1" applyAlignment="1"/>
    <xf numFmtId="0" fontId="9" fillId="11" borderId="23" xfId="0" applyFont="1" applyFill="1" applyBorder="1" applyAlignment="1">
      <alignment wrapText="1" readingOrder="1"/>
    </xf>
    <xf numFmtId="0" fontId="9" fillId="11" borderId="20" xfId="0" applyFont="1" applyFill="1" applyBorder="1" applyAlignment="1">
      <alignment wrapText="1" readingOrder="1"/>
    </xf>
    <xf numFmtId="167" fontId="9" fillId="13" borderId="21" xfId="0" applyNumberFormat="1" applyFont="1" applyFill="1" applyBorder="1" applyAlignment="1">
      <alignment horizontal="right" wrapText="1" readingOrder="1"/>
    </xf>
    <xf numFmtId="164" fontId="13" fillId="11" borderId="0" xfId="0" applyNumberFormat="1" applyFont="1" applyFill="1" applyBorder="1" applyAlignment="1">
      <alignment horizontal="right" readingOrder="1"/>
    </xf>
    <xf numFmtId="0" fontId="5" fillId="12" borderId="0" xfId="0" applyFont="1" applyFill="1" applyBorder="1" applyAlignment="1">
      <alignment horizontal="right"/>
    </xf>
    <xf numFmtId="0" fontId="17" fillId="12" borderId="16" xfId="0" applyFont="1" applyFill="1" applyBorder="1" applyAlignment="1"/>
    <xf numFmtId="0" fontId="18" fillId="5" borderId="18" xfId="0" applyFont="1" applyFill="1" applyBorder="1" applyAlignment="1"/>
    <xf numFmtId="0" fontId="17" fillId="5" borderId="0" xfId="3" applyFont="1" applyFill="1" applyBorder="1" applyAlignment="1"/>
    <xf numFmtId="43" fontId="17" fillId="5" borderId="0" xfId="4" applyFont="1" applyFill="1" applyBorder="1" applyAlignment="1"/>
    <xf numFmtId="164" fontId="16" fillId="7" borderId="11" xfId="0" applyNumberFormat="1" applyFont="1" applyFill="1" applyBorder="1" applyAlignment="1">
      <alignment horizontal="right" readingOrder="1"/>
    </xf>
    <xf numFmtId="168" fontId="5" fillId="12" borderId="0" xfId="4" applyNumberFormat="1" applyFont="1" applyFill="1" applyBorder="1" applyAlignment="1"/>
    <xf numFmtId="9" fontId="5" fillId="12" borderId="16" xfId="2" applyFont="1" applyFill="1" applyBorder="1" applyAlignment="1"/>
    <xf numFmtId="9" fontId="5" fillId="12" borderId="0" xfId="2" applyFont="1" applyFill="1" applyBorder="1" applyAlignment="1"/>
    <xf numFmtId="0" fontId="7" fillId="2" borderId="0" xfId="3" applyFont="1" applyFill="1" applyAlignment="1">
      <alignment vertical="top" wrapText="1" readingOrder="1"/>
    </xf>
    <xf numFmtId="164" fontId="9" fillId="2" borderId="1" xfId="3" applyNumberFormat="1" applyFont="1" applyFill="1" applyBorder="1" applyAlignment="1">
      <alignment horizontal="right" vertical="top" wrapText="1" readingOrder="1"/>
    </xf>
    <xf numFmtId="165" fontId="9" fillId="2" borderId="1" xfId="3" applyNumberFormat="1" applyFont="1" applyFill="1" applyBorder="1" applyAlignment="1">
      <alignment horizontal="right" vertical="top" wrapText="1" readingOrder="1"/>
    </xf>
    <xf numFmtId="166" fontId="9" fillId="2" borderId="1" xfId="3" applyNumberFormat="1" applyFont="1" applyFill="1" applyBorder="1" applyAlignment="1">
      <alignment horizontal="right" vertical="top" wrapText="1" readingOrder="1"/>
    </xf>
    <xf numFmtId="0" fontId="8" fillId="2" borderId="1" xfId="3" applyFont="1" applyFill="1" applyBorder="1" applyAlignment="1">
      <alignment vertical="top" wrapText="1" readingOrder="1"/>
    </xf>
    <xf numFmtId="166" fontId="9" fillId="2" borderId="1" xfId="3" applyNumberFormat="1" applyFont="1" applyFill="1" applyBorder="1" applyAlignment="1">
      <alignment vertical="top" wrapText="1" readingOrder="1"/>
    </xf>
    <xf numFmtId="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0" fillId="0" borderId="3" xfId="0" applyBorder="1"/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6" xfId="0" applyBorder="1"/>
    <xf numFmtId="3" fontId="0" fillId="0" borderId="6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8" xfId="0" applyBorder="1"/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0" fontId="0" fillId="0" borderId="0" xfId="0"/>
    <xf numFmtId="3" fontId="0" fillId="0" borderId="11" xfId="0" applyNumberFormat="1" applyBorder="1"/>
    <xf numFmtId="0" fontId="1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9" xfId="0" applyNumberFormat="1" applyBorder="1" applyAlignment="1">
      <alignment horizontal="right"/>
    </xf>
    <xf numFmtId="3" fontId="11" fillId="0" borderId="0" xfId="0" applyNumberFormat="1" applyFont="1" applyAlignment="1">
      <alignment horizontal="right"/>
    </xf>
    <xf numFmtId="164" fontId="9" fillId="9" borderId="11" xfId="0" applyNumberFormat="1" applyFont="1" applyFill="1" applyBorder="1" applyAlignment="1">
      <alignment horizontal="right" readingOrder="1"/>
    </xf>
    <xf numFmtId="164" fontId="9" fillId="7" borderId="11" xfId="0" applyNumberFormat="1" applyFont="1" applyFill="1" applyBorder="1" applyAlignment="1">
      <alignment horizontal="right" readingOrder="1"/>
    </xf>
    <xf numFmtId="164" fontId="9" fillId="13" borderId="11" xfId="0" applyNumberFormat="1" applyFont="1" applyFill="1" applyBorder="1" applyAlignment="1">
      <alignment horizontal="right" readingOrder="1"/>
    </xf>
    <xf numFmtId="164" fontId="9" fillId="11" borderId="21" xfId="0" applyNumberFormat="1" applyFont="1" applyFill="1" applyBorder="1" applyAlignment="1">
      <alignment horizontal="right" readingOrder="1"/>
    </xf>
    <xf numFmtId="0" fontId="9" fillId="7" borderId="20" xfId="0" applyNumberFormat="1" applyFont="1" applyFill="1" applyBorder="1" applyAlignment="1">
      <alignment readingOrder="1"/>
    </xf>
    <xf numFmtId="164" fontId="9" fillId="7" borderId="21" xfId="0" applyNumberFormat="1" applyFont="1" applyFill="1" applyBorder="1" applyAlignment="1">
      <alignment horizontal="right" readingOrder="1"/>
    </xf>
    <xf numFmtId="164" fontId="9" fillId="14" borderId="11" xfId="0" applyNumberFormat="1" applyFont="1" applyFill="1" applyBorder="1" applyAlignment="1">
      <alignment horizontal="right" readingOrder="1"/>
    </xf>
    <xf numFmtId="0" fontId="9" fillId="13" borderId="15" xfId="0" applyNumberFormat="1" applyFont="1" applyFill="1" applyBorder="1" applyAlignment="1">
      <alignment readingOrder="1"/>
    </xf>
    <xf numFmtId="43" fontId="17" fillId="12" borderId="16" xfId="4" applyFont="1" applyFill="1" applyBorder="1" applyAlignment="1"/>
    <xf numFmtId="43" fontId="17" fillId="12" borderId="0" xfId="4" applyFont="1" applyFill="1" applyBorder="1" applyAlignment="1"/>
    <xf numFmtId="164" fontId="16" fillId="11" borderId="11" xfId="0" applyNumberFormat="1" applyFont="1" applyFill="1" applyBorder="1" applyAlignment="1">
      <alignment horizontal="right" readingOrder="1"/>
    </xf>
    <xf numFmtId="0" fontId="9" fillId="11" borderId="16" xfId="0" applyNumberFormat="1" applyFont="1" applyFill="1" applyBorder="1" applyAlignment="1">
      <alignment horizontal="right" readingOrder="1"/>
    </xf>
    <xf numFmtId="9" fontId="6" fillId="11" borderId="17" xfId="2" applyFont="1" applyFill="1" applyBorder="1" applyAlignment="1">
      <alignment horizontal="right" readingOrder="1"/>
    </xf>
    <xf numFmtId="9" fontId="6" fillId="11" borderId="19" xfId="2" applyFont="1" applyFill="1" applyBorder="1" applyAlignment="1">
      <alignment horizontal="right" readingOrder="1"/>
    </xf>
    <xf numFmtId="0" fontId="9" fillId="11" borderId="21" xfId="0" applyNumberFormat="1" applyFont="1" applyFill="1" applyBorder="1" applyAlignment="1">
      <alignment horizontal="right" readingOrder="1"/>
    </xf>
    <xf numFmtId="9" fontId="6" fillId="11" borderId="22" xfId="2" applyFont="1" applyFill="1" applyBorder="1" applyAlignment="1">
      <alignment horizontal="right" readingOrder="1"/>
    </xf>
    <xf numFmtId="0" fontId="9" fillId="7" borderId="16" xfId="0" applyNumberFormat="1" applyFont="1" applyFill="1" applyBorder="1" applyAlignment="1">
      <alignment horizontal="right" readingOrder="1"/>
    </xf>
    <xf numFmtId="9" fontId="6" fillId="7" borderId="17" xfId="2" applyFont="1" applyFill="1" applyBorder="1" applyAlignment="1">
      <alignment horizontal="right" readingOrder="1"/>
    </xf>
    <xf numFmtId="9" fontId="6" fillId="7" borderId="19" xfId="2" applyFont="1" applyFill="1" applyBorder="1" applyAlignment="1">
      <alignment horizontal="right" readingOrder="1"/>
    </xf>
    <xf numFmtId="0" fontId="9" fillId="7" borderId="21" xfId="0" applyNumberFormat="1" applyFont="1" applyFill="1" applyBorder="1" applyAlignment="1">
      <alignment horizontal="right" readingOrder="1"/>
    </xf>
    <xf numFmtId="9" fontId="6" fillId="7" borderId="22" xfId="2" applyFont="1" applyFill="1" applyBorder="1" applyAlignment="1">
      <alignment horizontal="right" readingOrder="1"/>
    </xf>
    <xf numFmtId="164" fontId="9" fillId="9" borderId="16" xfId="0" applyNumberFormat="1" applyFont="1" applyFill="1" applyBorder="1" applyAlignment="1">
      <alignment horizontal="right" readingOrder="1"/>
    </xf>
    <xf numFmtId="9" fontId="5" fillId="8" borderId="17" xfId="0" applyNumberFormat="1" applyFont="1" applyFill="1" applyBorder="1" applyAlignment="1"/>
    <xf numFmtId="0" fontId="5" fillId="12" borderId="0" xfId="0" applyFont="1" applyFill="1" applyBorder="1"/>
    <xf numFmtId="0" fontId="5" fillId="12" borderId="16" xfId="0" applyFont="1" applyFill="1" applyBorder="1"/>
    <xf numFmtId="164" fontId="19" fillId="5" borderId="11" xfId="3" applyNumberFormat="1" applyFont="1" applyFill="1" applyBorder="1" applyAlignment="1"/>
    <xf numFmtId="0" fontId="17" fillId="5" borderId="16" xfId="3" applyFont="1" applyFill="1" applyBorder="1" applyAlignment="1">
      <alignment horizontal="right"/>
    </xf>
    <xf numFmtId="9" fontId="9" fillId="10" borderId="16" xfId="2" applyFont="1" applyFill="1" applyBorder="1" applyAlignment="1">
      <alignment horizontal="center" readingOrder="1"/>
    </xf>
    <xf numFmtId="9" fontId="9" fillId="10" borderId="0" xfId="2" applyFont="1" applyFill="1" applyBorder="1" applyAlignment="1">
      <alignment horizontal="center" readingOrder="1"/>
    </xf>
    <xf numFmtId="9" fontId="9" fillId="10" borderId="21" xfId="2" applyFont="1" applyFill="1" applyBorder="1" applyAlignment="1">
      <alignment horizontal="center" readingOrder="1"/>
    </xf>
    <xf numFmtId="43" fontId="19" fillId="5" borderId="11" xfId="3" applyNumberFormat="1" applyFont="1" applyFill="1" applyBorder="1" applyAlignment="1"/>
    <xf numFmtId="43" fontId="5" fillId="0" borderId="0" xfId="0" applyNumberFormat="1" applyFont="1" applyFill="1" applyBorder="1" applyAlignment="1"/>
    <xf numFmtId="0" fontId="9" fillId="15" borderId="15" xfId="0" applyNumberFormat="1" applyFont="1" applyFill="1" applyBorder="1" applyAlignment="1">
      <alignment readingOrder="1"/>
    </xf>
    <xf numFmtId="164" fontId="9" fillId="16" borderId="16" xfId="0" applyNumberFormat="1" applyFont="1" applyFill="1" applyBorder="1" applyAlignment="1">
      <alignment horizontal="right" readingOrder="1"/>
    </xf>
    <xf numFmtId="0" fontId="17" fillId="17" borderId="16" xfId="0" applyFont="1" applyFill="1" applyBorder="1" applyAlignment="1"/>
    <xf numFmtId="0" fontId="5" fillId="17" borderId="16" xfId="0" applyFont="1" applyFill="1" applyBorder="1" applyAlignment="1"/>
    <xf numFmtId="0" fontId="5" fillId="17" borderId="16" xfId="0" applyFont="1" applyFill="1" applyBorder="1"/>
    <xf numFmtId="164" fontId="16" fillId="16" borderId="11" xfId="0" applyNumberFormat="1" applyFont="1" applyFill="1" applyBorder="1" applyAlignment="1">
      <alignment horizontal="right" readingOrder="1"/>
    </xf>
    <xf numFmtId="9" fontId="5" fillId="17" borderId="16" xfId="2" applyFont="1" applyFill="1" applyBorder="1" applyAlignment="1"/>
    <xf numFmtId="43" fontId="17" fillId="17" borderId="16" xfId="4" applyFont="1" applyFill="1" applyBorder="1" applyAlignment="1"/>
    <xf numFmtId="9" fontId="5" fillId="17" borderId="17" xfId="0" applyNumberFormat="1" applyFont="1" applyFill="1" applyBorder="1" applyAlignment="1"/>
    <xf numFmtId="0" fontId="9" fillId="15" borderId="18" xfId="0" applyNumberFormat="1" applyFont="1" applyFill="1" applyBorder="1" applyAlignment="1">
      <alignment readingOrder="1"/>
    </xf>
    <xf numFmtId="164" fontId="9" fillId="16" borderId="0" xfId="0" applyNumberFormat="1" applyFont="1" applyFill="1" applyBorder="1" applyAlignment="1">
      <alignment horizontal="right" readingOrder="1"/>
    </xf>
    <xf numFmtId="0" fontId="17" fillId="17" borderId="0" xfId="0" applyFont="1" applyFill="1" applyBorder="1" applyAlignment="1"/>
    <xf numFmtId="0" fontId="5" fillId="17" borderId="0" xfId="0" applyFont="1" applyFill="1" applyBorder="1" applyAlignment="1"/>
    <xf numFmtId="0" fontId="5" fillId="17" borderId="0" xfId="0" applyFont="1" applyFill="1" applyBorder="1" applyAlignment="1">
      <alignment horizontal="right"/>
    </xf>
    <xf numFmtId="168" fontId="5" fillId="17" borderId="0" xfId="4" applyNumberFormat="1" applyFont="1" applyFill="1" applyBorder="1" applyAlignment="1"/>
    <xf numFmtId="9" fontId="5" fillId="17" borderId="0" xfId="2" applyFont="1" applyFill="1" applyBorder="1" applyAlignment="1"/>
    <xf numFmtId="43" fontId="17" fillId="17" borderId="0" xfId="4" applyFont="1" applyFill="1" applyBorder="1" applyAlignment="1"/>
    <xf numFmtId="9" fontId="5" fillId="17" borderId="19" xfId="0" applyNumberFormat="1" applyFont="1" applyFill="1" applyBorder="1" applyAlignment="1"/>
    <xf numFmtId="0" fontId="9" fillId="15" borderId="20" xfId="0" applyNumberFormat="1" applyFont="1" applyFill="1" applyBorder="1" applyAlignment="1">
      <alignment readingOrder="1"/>
    </xf>
    <xf numFmtId="164" fontId="9" fillId="16" borderId="21" xfId="0" applyNumberFormat="1" applyFont="1" applyFill="1" applyBorder="1" applyAlignment="1">
      <alignment horizontal="right" readingOrder="1"/>
    </xf>
    <xf numFmtId="164" fontId="9" fillId="15" borderId="0" xfId="0" applyNumberFormat="1" applyFont="1" applyFill="1" applyBorder="1" applyAlignment="1">
      <alignment horizontal="right" readingOrder="1"/>
    </xf>
    <xf numFmtId="0" fontId="9" fillId="16" borderId="0" xfId="0" applyNumberFormat="1" applyFont="1" applyFill="1" applyBorder="1" applyAlignment="1">
      <alignment readingOrder="1"/>
    </xf>
    <xf numFmtId="0" fontId="17" fillId="17" borderId="15" xfId="0" applyFont="1" applyFill="1" applyBorder="1" applyAlignment="1"/>
    <xf numFmtId="0" fontId="9" fillId="16" borderId="16" xfId="0" applyNumberFormat="1" applyFont="1" applyFill="1" applyBorder="1" applyAlignment="1">
      <alignment horizontal="right" readingOrder="1"/>
    </xf>
    <xf numFmtId="9" fontId="6" fillId="16" borderId="17" xfId="2" applyFont="1" applyFill="1" applyBorder="1" applyAlignment="1">
      <alignment horizontal="right" readingOrder="1"/>
    </xf>
    <xf numFmtId="0" fontId="5" fillId="17" borderId="0" xfId="0" applyFont="1" applyFill="1" applyBorder="1"/>
    <xf numFmtId="0" fontId="17" fillId="17" borderId="18" xfId="0" applyFont="1" applyFill="1" applyBorder="1" applyAlignment="1"/>
    <xf numFmtId="0" fontId="9" fillId="16" borderId="0" xfId="0" applyNumberFormat="1" applyFont="1" applyFill="1" applyBorder="1" applyAlignment="1">
      <alignment horizontal="right" readingOrder="1"/>
    </xf>
    <xf numFmtId="9" fontId="6" fillId="16" borderId="19" xfId="2" applyFont="1" applyFill="1" applyBorder="1" applyAlignment="1">
      <alignment horizontal="right" readingOrder="1"/>
    </xf>
    <xf numFmtId="0" fontId="17" fillId="17" borderId="20" xfId="0" applyFont="1" applyFill="1" applyBorder="1" applyAlignment="1"/>
    <xf numFmtId="0" fontId="5" fillId="17" borderId="21" xfId="0" applyFont="1" applyFill="1" applyBorder="1" applyAlignment="1"/>
    <xf numFmtId="0" fontId="9" fillId="16" borderId="21" xfId="0" applyNumberFormat="1" applyFont="1" applyFill="1" applyBorder="1" applyAlignment="1">
      <alignment horizontal="right" readingOrder="1"/>
    </xf>
    <xf numFmtId="9" fontId="6" fillId="16" borderId="22" xfId="2" applyFont="1" applyFill="1" applyBorder="1" applyAlignment="1">
      <alignment horizontal="right" readingOrder="1"/>
    </xf>
    <xf numFmtId="0" fontId="14" fillId="17" borderId="0" xfId="3" applyFont="1" applyFill="1" applyBorder="1" applyAlignment="1"/>
    <xf numFmtId="0" fontId="5" fillId="17" borderId="19" xfId="0" applyFont="1" applyFill="1" applyBorder="1" applyAlignment="1"/>
    <xf numFmtId="164" fontId="9" fillId="15" borderId="21" xfId="0" applyNumberFormat="1" applyFont="1" applyFill="1" applyBorder="1" applyAlignment="1">
      <alignment horizontal="right" readingOrder="1"/>
    </xf>
    <xf numFmtId="0" fontId="9" fillId="16" borderId="21" xfId="0" applyNumberFormat="1" applyFont="1" applyFill="1" applyBorder="1" applyAlignment="1">
      <alignment readingOrder="1"/>
    </xf>
    <xf numFmtId="9" fontId="9" fillId="10" borderId="16" xfId="2" applyFont="1" applyFill="1" applyBorder="1" applyAlignment="1">
      <alignment horizontal="right" readingOrder="1"/>
    </xf>
    <xf numFmtId="9" fontId="9" fillId="10" borderId="0" xfId="2" applyFont="1" applyFill="1" applyBorder="1" applyAlignment="1">
      <alignment horizontal="right" readingOrder="1"/>
    </xf>
    <xf numFmtId="9" fontId="9" fillId="10" borderId="21" xfId="2" applyFont="1" applyFill="1" applyBorder="1" applyAlignment="1">
      <alignment horizontal="right" readingOrder="1"/>
    </xf>
    <xf numFmtId="164" fontId="9" fillId="14" borderId="16" xfId="0" applyNumberFormat="1" applyFont="1" applyFill="1" applyBorder="1" applyAlignment="1">
      <alignment horizontal="right" readingOrder="1"/>
    </xf>
    <xf numFmtId="9" fontId="5" fillId="5" borderId="17" xfId="0" applyNumberFormat="1" applyFont="1" applyFill="1" applyBorder="1" applyAlignment="1"/>
    <xf numFmtId="164" fontId="9" fillId="14" borderId="0" xfId="0" applyNumberFormat="1" applyFont="1" applyFill="1" applyBorder="1" applyAlignment="1">
      <alignment horizontal="right" readingOrder="1"/>
    </xf>
    <xf numFmtId="9" fontId="5" fillId="5" borderId="19" xfId="0" applyNumberFormat="1" applyFont="1" applyFill="1" applyBorder="1" applyAlignment="1"/>
    <xf numFmtId="9" fontId="14" fillId="5" borderId="19" xfId="3" applyNumberFormat="1" applyFont="1" applyFill="1" applyBorder="1" applyAlignment="1"/>
    <xf numFmtId="0" fontId="14" fillId="5" borderId="0" xfId="3" applyFont="1" applyFill="1" applyBorder="1" applyAlignment="1">
      <alignment horizontal="right"/>
    </xf>
    <xf numFmtId="0" fontId="14" fillId="8" borderId="0" xfId="0" applyFont="1" applyFill="1" applyBorder="1" applyAlignment="1">
      <alignment horizontal="right"/>
    </xf>
    <xf numFmtId="9" fontId="14" fillId="8" borderId="19" xfId="0" applyNumberFormat="1" applyFont="1" applyFill="1" applyBorder="1" applyAlignment="1"/>
    <xf numFmtId="9" fontId="14" fillId="8" borderId="0" xfId="0" applyNumberFormat="1" applyFont="1" applyFill="1" applyBorder="1" applyAlignment="1"/>
    <xf numFmtId="9" fontId="14" fillId="5" borderId="0" xfId="3" applyNumberFormat="1" applyFont="1" applyFill="1" applyBorder="1" applyAlignment="1"/>
    <xf numFmtId="164" fontId="20" fillId="9" borderId="21" xfId="0" applyNumberFormat="1" applyFont="1" applyFill="1" applyBorder="1" applyAlignment="1">
      <alignment horizontal="right" readingOrder="1"/>
    </xf>
    <xf numFmtId="9" fontId="14" fillId="8" borderId="22" xfId="0" applyNumberFormat="1" applyFont="1" applyFill="1" applyBorder="1" applyAlignment="1"/>
    <xf numFmtId="0" fontId="14" fillId="12" borderId="0" xfId="0" applyFont="1" applyFill="1" applyBorder="1" applyAlignment="1">
      <alignment horizontal="right"/>
    </xf>
    <xf numFmtId="9" fontId="14" fillId="12" borderId="0" xfId="0" applyNumberFormat="1" applyFont="1" applyFill="1" applyBorder="1" applyAlignment="1"/>
    <xf numFmtId="9" fontId="14" fillId="12" borderId="19" xfId="0" applyNumberFormat="1" applyFont="1" applyFill="1" applyBorder="1" applyAlignment="1"/>
    <xf numFmtId="0" fontId="14" fillId="12" borderId="21" xfId="0" applyFont="1" applyFill="1" applyBorder="1" applyAlignment="1">
      <alignment horizontal="right"/>
    </xf>
    <xf numFmtId="9" fontId="14" fillId="12" borderId="22" xfId="0" applyNumberFormat="1" applyFont="1" applyFill="1" applyBorder="1" applyAlignment="1"/>
    <xf numFmtId="0" fontId="14" fillId="17" borderId="0" xfId="0" applyFont="1" applyFill="1" applyBorder="1" applyAlignment="1">
      <alignment horizontal="right"/>
    </xf>
    <xf numFmtId="9" fontId="14" fillId="17" borderId="0" xfId="0" applyNumberFormat="1" applyFont="1" applyFill="1" applyBorder="1" applyAlignment="1"/>
    <xf numFmtId="9" fontId="14" fillId="17" borderId="19" xfId="0" applyNumberFormat="1" applyFont="1" applyFill="1" applyBorder="1" applyAlignment="1"/>
    <xf numFmtId="0" fontId="14" fillId="17" borderId="21" xfId="0" applyFont="1" applyFill="1" applyBorder="1" applyAlignment="1">
      <alignment horizontal="right"/>
    </xf>
    <xf numFmtId="9" fontId="14" fillId="17" borderId="22" xfId="0" applyNumberFormat="1" applyFont="1" applyFill="1" applyBorder="1" applyAlignment="1"/>
    <xf numFmtId="0" fontId="3" fillId="0" borderId="0" xfId="3" applyFont="1"/>
    <xf numFmtId="0" fontId="11" fillId="0" borderId="0" xfId="3" applyFont="1" applyFill="1" applyBorder="1"/>
    <xf numFmtId="0" fontId="11" fillId="18" borderId="3" xfId="3" applyFont="1" applyFill="1" applyBorder="1"/>
    <xf numFmtId="0" fontId="11" fillId="18" borderId="5" xfId="3" applyFont="1" applyFill="1" applyBorder="1"/>
    <xf numFmtId="0" fontId="11" fillId="18" borderId="6" xfId="3" applyFont="1" applyFill="1" applyBorder="1"/>
    <xf numFmtId="0" fontId="11" fillId="18" borderId="7" xfId="3" applyFont="1" applyFill="1" applyBorder="1"/>
    <xf numFmtId="0" fontId="11" fillId="18" borderId="8" xfId="3" applyFont="1" applyFill="1" applyBorder="1"/>
    <xf numFmtId="0" fontId="11" fillId="18" borderId="10" xfId="3" applyFont="1" applyFill="1" applyBorder="1"/>
    <xf numFmtId="0" fontId="5" fillId="0" borderId="0" xfId="3" applyFont="1"/>
    <xf numFmtId="0" fontId="2" fillId="0" borderId="0" xfId="3" applyFont="1"/>
    <xf numFmtId="0" fontId="17" fillId="0" borderId="0" xfId="0" applyFont="1" applyFill="1" applyBorder="1"/>
    <xf numFmtId="169" fontId="9" fillId="7" borderId="16" xfId="4" applyNumberFormat="1" applyFont="1" applyFill="1" applyBorder="1" applyAlignment="1">
      <alignment horizontal="right" readingOrder="1"/>
    </xf>
    <xf numFmtId="169" fontId="9" fillId="9" borderId="0" xfId="4" applyNumberFormat="1" applyFont="1" applyFill="1" applyBorder="1" applyAlignment="1">
      <alignment horizontal="right" readingOrder="1"/>
    </xf>
    <xf numFmtId="169" fontId="9" fillId="9" borderId="21" xfId="4" applyNumberFormat="1" applyFont="1" applyFill="1" applyBorder="1" applyAlignment="1">
      <alignment horizontal="right" readingOrder="1"/>
    </xf>
    <xf numFmtId="0" fontId="1" fillId="0" borderId="0" xfId="3" applyFont="1"/>
    <xf numFmtId="43" fontId="14" fillId="5" borderId="0" xfId="3" applyNumberFormat="1" applyFont="1" applyFill="1" applyBorder="1" applyAlignment="1"/>
    <xf numFmtId="43" fontId="17" fillId="5" borderId="0" xfId="4" applyFont="1" applyFill="1" applyBorder="1" applyAlignment="1">
      <alignment horizontal="right"/>
    </xf>
    <xf numFmtId="164" fontId="9" fillId="14" borderId="0" xfId="0" applyNumberFormat="1" applyFont="1" applyFill="1" applyBorder="1" applyAlignment="1">
      <alignment horizontal="left" readingOrder="1"/>
    </xf>
    <xf numFmtId="0" fontId="17" fillId="5" borderId="0" xfId="3" applyFont="1" applyFill="1" applyBorder="1" applyAlignment="1">
      <alignment horizontal="left"/>
    </xf>
    <xf numFmtId="0" fontId="9" fillId="14" borderId="18" xfId="0" applyNumberFormat="1" applyFont="1" applyFill="1" applyBorder="1" applyAlignment="1">
      <alignment readingOrder="1"/>
    </xf>
    <xf numFmtId="0" fontId="11" fillId="5" borderId="24" xfId="0" applyFont="1" applyFill="1" applyBorder="1" applyAlignment="1"/>
    <xf numFmtId="164" fontId="9" fillId="16" borderId="11" xfId="0" applyNumberFormat="1" applyFont="1" applyFill="1" applyBorder="1" applyAlignment="1">
      <alignment horizontal="right" readingOrder="1"/>
    </xf>
    <xf numFmtId="169" fontId="13" fillId="9" borderId="11" xfId="4" applyNumberFormat="1" applyFont="1" applyFill="1" applyBorder="1" applyAlignment="1">
      <alignment horizontal="right" readingOrder="1"/>
    </xf>
    <xf numFmtId="164" fontId="13" fillId="7" borderId="11" xfId="0" applyNumberFormat="1" applyFont="1" applyFill="1" applyBorder="1" applyAlignment="1">
      <alignment horizontal="right" readingOrder="1"/>
    </xf>
    <xf numFmtId="164" fontId="13" fillId="13" borderId="11" xfId="0" applyNumberFormat="1" applyFont="1" applyFill="1" applyBorder="1" applyAlignment="1">
      <alignment horizontal="right" readingOrder="1"/>
    </xf>
    <xf numFmtId="43" fontId="21" fillId="5" borderId="11" xfId="4" applyFont="1" applyFill="1" applyBorder="1" applyAlignment="1"/>
    <xf numFmtId="164" fontId="13" fillId="16" borderId="11" xfId="0" applyNumberFormat="1" applyFont="1" applyFill="1" applyBorder="1" applyAlignment="1">
      <alignment horizontal="right" readingOrder="1"/>
    </xf>
    <xf numFmtId="164" fontId="9" fillId="7" borderId="15" xfId="0" applyNumberFormat="1" applyFont="1" applyFill="1" applyBorder="1" applyAlignment="1">
      <alignment horizontal="right" readingOrder="1"/>
    </xf>
    <xf numFmtId="0" fontId="5" fillId="8" borderId="17" xfId="0" applyFont="1" applyFill="1" applyBorder="1" applyAlignment="1"/>
    <xf numFmtId="164" fontId="9" fillId="9" borderId="18" xfId="0" applyNumberFormat="1" applyFont="1" applyFill="1" applyBorder="1" applyAlignment="1">
      <alignment horizontal="right" readingOrder="1"/>
    </xf>
    <xf numFmtId="164" fontId="9" fillId="7" borderId="18" xfId="0" applyNumberFormat="1" applyFont="1" applyFill="1" applyBorder="1" applyAlignment="1">
      <alignment horizontal="right" readingOrder="1"/>
    </xf>
    <xf numFmtId="164" fontId="13" fillId="9" borderId="18" xfId="0" applyNumberFormat="1" applyFont="1" applyFill="1" applyBorder="1" applyAlignment="1">
      <alignment horizontal="right" readingOrder="1"/>
    </xf>
    <xf numFmtId="164" fontId="13" fillId="9" borderId="20" xfId="0" applyNumberFormat="1" applyFont="1" applyFill="1" applyBorder="1" applyAlignment="1">
      <alignment horizontal="right" readingOrder="1"/>
    </xf>
    <xf numFmtId="0" fontId="5" fillId="8" borderId="22" xfId="0" applyFont="1" applyFill="1" applyBorder="1" applyAlignment="1"/>
    <xf numFmtId="0" fontId="14" fillId="5" borderId="15" xfId="3" applyFont="1" applyFill="1" applyBorder="1" applyAlignment="1"/>
    <xf numFmtId="0" fontId="14" fillId="5" borderId="17" xfId="3" applyFont="1" applyFill="1" applyBorder="1" applyAlignment="1"/>
    <xf numFmtId="43" fontId="17" fillId="5" borderId="18" xfId="4" applyFont="1" applyFill="1" applyBorder="1" applyAlignment="1"/>
    <xf numFmtId="43" fontId="14" fillId="5" borderId="21" xfId="3" applyNumberFormat="1" applyFont="1" applyFill="1" applyBorder="1" applyAlignment="1"/>
    <xf numFmtId="164" fontId="13" fillId="14" borderId="18" xfId="0" applyNumberFormat="1" applyFont="1" applyFill="1" applyBorder="1" applyAlignment="1">
      <alignment horizontal="right" readingOrder="1"/>
    </xf>
    <xf numFmtId="169" fontId="13" fillId="14" borderId="11" xfId="4" applyNumberFormat="1" applyFont="1" applyFill="1" applyBorder="1" applyAlignment="1">
      <alignment horizontal="right" readingOrder="1"/>
    </xf>
    <xf numFmtId="164" fontId="13" fillId="14" borderId="20" xfId="0" applyNumberFormat="1" applyFont="1" applyFill="1" applyBorder="1" applyAlignment="1">
      <alignment horizontal="right" readingOrder="1"/>
    </xf>
    <xf numFmtId="169" fontId="9" fillId="14" borderId="21" xfId="4" applyNumberFormat="1" applyFont="1" applyFill="1" applyBorder="1" applyAlignment="1">
      <alignment horizontal="right" readingOrder="1"/>
    </xf>
    <xf numFmtId="164" fontId="13" fillId="7" borderId="18" xfId="0" applyNumberFormat="1" applyFont="1" applyFill="1" applyBorder="1" applyAlignment="1">
      <alignment horizontal="right" readingOrder="1"/>
    </xf>
    <xf numFmtId="164" fontId="13" fillId="7" borderId="20" xfId="0" applyNumberFormat="1" applyFont="1" applyFill="1" applyBorder="1" applyAlignment="1">
      <alignment horizontal="right" readingOrder="1"/>
    </xf>
    <xf numFmtId="164" fontId="9" fillId="11" borderId="15" xfId="0" applyNumberFormat="1" applyFont="1" applyFill="1" applyBorder="1" applyAlignment="1">
      <alignment horizontal="right" readingOrder="1"/>
    </xf>
    <xf numFmtId="0" fontId="5" fillId="12" borderId="17" xfId="0" applyFont="1" applyFill="1" applyBorder="1" applyAlignment="1"/>
    <xf numFmtId="164" fontId="9" fillId="11" borderId="18" xfId="0" applyNumberFormat="1" applyFont="1" applyFill="1" applyBorder="1" applyAlignment="1">
      <alignment horizontal="right" readingOrder="1"/>
    </xf>
    <xf numFmtId="164" fontId="9" fillId="13" borderId="18" xfId="0" applyNumberFormat="1" applyFont="1" applyFill="1" applyBorder="1" applyAlignment="1">
      <alignment horizontal="right" readingOrder="1"/>
    </xf>
    <xf numFmtId="164" fontId="13" fillId="13" borderId="18" xfId="0" applyNumberFormat="1" applyFont="1" applyFill="1" applyBorder="1" applyAlignment="1">
      <alignment horizontal="right" readingOrder="1"/>
    </xf>
    <xf numFmtId="164" fontId="13" fillId="13" borderId="20" xfId="0" applyNumberFormat="1" applyFont="1" applyFill="1" applyBorder="1" applyAlignment="1">
      <alignment horizontal="right" readingOrder="1"/>
    </xf>
    <xf numFmtId="0" fontId="9" fillId="10" borderId="16" xfId="0" applyFont="1" applyFill="1" applyBorder="1" applyAlignment="1">
      <alignment horizontal="right" readingOrder="1"/>
    </xf>
    <xf numFmtId="0" fontId="9" fillId="10" borderId="0" xfId="0" applyFont="1" applyFill="1" applyBorder="1" applyAlignment="1">
      <alignment horizontal="right" readingOrder="1"/>
    </xf>
    <xf numFmtId="0" fontId="9" fillId="10" borderId="21" xfId="0" applyFont="1" applyFill="1" applyBorder="1" applyAlignment="1">
      <alignment horizontal="right" readingOrder="1"/>
    </xf>
    <xf numFmtId="164" fontId="9" fillId="14" borderId="18" xfId="0" applyNumberFormat="1" applyFont="1" applyFill="1" applyBorder="1" applyAlignment="1">
      <alignment horizontal="right" readingOrder="1"/>
    </xf>
    <xf numFmtId="43" fontId="17" fillId="5" borderId="18" xfId="4" applyFont="1" applyFill="1" applyBorder="1" applyAlignment="1">
      <alignment horizontal="right"/>
    </xf>
    <xf numFmtId="43" fontId="21" fillId="5" borderId="18" xfId="4" applyFont="1" applyFill="1" applyBorder="1" applyAlignment="1">
      <alignment horizontal="right"/>
    </xf>
    <xf numFmtId="0" fontId="17" fillId="12" borderId="0" xfId="0" applyFont="1" applyFill="1" applyBorder="1" applyAlignment="1"/>
    <xf numFmtId="0" fontId="17" fillId="12" borderId="21" xfId="0" applyFont="1" applyFill="1" applyBorder="1" applyAlignment="1"/>
    <xf numFmtId="0" fontId="5" fillId="12" borderId="19" xfId="0" applyFont="1" applyFill="1" applyBorder="1"/>
    <xf numFmtId="0" fontId="5" fillId="12" borderId="21" xfId="0" applyFont="1" applyFill="1" applyBorder="1"/>
    <xf numFmtId="0" fontId="5" fillId="12" borderId="22" xfId="0" applyFont="1" applyFill="1" applyBorder="1"/>
    <xf numFmtId="164" fontId="9" fillId="16" borderId="15" xfId="0" applyNumberFormat="1" applyFont="1" applyFill="1" applyBorder="1" applyAlignment="1">
      <alignment horizontal="right" readingOrder="1"/>
    </xf>
    <xf numFmtId="0" fontId="5" fillId="17" borderId="17" xfId="0" applyFont="1" applyFill="1" applyBorder="1" applyAlignment="1"/>
    <xf numFmtId="164" fontId="9" fillId="16" borderId="18" xfId="0" applyNumberFormat="1" applyFont="1" applyFill="1" applyBorder="1" applyAlignment="1">
      <alignment horizontal="right" readingOrder="1"/>
    </xf>
    <xf numFmtId="164" fontId="13" fillId="16" borderId="18" xfId="0" applyNumberFormat="1" applyFont="1" applyFill="1" applyBorder="1" applyAlignment="1">
      <alignment horizontal="right" readingOrder="1"/>
    </xf>
    <xf numFmtId="164" fontId="13" fillId="16" borderId="20" xfId="0" applyNumberFormat="1" applyFont="1" applyFill="1" applyBorder="1" applyAlignment="1">
      <alignment horizontal="right" readingOrder="1"/>
    </xf>
    <xf numFmtId="0" fontId="17" fillId="17" borderId="21" xfId="0" applyFont="1" applyFill="1" applyBorder="1" applyAlignment="1"/>
    <xf numFmtId="0" fontId="5" fillId="17" borderId="22" xfId="0" applyFont="1" applyFill="1" applyBorder="1" applyAlignment="1"/>
    <xf numFmtId="168" fontId="14" fillId="8" borderId="19" xfId="4" applyNumberFormat="1" applyFont="1" applyFill="1" applyBorder="1" applyAlignment="1"/>
    <xf numFmtId="168" fontId="14" fillId="12" borderId="19" xfId="4" applyNumberFormat="1" applyFont="1" applyFill="1" applyBorder="1" applyAlignment="1"/>
    <xf numFmtId="0" fontId="22" fillId="0" borderId="0" xfId="0" applyFont="1"/>
    <xf numFmtId="0" fontId="26" fillId="0" borderId="1" xfId="0" applyFont="1" applyBorder="1" applyAlignment="1">
      <alignment vertical="top" wrapText="1" readingOrder="1"/>
    </xf>
    <xf numFmtId="0" fontId="26" fillId="0" borderId="1" xfId="0" applyFont="1" applyBorder="1" applyAlignment="1">
      <alignment horizontal="center" vertical="top" wrapText="1" readingOrder="1"/>
    </xf>
    <xf numFmtId="0" fontId="26" fillId="0" borderId="1" xfId="0" applyFont="1" applyBorder="1" applyAlignment="1">
      <alignment horizontal="center" vertical="top" wrapText="1" readingOrder="1"/>
    </xf>
    <xf numFmtId="0" fontId="28" fillId="0" borderId="0" xfId="0" applyFont="1" applyAlignment="1">
      <alignment vertical="top" wrapText="1" readingOrder="1"/>
    </xf>
    <xf numFmtId="0" fontId="29" fillId="0" borderId="0" xfId="0" applyFont="1" applyAlignment="1">
      <alignment horizontal="center" vertical="top" wrapText="1" readingOrder="1"/>
    </xf>
    <xf numFmtId="0" fontId="26" fillId="2" borderId="0" xfId="0" applyFont="1" applyFill="1" applyAlignment="1">
      <alignment vertical="top" wrapText="1" readingOrder="1"/>
    </xf>
    <xf numFmtId="0" fontId="30" fillId="2" borderId="0" xfId="0" applyFont="1" applyFill="1" applyAlignment="1">
      <alignment vertical="top" wrapText="1" readingOrder="1"/>
    </xf>
    <xf numFmtId="0" fontId="30" fillId="2" borderId="0" xfId="0" applyFont="1" applyFill="1" applyAlignment="1">
      <alignment vertical="top" wrapText="1" readingOrder="1"/>
    </xf>
    <xf numFmtId="164" fontId="30" fillId="2" borderId="0" xfId="0" applyNumberFormat="1" applyFont="1" applyFill="1" applyAlignment="1">
      <alignment horizontal="right" vertical="top" wrapText="1" readingOrder="1"/>
    </xf>
    <xf numFmtId="165" fontId="30" fillId="2" borderId="0" xfId="0" applyNumberFormat="1" applyFont="1" applyFill="1" applyAlignment="1">
      <alignment horizontal="right" vertical="top" wrapText="1" readingOrder="1"/>
    </xf>
    <xf numFmtId="166" fontId="30" fillId="2" borderId="0" xfId="0" applyNumberFormat="1" applyFont="1" applyFill="1" applyAlignment="1">
      <alignment horizontal="right" vertical="top" wrapText="1" readingOrder="1"/>
    </xf>
    <xf numFmtId="0" fontId="26" fillId="3" borderId="0" xfId="0" applyFont="1" applyFill="1" applyAlignment="1">
      <alignment vertical="top" wrapText="1" readingOrder="1"/>
    </xf>
    <xf numFmtId="0" fontId="30" fillId="3" borderId="0" xfId="0" applyFont="1" applyFill="1" applyAlignment="1">
      <alignment vertical="top" wrapText="1" readingOrder="1"/>
    </xf>
    <xf numFmtId="0" fontId="30" fillId="3" borderId="0" xfId="0" applyFont="1" applyFill="1" applyAlignment="1">
      <alignment vertical="top" wrapText="1" readingOrder="1"/>
    </xf>
    <xf numFmtId="164" fontId="30" fillId="3" borderId="0" xfId="0" applyNumberFormat="1" applyFont="1" applyFill="1" applyAlignment="1">
      <alignment horizontal="right" vertical="top" wrapText="1" readingOrder="1"/>
    </xf>
    <xf numFmtId="165" fontId="30" fillId="3" borderId="0" xfId="0" applyNumberFormat="1" applyFont="1" applyFill="1" applyAlignment="1">
      <alignment horizontal="right" vertical="top" wrapText="1" readingOrder="1"/>
    </xf>
    <xf numFmtId="166" fontId="30" fillId="3" borderId="0" xfId="0" applyNumberFormat="1" applyFont="1" applyFill="1" applyAlignment="1">
      <alignment horizontal="right" vertical="top" wrapText="1" readingOrder="1"/>
    </xf>
    <xf numFmtId="0" fontId="26" fillId="0" borderId="1" xfId="0" applyFont="1" applyBorder="1" applyAlignment="1">
      <alignment vertical="top" wrapText="1" readingOrder="1"/>
    </xf>
    <xf numFmtId="164" fontId="30" fillId="2" borderId="1" xfId="0" applyNumberFormat="1" applyFont="1" applyFill="1" applyBorder="1" applyAlignment="1">
      <alignment horizontal="right" vertical="top" wrapText="1" readingOrder="1"/>
    </xf>
    <xf numFmtId="165" fontId="30" fillId="2" borderId="1" xfId="0" applyNumberFormat="1" applyFont="1" applyFill="1" applyBorder="1" applyAlignment="1">
      <alignment horizontal="right" vertical="top" wrapText="1" readingOrder="1"/>
    </xf>
    <xf numFmtId="166" fontId="30" fillId="2" borderId="1" xfId="0" applyNumberFormat="1" applyFont="1" applyFill="1" applyBorder="1" applyAlignment="1">
      <alignment horizontal="right" vertical="top" wrapText="1" readingOrder="1"/>
    </xf>
    <xf numFmtId="0" fontId="28" fillId="0" borderId="1" xfId="0" applyFont="1" applyBorder="1" applyAlignment="1">
      <alignment vertical="top" wrapText="1" readingOrder="1"/>
    </xf>
    <xf numFmtId="0" fontId="28" fillId="2" borderId="1" xfId="0" applyFont="1" applyFill="1" applyBorder="1" applyAlignment="1">
      <alignment vertical="top" wrapText="1" readingOrder="1"/>
    </xf>
    <xf numFmtId="166" fontId="30" fillId="2" borderId="1" xfId="0" applyNumberFormat="1" applyFont="1" applyFill="1" applyBorder="1" applyAlignment="1">
      <alignment vertical="top" wrapText="1" readingOrder="1"/>
    </xf>
    <xf numFmtId="0" fontId="0" fillId="0" borderId="12" xfId="0" applyBorder="1"/>
    <xf numFmtId="0" fontId="0" fillId="0" borderId="13" xfId="0" applyBorder="1"/>
    <xf numFmtId="0" fontId="0" fillId="4" borderId="13" xfId="1" applyNumberFormat="1" applyFont="1" applyFill="1" applyBorder="1" applyAlignment="1">
      <alignment horizontal="left"/>
    </xf>
    <xf numFmtId="0" fontId="0" fillId="0" borderId="14" xfId="0" applyBorder="1"/>
    <xf numFmtId="4" fontId="11" fillId="0" borderId="0" xfId="0" applyNumberFormat="1" applyFont="1"/>
    <xf numFmtId="3" fontId="11" fillId="0" borderId="11" xfId="0" applyNumberFormat="1" applyFont="1" applyBorder="1" applyAlignment="1">
      <alignment horizontal="center"/>
    </xf>
    <xf numFmtId="0" fontId="0" fillId="0" borderId="9" xfId="0" applyBorder="1"/>
    <xf numFmtId="3" fontId="0" fillId="0" borderId="0" xfId="0" applyNumberFormat="1"/>
    <xf numFmtId="9" fontId="5" fillId="0" borderId="0" xfId="2" applyFont="1"/>
    <xf numFmtId="0" fontId="9" fillId="0" borderId="0" xfId="0" applyNumberFormat="1" applyFont="1" applyFill="1" applyBorder="1" applyAlignment="1">
      <alignment readingOrder="1"/>
    </xf>
    <xf numFmtId="164" fontId="9" fillId="0" borderId="0" xfId="0" applyNumberFormat="1" applyFont="1" applyFill="1" applyBorder="1" applyAlignment="1">
      <alignment horizontal="right" readingOrder="1"/>
    </xf>
    <xf numFmtId="169" fontId="9" fillId="0" borderId="0" xfId="4" applyNumberFormat="1" applyFont="1" applyFill="1" applyBorder="1" applyAlignment="1">
      <alignment horizontal="right" readingOrder="1"/>
    </xf>
    <xf numFmtId="164" fontId="20" fillId="0" borderId="0" xfId="0" applyNumberFormat="1" applyFont="1" applyFill="1" applyBorder="1" applyAlignment="1">
      <alignment horizontal="right" readingOrder="1"/>
    </xf>
    <xf numFmtId="9" fontId="14" fillId="0" borderId="0" xfId="0" applyNumberFormat="1" applyFont="1" applyFill="1" applyBorder="1" applyAlignment="1"/>
    <xf numFmtId="0" fontId="14" fillId="5" borderId="26" xfId="3" applyFont="1" applyFill="1" applyBorder="1" applyAlignment="1"/>
    <xf numFmtId="43" fontId="17" fillId="5" borderId="11" xfId="4" applyFont="1" applyFill="1" applyBorder="1" applyAlignment="1"/>
    <xf numFmtId="0" fontId="7" fillId="2" borderId="0" xfId="3" applyFont="1" applyFill="1" applyAlignment="1">
      <alignment vertical="top" wrapText="1" readingOrder="1"/>
    </xf>
    <xf numFmtId="0" fontId="5" fillId="0" borderId="0" xfId="3" applyFont="1"/>
    <xf numFmtId="0" fontId="22" fillId="0" borderId="0" xfId="0" applyFont="1"/>
    <xf numFmtId="0" fontId="23" fillId="0" borderId="0" xfId="0" applyFont="1" applyAlignment="1">
      <alignment horizontal="center" vertical="top" wrapText="1" readingOrder="1"/>
    </xf>
    <xf numFmtId="0" fontId="24" fillId="0" borderId="0" xfId="0" applyFont="1" applyAlignment="1">
      <alignment horizontal="center" vertical="top" wrapText="1" readingOrder="1"/>
    </xf>
    <xf numFmtId="0" fontId="25" fillId="0" borderId="2" xfId="0" applyFont="1" applyBorder="1" applyAlignment="1">
      <alignment horizontal="center" vertical="top" wrapText="1" readingOrder="1"/>
    </xf>
    <xf numFmtId="0" fontId="26" fillId="0" borderId="1" xfId="0" applyFont="1" applyBorder="1" applyAlignment="1">
      <alignment horizontal="center" vertical="top" wrapText="1" readingOrder="1"/>
    </xf>
    <xf numFmtId="0" fontId="27" fillId="0" borderId="25" xfId="0" applyFont="1" applyBorder="1" applyAlignment="1">
      <alignment vertical="top" wrapText="1" readingOrder="1"/>
    </xf>
    <xf numFmtId="0" fontId="30" fillId="2" borderId="0" xfId="0" applyFont="1" applyFill="1" applyAlignment="1">
      <alignment vertical="top" wrapText="1" readingOrder="1"/>
    </xf>
    <xf numFmtId="0" fontId="30" fillId="3" borderId="0" xfId="0" applyFont="1" applyFill="1" applyAlignment="1">
      <alignment vertical="top" wrapText="1" readingOrder="1"/>
    </xf>
    <xf numFmtId="0" fontId="30" fillId="2" borderId="2" xfId="0" applyFont="1" applyFill="1" applyBorder="1" applyAlignment="1">
      <alignment vertical="top" wrapText="1" readingOrder="1"/>
    </xf>
    <xf numFmtId="0" fontId="26" fillId="0" borderId="1" xfId="0" applyFont="1" applyBorder="1" applyAlignment="1">
      <alignment vertical="top" wrapText="1" readingOrder="1"/>
    </xf>
    <xf numFmtId="0" fontId="26" fillId="2" borderId="25" xfId="0" applyFont="1" applyFill="1" applyBorder="1" applyAlignment="1">
      <alignment vertical="top" wrapText="1" readingOrder="1"/>
    </xf>
    <xf numFmtId="0" fontId="22" fillId="0" borderId="1" xfId="0" applyFont="1" applyBorder="1" applyAlignment="1">
      <alignment vertical="top" wrapText="1"/>
    </xf>
    <xf numFmtId="0" fontId="26" fillId="2" borderId="0" xfId="0" applyFont="1" applyFill="1" applyAlignment="1">
      <alignment vertical="top" wrapText="1" readingOrder="1"/>
    </xf>
    <xf numFmtId="0" fontId="27" fillId="0" borderId="0" xfId="0" applyFont="1" applyAlignment="1">
      <alignment vertical="top" wrapText="1" readingOrder="1"/>
    </xf>
    <xf numFmtId="0" fontId="25" fillId="0" borderId="0" xfId="0" applyFont="1" applyAlignment="1">
      <alignment horizontal="center" vertical="top" wrapText="1" readingOrder="1"/>
    </xf>
    <xf numFmtId="0" fontId="17" fillId="5" borderId="15" xfId="3" applyFont="1" applyFill="1" applyBorder="1" applyAlignment="1"/>
    <xf numFmtId="0" fontId="31" fillId="0" borderId="0" xfId="0" applyFont="1"/>
    <xf numFmtId="0" fontId="17" fillId="5" borderId="16" xfId="3" applyFont="1" applyFill="1" applyBorder="1" applyAlignment="1"/>
    <xf numFmtId="164" fontId="16" fillId="7" borderId="0" xfId="0" applyNumberFormat="1" applyFont="1" applyFill="1" applyBorder="1" applyAlignment="1">
      <alignment horizontal="right" readingOrder="1"/>
    </xf>
    <xf numFmtId="164" fontId="16" fillId="11" borderId="0" xfId="0" applyNumberFormat="1" applyFont="1" applyFill="1" applyBorder="1" applyAlignment="1">
      <alignment horizontal="right" readingOrder="1"/>
    </xf>
    <xf numFmtId="43" fontId="17" fillId="12" borderId="27" xfId="4" applyFont="1" applyFill="1" applyBorder="1" applyAlignment="1"/>
  </cellXfs>
  <cellStyles count="5">
    <cellStyle name="Comma" xfId="4" builtinId="3"/>
    <cellStyle name="Currency" xfId="1" builtinId="4"/>
    <cellStyle name="Normal" xfId="0" builtinId="0"/>
    <cellStyle name="Normal 2" xfId="3" xr:uid="{BE5D03CD-B7CA-4893-A8BB-257C3F7840C3}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8F6F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4EC4FE-687E-4060-95D9-94A5288F4C0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194050" cy="7239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67081A-BE9F-46DC-8033-7E6CAE2A71B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82950" cy="7239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507360-E826-46E8-B155-7F3BEBBCF03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82950" cy="723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BD10CB-74FF-43B0-97C0-4F012448446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82950" cy="7239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4C9D05-02E0-405B-BBF1-65332DF14FB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8295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A3DC-AA90-4CEC-A033-FA5C93B936A1}">
  <dimension ref="A1:V34"/>
  <sheetViews>
    <sheetView showGridLines="0" tabSelected="1" zoomScale="90" zoomScaleNormal="90" workbookViewId="0">
      <pane ySplit="1" topLeftCell="A6" activePane="bottomLeft" state="frozen"/>
      <selection pane="bottomLeft" activeCell="B16" sqref="B16"/>
    </sheetView>
  </sheetViews>
  <sheetFormatPr defaultColWidth="9.1796875" defaultRowHeight="14.5" x14ac:dyDescent="0.35"/>
  <cols>
    <col min="1" max="1" width="1.453125" style="2" customWidth="1"/>
    <col min="2" max="2" width="27.453125" style="2" customWidth="1"/>
    <col min="3" max="3" width="19.1796875" style="2" customWidth="1"/>
    <col min="4" max="4" width="14.26953125" style="2" bestFit="1" customWidth="1"/>
    <col min="5" max="5" width="6.81640625" style="2" customWidth="1"/>
    <col min="6" max="6" width="11" style="2" customWidth="1"/>
    <col min="7" max="8" width="8.81640625" style="2" customWidth="1"/>
    <col min="9" max="9" width="11.7265625" style="2" customWidth="1"/>
    <col min="10" max="10" width="8.81640625" style="2" customWidth="1"/>
    <col min="11" max="12" width="11" style="2" customWidth="1"/>
    <col min="13" max="14" width="7.54296875" style="2" customWidth="1"/>
    <col min="15" max="16" width="8.26953125" style="2" customWidth="1"/>
    <col min="17" max="17" width="11" style="2" customWidth="1"/>
    <col min="18" max="19" width="8.26953125" style="2" customWidth="1"/>
    <col min="20" max="22" width="6.81640625" style="2" customWidth="1"/>
    <col min="23" max="23" width="8.26953125" style="2" customWidth="1"/>
    <col min="24" max="16384" width="9.1796875" style="2"/>
  </cols>
  <sheetData>
    <row r="1" spans="1:22" ht="57.65" customHeight="1" x14ac:dyDescent="0.35">
      <c r="A1" s="333"/>
      <c r="B1" s="333"/>
      <c r="C1" s="333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</row>
    <row r="2" spans="1:22" ht="13" customHeight="1" x14ac:dyDescent="0.35">
      <c r="A2" s="334" t="s">
        <v>58</v>
      </c>
      <c r="B2" s="334"/>
      <c r="C2" s="334"/>
      <c r="D2" s="334"/>
      <c r="E2" s="334"/>
      <c r="F2" s="334"/>
      <c r="G2" s="334"/>
      <c r="H2" s="334"/>
      <c r="I2" s="334"/>
      <c r="J2" s="334"/>
      <c r="K2" s="334"/>
      <c r="L2" s="334"/>
      <c r="M2" s="334"/>
      <c r="N2" s="334"/>
      <c r="O2" s="334"/>
      <c r="P2" s="334"/>
      <c r="Q2" s="334"/>
      <c r="R2" s="334"/>
      <c r="S2" s="334"/>
      <c r="T2" s="334"/>
      <c r="U2" s="334"/>
      <c r="V2" s="334"/>
    </row>
    <row r="3" spans="1:22" ht="14.5" customHeight="1" x14ac:dyDescent="0.35">
      <c r="A3" s="335" t="s">
        <v>1</v>
      </c>
      <c r="B3" s="335"/>
      <c r="C3" s="335"/>
      <c r="D3" s="335"/>
      <c r="E3" s="335"/>
      <c r="F3" s="335"/>
      <c r="G3" s="335"/>
      <c r="H3" s="335"/>
      <c r="I3" s="335"/>
      <c r="J3" s="335"/>
      <c r="K3" s="335"/>
      <c r="L3" s="335"/>
      <c r="M3" s="335"/>
      <c r="N3" s="335"/>
      <c r="O3" s="335"/>
      <c r="P3" s="335"/>
      <c r="Q3" s="335"/>
      <c r="R3" s="335"/>
      <c r="S3" s="335"/>
      <c r="T3" s="335"/>
      <c r="U3" s="335"/>
      <c r="V3" s="335"/>
    </row>
    <row r="4" spans="1:22" ht="12.25" customHeight="1" x14ac:dyDescent="0.35">
      <c r="A4" s="336" t="s">
        <v>222</v>
      </c>
      <c r="B4" s="336"/>
      <c r="C4" s="336"/>
      <c r="D4" s="336"/>
      <c r="E4" s="336"/>
      <c r="F4" s="336"/>
      <c r="G4" s="336"/>
      <c r="H4" s="336"/>
      <c r="I4" s="336"/>
      <c r="J4" s="336"/>
      <c r="K4" s="336"/>
      <c r="L4" s="336"/>
      <c r="M4" s="336"/>
      <c r="N4" s="336"/>
      <c r="O4" s="336"/>
      <c r="P4" s="336"/>
      <c r="Q4" s="336"/>
      <c r="R4" s="336"/>
      <c r="S4" s="336"/>
      <c r="T4" s="336"/>
      <c r="U4" s="336"/>
      <c r="V4" s="336"/>
    </row>
    <row r="5" spans="1:22" ht="29" customHeight="1" x14ac:dyDescent="0.35">
      <c r="A5" s="291" t="s">
        <v>2</v>
      </c>
      <c r="B5" s="292" t="s">
        <v>3</v>
      </c>
      <c r="C5" s="337" t="s">
        <v>4</v>
      </c>
      <c r="D5" s="337"/>
      <c r="E5" s="292" t="s">
        <v>5</v>
      </c>
      <c r="F5" s="292" t="s">
        <v>6</v>
      </c>
      <c r="G5" s="292" t="s">
        <v>7</v>
      </c>
      <c r="H5" s="292" t="s">
        <v>8</v>
      </c>
      <c r="I5" s="292" t="s">
        <v>9</v>
      </c>
      <c r="J5" s="292" t="s">
        <v>10</v>
      </c>
      <c r="K5" s="292" t="s">
        <v>11</v>
      </c>
      <c r="L5" s="292" t="s">
        <v>12</v>
      </c>
      <c r="M5" s="292" t="s">
        <v>13</v>
      </c>
      <c r="N5" s="292" t="s">
        <v>14</v>
      </c>
      <c r="O5" s="292" t="s">
        <v>15</v>
      </c>
      <c r="P5" s="292" t="s">
        <v>16</v>
      </c>
      <c r="Q5" s="292" t="s">
        <v>17</v>
      </c>
      <c r="R5" s="292" t="s">
        <v>18</v>
      </c>
      <c r="S5" s="292" t="s">
        <v>19</v>
      </c>
      <c r="T5" s="292" t="s">
        <v>20</v>
      </c>
      <c r="U5" s="292" t="s">
        <v>21</v>
      </c>
      <c r="V5" s="292" t="s">
        <v>22</v>
      </c>
    </row>
    <row r="6" spans="1:22" ht="14.5" customHeight="1" x14ac:dyDescent="0.35">
      <c r="A6" s="338" t="s">
        <v>59</v>
      </c>
      <c r="B6" s="338"/>
      <c r="C6" s="338"/>
      <c r="D6" s="338"/>
      <c r="E6" s="338"/>
      <c r="F6" s="294" t="s">
        <v>2</v>
      </c>
      <c r="G6" s="294" t="s">
        <v>2</v>
      </c>
      <c r="H6" s="294" t="s">
        <v>2</v>
      </c>
      <c r="I6" s="294" t="s">
        <v>2</v>
      </c>
      <c r="J6" s="294" t="s">
        <v>2</v>
      </c>
      <c r="K6" s="295" t="s">
        <v>2</v>
      </c>
      <c r="L6" s="294" t="s">
        <v>2</v>
      </c>
      <c r="M6" s="295" t="s">
        <v>2</v>
      </c>
      <c r="N6" s="294" t="s">
        <v>2</v>
      </c>
      <c r="O6" s="294" t="s">
        <v>2</v>
      </c>
      <c r="P6" s="294" t="s">
        <v>2</v>
      </c>
      <c r="Q6" s="294" t="s">
        <v>2</v>
      </c>
      <c r="R6" s="294" t="s">
        <v>2</v>
      </c>
      <c r="S6" s="294" t="s">
        <v>2</v>
      </c>
      <c r="T6" s="294" t="s">
        <v>2</v>
      </c>
      <c r="U6" s="294" t="s">
        <v>2</v>
      </c>
      <c r="V6" s="294" t="s">
        <v>2</v>
      </c>
    </row>
    <row r="7" spans="1:22" ht="14.5" customHeight="1" x14ac:dyDescent="0.35">
      <c r="A7" s="296" t="s">
        <v>2</v>
      </c>
      <c r="B7" s="297" t="s">
        <v>60</v>
      </c>
      <c r="C7" s="339" t="s">
        <v>60</v>
      </c>
      <c r="D7" s="339"/>
      <c r="E7" s="297" t="s">
        <v>25</v>
      </c>
      <c r="F7" s="299">
        <v>25394.793000000001</v>
      </c>
      <c r="G7" s="300">
        <v>0</v>
      </c>
      <c r="H7" s="300">
        <v>0</v>
      </c>
      <c r="I7" s="300">
        <v>0</v>
      </c>
      <c r="J7" s="300">
        <v>0</v>
      </c>
      <c r="K7" s="299">
        <v>25394.793000000001</v>
      </c>
      <c r="L7" s="299">
        <v>23.78</v>
      </c>
      <c r="M7" s="299">
        <v>-4.13</v>
      </c>
      <c r="N7" s="299">
        <v>2.58</v>
      </c>
      <c r="O7" s="300">
        <v>0</v>
      </c>
      <c r="P7" s="300">
        <v>0</v>
      </c>
      <c r="Q7" s="299">
        <v>25417.023000000001</v>
      </c>
      <c r="R7" s="301">
        <v>0</v>
      </c>
      <c r="S7" s="300">
        <v>0</v>
      </c>
      <c r="T7" s="301">
        <v>9.3641243699052801E-2</v>
      </c>
      <c r="U7" s="301">
        <v>7.7378067228191197E-2</v>
      </c>
      <c r="V7" s="301">
        <v>8.7537630253572099E-2</v>
      </c>
    </row>
    <row r="8" spans="1:22" x14ac:dyDescent="0.35">
      <c r="A8" s="302" t="s">
        <v>2</v>
      </c>
      <c r="B8" s="303" t="s">
        <v>31</v>
      </c>
      <c r="C8" s="340" t="s">
        <v>31</v>
      </c>
      <c r="D8" s="340"/>
      <c r="E8" s="303" t="s">
        <v>25</v>
      </c>
      <c r="F8" s="305">
        <v>23016456.09</v>
      </c>
      <c r="G8" s="306">
        <v>0</v>
      </c>
      <c r="H8" s="306">
        <v>0</v>
      </c>
      <c r="I8" s="306">
        <v>0</v>
      </c>
      <c r="J8" s="306">
        <v>0</v>
      </c>
      <c r="K8" s="305">
        <v>23016456.09</v>
      </c>
      <c r="L8" s="305">
        <v>21568.74</v>
      </c>
      <c r="M8" s="305">
        <v>-3740.21</v>
      </c>
      <c r="N8" s="305">
        <v>2339</v>
      </c>
      <c r="O8" s="306">
        <v>0</v>
      </c>
      <c r="P8" s="306">
        <v>0</v>
      </c>
      <c r="Q8" s="305">
        <v>23036623.620000001</v>
      </c>
      <c r="R8" s="307">
        <v>0</v>
      </c>
      <c r="S8" s="306">
        <v>0</v>
      </c>
      <c r="T8" s="307">
        <v>9.3710082541208495E-2</v>
      </c>
      <c r="U8" s="307">
        <v>7.7459926629390996E-2</v>
      </c>
      <c r="V8" s="307">
        <v>8.7622220906381096E-2</v>
      </c>
    </row>
    <row r="9" spans="1:22" x14ac:dyDescent="0.35">
      <c r="A9" s="296" t="s">
        <v>2</v>
      </c>
      <c r="B9" s="297" t="s">
        <v>172</v>
      </c>
      <c r="C9" s="341" t="s">
        <v>172</v>
      </c>
      <c r="D9" s="341"/>
      <c r="E9" s="297" t="s">
        <v>25</v>
      </c>
      <c r="F9" s="299">
        <v>73530625.129999995</v>
      </c>
      <c r="G9" s="300">
        <v>0</v>
      </c>
      <c r="H9" s="300">
        <v>-27545106.890000001</v>
      </c>
      <c r="I9" s="300">
        <v>0</v>
      </c>
      <c r="J9" s="300">
        <v>0</v>
      </c>
      <c r="K9" s="299">
        <v>45985518.240000002</v>
      </c>
      <c r="L9" s="299">
        <v>48963.23</v>
      </c>
      <c r="M9" s="299">
        <v>-8815.58</v>
      </c>
      <c r="N9" s="299">
        <v>5563.86</v>
      </c>
      <c r="O9" s="300">
        <v>0</v>
      </c>
      <c r="P9" s="300">
        <v>0</v>
      </c>
      <c r="Q9" s="299">
        <v>46031229.75</v>
      </c>
      <c r="R9" s="301">
        <v>0</v>
      </c>
      <c r="S9" s="300">
        <v>0</v>
      </c>
      <c r="T9" s="301">
        <v>0.106475325002231</v>
      </c>
      <c r="U9" s="301">
        <v>8.7304985431430907E-2</v>
      </c>
      <c r="V9" s="301">
        <v>9.9404142324612005E-2</v>
      </c>
    </row>
    <row r="10" spans="1:22" ht="14.5" customHeight="1" x14ac:dyDescent="0.35">
      <c r="A10" s="342" t="s">
        <v>61</v>
      </c>
      <c r="B10" s="342"/>
      <c r="C10" s="342"/>
      <c r="D10" s="342"/>
      <c r="E10" s="342"/>
      <c r="F10" s="309">
        <v>96572476.012999997</v>
      </c>
      <c r="G10" s="310">
        <v>0</v>
      </c>
      <c r="H10" s="310">
        <v>-27545106.890000001</v>
      </c>
      <c r="I10" s="310">
        <v>0</v>
      </c>
      <c r="J10" s="310">
        <v>0</v>
      </c>
      <c r="K10" s="309">
        <v>69027369.122999996</v>
      </c>
      <c r="L10" s="309">
        <v>70555.75</v>
      </c>
      <c r="M10" s="309">
        <v>-12559.92</v>
      </c>
      <c r="N10" s="309">
        <v>7905.44</v>
      </c>
      <c r="O10" s="310">
        <v>0</v>
      </c>
      <c r="P10" s="310">
        <v>0</v>
      </c>
      <c r="Q10" s="309">
        <v>69093270.393000007</v>
      </c>
      <c r="R10" s="311">
        <v>0</v>
      </c>
      <c r="S10" s="312" t="s">
        <v>2</v>
      </c>
      <c r="T10" s="312" t="s">
        <v>2</v>
      </c>
      <c r="U10" s="312" t="s">
        <v>2</v>
      </c>
      <c r="V10" s="312" t="s">
        <v>2</v>
      </c>
    </row>
    <row r="11" spans="1:22" ht="14.5" customHeight="1" x14ac:dyDescent="0.35">
      <c r="A11" s="296" t="s">
        <v>2</v>
      </c>
      <c r="B11" s="343" t="s">
        <v>57</v>
      </c>
      <c r="C11" s="343"/>
      <c r="D11" s="343"/>
      <c r="E11" s="343"/>
      <c r="F11" s="309">
        <v>96572476.012999997</v>
      </c>
      <c r="G11" s="310">
        <v>0</v>
      </c>
      <c r="H11" s="310">
        <v>-27545106.890000001</v>
      </c>
      <c r="I11" s="310">
        <v>0</v>
      </c>
      <c r="J11" s="310">
        <v>0</v>
      </c>
      <c r="K11" s="309">
        <v>69027369.122999996</v>
      </c>
      <c r="L11" s="309">
        <v>70555.75</v>
      </c>
      <c r="M11" s="309">
        <v>-12559.92</v>
      </c>
      <c r="N11" s="309">
        <v>7905.44</v>
      </c>
      <c r="O11" s="310">
        <v>0</v>
      </c>
      <c r="P11" s="310">
        <v>0</v>
      </c>
      <c r="Q11" s="309">
        <v>69093270.393000007</v>
      </c>
      <c r="R11" s="311">
        <v>0</v>
      </c>
      <c r="S11" s="313" t="s">
        <v>2</v>
      </c>
      <c r="T11" s="314">
        <v>0.102214166491376</v>
      </c>
      <c r="U11" s="314">
        <v>8.4018601225634301E-2</v>
      </c>
      <c r="V11" s="314">
        <v>9.5471217920199705E-2</v>
      </c>
    </row>
    <row r="12" spans="1:22" x14ac:dyDescent="0.35">
      <c r="A12" s="98"/>
      <c r="B12" s="331"/>
      <c r="C12" s="332"/>
      <c r="D12" s="332"/>
      <c r="E12" s="332"/>
      <c r="F12" s="99"/>
      <c r="G12" s="100"/>
      <c r="H12" s="100"/>
      <c r="I12" s="100"/>
      <c r="J12" s="100"/>
      <c r="K12" s="99"/>
      <c r="L12" s="99"/>
      <c r="M12" s="99"/>
      <c r="N12" s="99"/>
      <c r="O12" s="100"/>
      <c r="P12" s="100"/>
      <c r="Q12" s="99"/>
      <c r="R12" s="101"/>
      <c r="S12" s="102"/>
      <c r="T12" s="103"/>
      <c r="U12" s="103"/>
      <c r="V12" s="103"/>
    </row>
    <row r="13" spans="1:22" ht="8.15" customHeight="1" x14ac:dyDescent="0.35"/>
    <row r="14" spans="1:22" ht="15" thickBot="1" x14ac:dyDescent="0.4">
      <c r="Q14" s="323"/>
    </row>
    <row r="15" spans="1:22" ht="17" x14ac:dyDescent="0.35">
      <c r="C15" s="79" t="s">
        <v>60</v>
      </c>
      <c r="D15" s="80">
        <f>VLOOKUP(C15,$B$7:$Q$10,16,FALSE)</f>
        <v>25417.023000000001</v>
      </c>
      <c r="E15" s="36"/>
      <c r="F15" s="65"/>
      <c r="G15" s="65"/>
      <c r="H15" s="74" t="s">
        <v>160</v>
      </c>
      <c r="I15" s="81">
        <f>SUM(D15:D18)</f>
        <v>69093270.393000007</v>
      </c>
      <c r="J15" s="78"/>
      <c r="K15" s="78"/>
      <c r="L15" s="78"/>
      <c r="M15" s="78"/>
      <c r="N15" s="78"/>
      <c r="O15" s="78"/>
      <c r="P15" s="78"/>
      <c r="Q15" s="78"/>
    </row>
    <row r="16" spans="1:22" x14ac:dyDescent="0.35">
      <c r="C16" s="82" t="s">
        <v>31</v>
      </c>
      <c r="D16" s="83">
        <f t="shared" ref="D16:D17" si="0">VLOOKUP(C16,$B$7:$Q$10,16,FALSE)</f>
        <v>23036623.620000001</v>
      </c>
      <c r="E16" s="31" t="str">
        <f>VLOOKUP(C16,InvestorCategories,2,FALSE)</f>
        <v>(g) Non-profits</v>
      </c>
      <c r="F16" s="68"/>
      <c r="G16" s="68"/>
      <c r="H16" s="68"/>
      <c r="I16" s="75"/>
      <c r="J16" s="78"/>
      <c r="K16" s="78"/>
      <c r="L16" s="78"/>
      <c r="M16" s="78"/>
      <c r="N16" s="78"/>
      <c r="O16" s="78"/>
      <c r="P16" s="78"/>
      <c r="Q16" s="78"/>
    </row>
    <row r="17" spans="3:17" x14ac:dyDescent="0.35">
      <c r="C17" s="82" t="s">
        <v>172</v>
      </c>
      <c r="D17" s="83">
        <f t="shared" si="0"/>
        <v>46031229.75</v>
      </c>
      <c r="E17" s="31"/>
      <c r="F17" s="68"/>
      <c r="G17" s="68"/>
      <c r="H17" s="34" t="s">
        <v>141</v>
      </c>
      <c r="I17" s="84">
        <f>SUMIFS($D$15:$D$23,$E$15:$E$23,H17)/$I$15</f>
        <v>0.33341342056858103</v>
      </c>
      <c r="J17" s="78"/>
      <c r="K17" s="78"/>
      <c r="L17" s="78"/>
      <c r="M17" s="78"/>
      <c r="N17" s="78"/>
      <c r="O17" s="78"/>
      <c r="P17" s="78"/>
      <c r="Q17" s="78"/>
    </row>
    <row r="18" spans="3:17" x14ac:dyDescent="0.35">
      <c r="C18" s="85"/>
      <c r="D18" s="83"/>
      <c r="E18" s="31"/>
      <c r="F18" s="68"/>
      <c r="G18" s="68"/>
      <c r="H18" s="34" t="s">
        <v>138</v>
      </c>
      <c r="I18" s="84">
        <f>SUMIFS($D$15:$D$23,$E$15:$E$23,H18)/$I$15</f>
        <v>0.66621871403938537</v>
      </c>
      <c r="J18" s="78"/>
      <c r="K18" s="78"/>
      <c r="L18" s="78"/>
      <c r="M18" s="78"/>
      <c r="N18" s="78"/>
      <c r="O18" s="78"/>
      <c r="P18" s="78"/>
      <c r="Q18" s="78"/>
    </row>
    <row r="19" spans="3:17" x14ac:dyDescent="0.35">
      <c r="C19" s="82" t="s">
        <v>133</v>
      </c>
      <c r="D19" s="83">
        <f>(SUMIFS(USG_M7,USGNoteHolders,USG_InvestorCapitalPerf!C19)+SUMIFS(USG_M6,USGNoteHolders,USG_InvestorCapitalPerf!C19))/SUM(USG_M7,USG_M6)*SUM($D$17:$D$18)</f>
        <v>46031229.75</v>
      </c>
      <c r="E19" s="31" t="str">
        <f>VLOOKUP(C19,InvestorCategories,2,FALSE)</f>
        <v xml:space="preserve">(d) Insurance companies </v>
      </c>
      <c r="F19" s="68"/>
      <c r="G19" s="68"/>
      <c r="H19" s="68"/>
      <c r="I19" s="75"/>
      <c r="J19" s="78"/>
      <c r="K19" s="78"/>
      <c r="L19" s="78"/>
      <c r="M19" s="78"/>
      <c r="N19" s="78"/>
      <c r="O19" s="78"/>
      <c r="P19" s="78"/>
      <c r="Q19" s="78"/>
    </row>
    <row r="20" spans="3:17" x14ac:dyDescent="0.35">
      <c r="C20" s="82" t="s">
        <v>134</v>
      </c>
      <c r="D20" s="83">
        <f>(SUMIFS(USG_M7,USGNoteHolders,USG_InvestorCapitalPerf!C20)+SUMIFS(USG_M6,USGNoteHolders,USG_InvestorCapitalPerf!C20))/SUM(USG_M7,USG_M6)*SUM($D$17:$D$18)</f>
        <v>0</v>
      </c>
      <c r="E20" s="31" t="str">
        <f>VLOOKUP(C20,InvestorCategories,2,FALSE)</f>
        <v xml:space="preserve">(d) Insurance companies </v>
      </c>
      <c r="F20" s="68"/>
      <c r="G20" s="68"/>
      <c r="H20" s="68" t="s">
        <v>156</v>
      </c>
      <c r="I20" s="75"/>
      <c r="J20" s="78"/>
      <c r="K20" s="78"/>
      <c r="L20" s="78"/>
      <c r="M20" s="78"/>
      <c r="N20" s="78"/>
      <c r="O20" s="78"/>
      <c r="P20" s="78"/>
      <c r="Q20" s="78"/>
    </row>
    <row r="21" spans="3:17" x14ac:dyDescent="0.35">
      <c r="C21" s="82" t="s">
        <v>126</v>
      </c>
      <c r="D21" s="83">
        <f>(SUMIFS(USG_M7,USGNoteHolders,USG_InvestorCapitalPerf!C21)+SUMIFS(USG_M6,USGNoteHolders,USG_InvestorCapitalPerf!C21))/SUM(USG_M7,USG_M6)*SUM($D$17:$D$18)</f>
        <v>0</v>
      </c>
      <c r="E21" s="31" t="str">
        <f>VLOOKUP(C21,InvestorCategories,2,FALSE)</f>
        <v xml:space="preserve">(d) Insurance companies </v>
      </c>
      <c r="F21" s="68"/>
      <c r="G21" s="68"/>
      <c r="H21" s="68" t="s">
        <v>164</v>
      </c>
      <c r="I21" s="69">
        <f>MAX(D15:D16,D19:D23)/Q11</f>
        <v>0.66621871403938537</v>
      </c>
      <c r="J21" s="78"/>
      <c r="K21" s="78"/>
      <c r="L21" s="78"/>
      <c r="M21" s="78"/>
      <c r="N21" s="78"/>
      <c r="O21" s="78"/>
      <c r="P21" s="78"/>
      <c r="Q21" s="78"/>
    </row>
    <row r="22" spans="3:17" x14ac:dyDescent="0.35">
      <c r="C22" s="82" t="s">
        <v>131</v>
      </c>
      <c r="D22" s="83">
        <f>(SUMIFS(USG_M7,USGNoteHolders,USG_InvestorCapitalPerf!C22)+SUMIFS(USG_M6,USGNoteHolders,USG_InvestorCapitalPerf!C22))/SUM(USG_M7,USG_M6)*SUM($D$17:$D$18)</f>
        <v>0</v>
      </c>
      <c r="E22" s="31" t="str">
        <f>VLOOKUP(C22,InvestorCategories,2,FALSE)</f>
        <v xml:space="preserve">(d) Insurance companies </v>
      </c>
      <c r="F22" s="68"/>
      <c r="G22" s="68"/>
      <c r="H22" s="68" t="s">
        <v>165</v>
      </c>
      <c r="I22" s="75">
        <v>2</v>
      </c>
      <c r="J22" s="78"/>
      <c r="K22" s="78"/>
      <c r="L22" s="78"/>
      <c r="M22" s="78"/>
      <c r="N22" s="78"/>
      <c r="O22" s="78"/>
      <c r="P22" s="78"/>
      <c r="Q22" s="78"/>
    </row>
    <row r="23" spans="3:17" ht="15" thickBot="1" x14ac:dyDescent="0.4">
      <c r="C23" s="86" t="s">
        <v>129</v>
      </c>
      <c r="D23" s="87">
        <f>(SUMIFS(USG_M7,USGNoteHolders,USG_InvestorCapitalPerf!C23)+SUMIFS(USG_M6,USGNoteHolders,USG_InvestorCapitalPerf!C23))/SUM(USG_M7,USG_M6)*SUM($D$17:$D$18)</f>
        <v>0</v>
      </c>
      <c r="E23" s="39" t="str">
        <f>VLOOKUP(C23,InvestorCategories,2,FALSE)</f>
        <v xml:space="preserve">(d) Insurance companies </v>
      </c>
      <c r="F23" s="72"/>
      <c r="G23" s="72"/>
      <c r="H23" s="72"/>
      <c r="I23" s="73"/>
      <c r="J23" s="78"/>
      <c r="K23" s="78"/>
      <c r="L23" s="78"/>
      <c r="M23" s="78"/>
      <c r="N23" s="78"/>
      <c r="O23" s="78"/>
      <c r="P23" s="78"/>
      <c r="Q23" s="78"/>
    </row>
    <row r="24" spans="3:17" x14ac:dyDescent="0.35"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</row>
    <row r="25" spans="3:17" x14ac:dyDescent="0.35"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</row>
    <row r="26" spans="3:17" x14ac:dyDescent="0.35"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</row>
    <row r="27" spans="3:17" x14ac:dyDescent="0.35">
      <c r="C27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</row>
    <row r="28" spans="3:17" x14ac:dyDescent="0.35">
      <c r="C2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</row>
    <row r="29" spans="3:17" x14ac:dyDescent="0.35">
      <c r="C29"/>
    </row>
    <row r="30" spans="3:17" x14ac:dyDescent="0.35">
      <c r="C30"/>
    </row>
    <row r="31" spans="3:17" x14ac:dyDescent="0.35">
      <c r="C31"/>
    </row>
    <row r="32" spans="3:17" x14ac:dyDescent="0.35">
      <c r="C32"/>
    </row>
    <row r="33" spans="3:3" x14ac:dyDescent="0.35">
      <c r="C33"/>
    </row>
    <row r="34" spans="3:3" x14ac:dyDescent="0.35">
      <c r="C34"/>
    </row>
  </sheetData>
  <mergeCells count="12">
    <mergeCell ref="B12:E12"/>
    <mergeCell ref="A1:C1"/>
    <mergeCell ref="A2:V2"/>
    <mergeCell ref="A3:V3"/>
    <mergeCell ref="A4:V4"/>
    <mergeCell ref="C5:D5"/>
    <mergeCell ref="A6:E6"/>
    <mergeCell ref="C7:D7"/>
    <mergeCell ref="C8:D8"/>
    <mergeCell ref="C9:D9"/>
    <mergeCell ref="A10:E10"/>
    <mergeCell ref="B11:E11"/>
  </mergeCells>
  <pageMargins left="0.15" right="0.15" top="0.2" bottom="0.35365000000000002" header="0.2" footer="0.2"/>
  <pageSetup paperSize="0" orientation="landscape" horizontalDpi="300" verticalDpi="300"/>
  <headerFooter alignWithMargins="0">
    <oddFooter>&amp;L&amp;"Tahoma,Regular"&amp;8 Created on 10/1/2021 12:13:23 PM &amp;C&amp;"Tahoma,Regular"&amp;8 1 of 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9"/>
  <sheetViews>
    <sheetView showGridLines="0" topLeftCell="D1" zoomScale="70" zoomScaleNormal="90" workbookViewId="0">
      <pane ySplit="1" topLeftCell="A59" activePane="bottomLeft" state="frozen"/>
      <selection pane="bottomLeft" activeCell="T70" sqref="T70"/>
    </sheetView>
  </sheetViews>
  <sheetFormatPr defaultRowHeight="14.5" x14ac:dyDescent="0.35"/>
  <cols>
    <col min="1" max="1" width="1.453125" customWidth="1"/>
    <col min="2" max="2" width="27.453125" customWidth="1"/>
    <col min="3" max="3" width="30.36328125" bestFit="1" customWidth="1"/>
    <col min="4" max="4" width="9.6328125" bestFit="1" customWidth="1"/>
    <col min="5" max="5" width="21.90625" bestFit="1" customWidth="1"/>
    <col min="6" max="6" width="21.90625" style="1" bestFit="1" customWidth="1"/>
    <col min="7" max="7" width="14.26953125" bestFit="1" customWidth="1"/>
    <col min="8" max="8" width="8.81640625" customWidth="1"/>
    <col min="9" max="9" width="16.1796875" customWidth="1"/>
    <col min="10" max="10" width="9.90625" bestFit="1" customWidth="1"/>
    <col min="11" max="11" width="7.36328125" customWidth="1"/>
    <col min="12" max="12" width="15.7265625" customWidth="1"/>
    <col min="13" max="13" width="7.36328125" bestFit="1" customWidth="1"/>
    <col min="14" max="14" width="15.54296875" bestFit="1" customWidth="1"/>
    <col min="15" max="15" width="12.54296875" bestFit="1" customWidth="1"/>
    <col min="16" max="16" width="6.1796875" customWidth="1"/>
    <col min="17" max="17" width="11.08984375" bestFit="1" customWidth="1"/>
    <col min="18" max="19" width="8.26953125" customWidth="1"/>
    <col min="20" max="20" width="16.453125" bestFit="1" customWidth="1"/>
    <col min="21" max="22" width="6.81640625" customWidth="1"/>
    <col min="23" max="23" width="8.26953125" customWidth="1"/>
  </cols>
  <sheetData>
    <row r="1" spans="1:22" ht="57.65" customHeight="1" x14ac:dyDescent="0.35">
      <c r="A1" s="333"/>
      <c r="B1" s="333"/>
      <c r="C1" s="333"/>
      <c r="D1" s="290"/>
      <c r="E1" s="349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</row>
    <row r="2" spans="1:22" ht="13" customHeight="1" x14ac:dyDescent="0.35">
      <c r="A2" s="334" t="s">
        <v>0</v>
      </c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  <c r="P2" s="333"/>
      <c r="Q2" s="333"/>
      <c r="R2" s="333"/>
      <c r="S2" s="333"/>
      <c r="T2" s="333"/>
      <c r="U2" s="333"/>
      <c r="V2" s="333"/>
    </row>
    <row r="3" spans="1:22" ht="14.5" customHeight="1" x14ac:dyDescent="0.35">
      <c r="A3" s="335" t="s">
        <v>1</v>
      </c>
      <c r="B3" s="333"/>
      <c r="C3" s="333"/>
      <c r="D3" s="333"/>
      <c r="E3" s="333"/>
      <c r="F3" s="333"/>
      <c r="G3" s="333"/>
      <c r="H3" s="333"/>
      <c r="I3" s="333"/>
      <c r="J3" s="333"/>
      <c r="K3" s="333"/>
      <c r="L3" s="333"/>
      <c r="M3" s="333"/>
      <c r="N3" s="333"/>
      <c r="O3" s="333"/>
      <c r="P3" s="333"/>
      <c r="Q3" s="333"/>
      <c r="R3" s="333"/>
      <c r="S3" s="333"/>
      <c r="T3" s="333"/>
      <c r="U3" s="333"/>
      <c r="V3" s="333"/>
    </row>
    <row r="4" spans="1:22" ht="12.25" customHeight="1" x14ac:dyDescent="0.35">
      <c r="A4" s="347" t="s">
        <v>222</v>
      </c>
      <c r="B4" s="333"/>
      <c r="C4" s="333"/>
      <c r="D4" s="333"/>
      <c r="E4" s="333"/>
      <c r="F4" s="333"/>
      <c r="G4" s="333"/>
      <c r="H4" s="333"/>
      <c r="I4" s="333"/>
      <c r="J4" s="333"/>
      <c r="K4" s="333"/>
      <c r="L4" s="333"/>
      <c r="M4" s="333"/>
      <c r="N4" s="333"/>
      <c r="O4" s="333"/>
      <c r="P4" s="333"/>
      <c r="Q4" s="333"/>
      <c r="R4" s="333"/>
      <c r="S4" s="333"/>
      <c r="T4" s="333"/>
      <c r="U4" s="333"/>
      <c r="V4" s="333"/>
    </row>
    <row r="5" spans="1:22" ht="29" customHeight="1" x14ac:dyDescent="0.35">
      <c r="A5" s="308" t="s">
        <v>2</v>
      </c>
      <c r="B5" s="293" t="s">
        <v>3</v>
      </c>
      <c r="C5" s="337" t="s">
        <v>4</v>
      </c>
      <c r="D5" s="344"/>
      <c r="E5" s="293" t="s">
        <v>5</v>
      </c>
      <c r="F5" s="293" t="s">
        <v>6</v>
      </c>
      <c r="G5" s="293" t="s">
        <v>7</v>
      </c>
      <c r="H5" s="293" t="s">
        <v>8</v>
      </c>
      <c r="I5" s="293" t="s">
        <v>9</v>
      </c>
      <c r="J5" s="293" t="s">
        <v>10</v>
      </c>
      <c r="K5" s="293" t="s">
        <v>11</v>
      </c>
      <c r="L5" s="293" t="s">
        <v>12</v>
      </c>
      <c r="M5" s="293" t="s">
        <v>13</v>
      </c>
      <c r="N5" s="293" t="s">
        <v>14</v>
      </c>
      <c r="O5" s="293" t="s">
        <v>15</v>
      </c>
      <c r="P5" s="293" t="s">
        <v>16</v>
      </c>
      <c r="Q5" s="293" t="s">
        <v>17</v>
      </c>
      <c r="R5" s="293" t="s">
        <v>18</v>
      </c>
      <c r="S5" s="293" t="s">
        <v>19</v>
      </c>
      <c r="T5" s="293" t="s">
        <v>20</v>
      </c>
      <c r="U5" s="293" t="s">
        <v>21</v>
      </c>
      <c r="V5" s="293" t="s">
        <v>22</v>
      </c>
    </row>
    <row r="6" spans="1:22" ht="15" customHeight="1" x14ac:dyDescent="0.35">
      <c r="A6" s="346" t="s">
        <v>23</v>
      </c>
      <c r="B6" s="333"/>
      <c r="C6" s="333"/>
      <c r="D6" s="333"/>
      <c r="E6" s="333"/>
      <c r="F6" s="294" t="s">
        <v>2</v>
      </c>
      <c r="G6" s="294" t="s">
        <v>2</v>
      </c>
      <c r="H6" s="294" t="s">
        <v>2</v>
      </c>
      <c r="I6" s="294" t="s">
        <v>2</v>
      </c>
      <c r="J6" s="294" t="s">
        <v>2</v>
      </c>
      <c r="K6" s="295" t="s">
        <v>2</v>
      </c>
      <c r="L6" s="294" t="s">
        <v>2</v>
      </c>
      <c r="M6" s="295" t="s">
        <v>2</v>
      </c>
      <c r="N6" s="294" t="s">
        <v>2</v>
      </c>
      <c r="O6" s="294" t="s">
        <v>2</v>
      </c>
      <c r="P6" s="294" t="s">
        <v>2</v>
      </c>
      <c r="Q6" s="294" t="s">
        <v>2</v>
      </c>
      <c r="R6" s="294" t="s">
        <v>2</v>
      </c>
      <c r="S6" s="294" t="s">
        <v>2</v>
      </c>
      <c r="T6" s="294" t="s">
        <v>2</v>
      </c>
      <c r="U6" s="294" t="s">
        <v>2</v>
      </c>
      <c r="V6" s="294" t="s">
        <v>2</v>
      </c>
    </row>
    <row r="7" spans="1:22" x14ac:dyDescent="0.35">
      <c r="A7" s="296" t="s">
        <v>2</v>
      </c>
      <c r="B7" s="298" t="s">
        <v>24</v>
      </c>
      <c r="C7" s="339" t="s">
        <v>24</v>
      </c>
      <c r="D7" s="333"/>
      <c r="E7" s="298" t="s">
        <v>25</v>
      </c>
      <c r="F7" s="299">
        <v>190689.99720000001</v>
      </c>
      <c r="G7" s="300">
        <v>0</v>
      </c>
      <c r="H7" s="300">
        <v>-190745.74720000001</v>
      </c>
      <c r="I7" s="300">
        <v>0</v>
      </c>
      <c r="J7" s="300">
        <v>0</v>
      </c>
      <c r="K7" s="299">
        <v>-55.75</v>
      </c>
      <c r="L7" s="299">
        <v>66.53</v>
      </c>
      <c r="M7" s="299">
        <v>-13.08</v>
      </c>
      <c r="N7" s="299">
        <v>2.2999999999999998</v>
      </c>
      <c r="O7" s="300">
        <v>0</v>
      </c>
      <c r="P7" s="300">
        <v>0</v>
      </c>
      <c r="Q7" s="299">
        <v>0</v>
      </c>
      <c r="R7" s="301">
        <v>0</v>
      </c>
      <c r="S7" s="300">
        <v>0</v>
      </c>
      <c r="T7" s="301">
        <v>-119.336322869955</v>
      </c>
      <c r="U7" s="301">
        <v>-95.874439461883398</v>
      </c>
      <c r="V7" s="301">
        <v>-100</v>
      </c>
    </row>
    <row r="8" spans="1:22" x14ac:dyDescent="0.35">
      <c r="A8" s="302" t="s">
        <v>2</v>
      </c>
      <c r="B8" s="304" t="s">
        <v>27</v>
      </c>
      <c r="C8" s="340" t="s">
        <v>27</v>
      </c>
      <c r="D8" s="333"/>
      <c r="E8" s="304" t="s">
        <v>25</v>
      </c>
      <c r="F8" s="305">
        <v>50505603.438600004</v>
      </c>
      <c r="G8" s="306">
        <v>0</v>
      </c>
      <c r="H8" s="306">
        <v>0</v>
      </c>
      <c r="I8" s="306">
        <v>0</v>
      </c>
      <c r="J8" s="306">
        <v>0</v>
      </c>
      <c r="K8" s="305">
        <v>50505603.438600004</v>
      </c>
      <c r="L8" s="305">
        <v>69749.7</v>
      </c>
      <c r="M8" s="305">
        <v>-11574.42</v>
      </c>
      <c r="N8" s="305">
        <v>2562.1</v>
      </c>
      <c r="O8" s="306">
        <v>0</v>
      </c>
      <c r="P8" s="306">
        <v>0</v>
      </c>
      <c r="Q8" s="305">
        <v>50566340.818599999</v>
      </c>
      <c r="R8" s="307">
        <v>0</v>
      </c>
      <c r="S8" s="306">
        <v>0</v>
      </c>
      <c r="T8" s="307">
        <v>0.13810289403787701</v>
      </c>
      <c r="U8" s="307">
        <v>0.115185793336227</v>
      </c>
      <c r="V8" s="307">
        <v>0.120258695797663</v>
      </c>
    </row>
    <row r="9" spans="1:22" x14ac:dyDescent="0.35">
      <c r="A9" s="296" t="s">
        <v>2</v>
      </c>
      <c r="B9" s="298" t="s">
        <v>28</v>
      </c>
      <c r="C9" s="339" t="s">
        <v>28</v>
      </c>
      <c r="D9" s="333"/>
      <c r="E9" s="298" t="s">
        <v>25</v>
      </c>
      <c r="F9" s="299">
        <v>60331325.695500001</v>
      </c>
      <c r="G9" s="300">
        <v>0</v>
      </c>
      <c r="H9" s="300">
        <v>0</v>
      </c>
      <c r="I9" s="300">
        <v>0</v>
      </c>
      <c r="J9" s="300">
        <v>0</v>
      </c>
      <c r="K9" s="299">
        <v>60331325.695500001</v>
      </c>
      <c r="L9" s="299">
        <v>83319.320000000007</v>
      </c>
      <c r="M9" s="299">
        <v>-13826.19</v>
      </c>
      <c r="N9" s="299">
        <v>3060.56</v>
      </c>
      <c r="O9" s="300">
        <v>0</v>
      </c>
      <c r="P9" s="300">
        <v>0</v>
      </c>
      <c r="Q9" s="299">
        <v>60403879.385499999</v>
      </c>
      <c r="R9" s="301">
        <v>0</v>
      </c>
      <c r="S9" s="300">
        <v>0</v>
      </c>
      <c r="T9" s="301">
        <v>0.13810291592219201</v>
      </c>
      <c r="U9" s="301">
        <v>0.115185816321592</v>
      </c>
      <c r="V9" s="301">
        <v>0.12025873650810801</v>
      </c>
    </row>
    <row r="10" spans="1:22" x14ac:dyDescent="0.35">
      <c r="A10" s="302" t="s">
        <v>2</v>
      </c>
      <c r="B10" s="304" t="s">
        <v>29</v>
      </c>
      <c r="C10" s="340" t="s">
        <v>29</v>
      </c>
      <c r="D10" s="333"/>
      <c r="E10" s="304" t="s">
        <v>25</v>
      </c>
      <c r="F10" s="305">
        <v>27988.6165</v>
      </c>
      <c r="G10" s="306">
        <v>0</v>
      </c>
      <c r="H10" s="306">
        <v>0</v>
      </c>
      <c r="I10" s="306">
        <v>0</v>
      </c>
      <c r="J10" s="306">
        <v>0</v>
      </c>
      <c r="K10" s="305">
        <v>27988.6165</v>
      </c>
      <c r="L10" s="305">
        <v>38.659999999999997</v>
      </c>
      <c r="M10" s="305">
        <v>-6.41</v>
      </c>
      <c r="N10" s="305">
        <v>1.42</v>
      </c>
      <c r="O10" s="306">
        <v>0</v>
      </c>
      <c r="P10" s="306">
        <v>0</v>
      </c>
      <c r="Q10" s="305">
        <v>28022.286499999998</v>
      </c>
      <c r="R10" s="307">
        <v>0</v>
      </c>
      <c r="S10" s="306">
        <v>0</v>
      </c>
      <c r="T10" s="307">
        <v>0.138127584834356</v>
      </c>
      <c r="U10" s="307">
        <v>0.115225416733264</v>
      </c>
      <c r="V10" s="307">
        <v>0.120298907950666</v>
      </c>
    </row>
    <row r="11" spans="1:22" x14ac:dyDescent="0.35">
      <c r="A11" s="296" t="s">
        <v>2</v>
      </c>
      <c r="B11" s="298" t="s">
        <v>166</v>
      </c>
      <c r="C11" s="339" t="s">
        <v>166</v>
      </c>
      <c r="D11" s="333"/>
      <c r="E11" s="298" t="s">
        <v>25</v>
      </c>
      <c r="F11" s="299">
        <v>90151756.409999996</v>
      </c>
      <c r="G11" s="300">
        <v>0</v>
      </c>
      <c r="H11" s="300">
        <v>0</v>
      </c>
      <c r="I11" s="300">
        <v>0</v>
      </c>
      <c r="J11" s="300">
        <v>0</v>
      </c>
      <c r="K11" s="299">
        <v>90151756.409999996</v>
      </c>
      <c r="L11" s="299">
        <v>124502.22</v>
      </c>
      <c r="M11" s="299">
        <v>-20660.18</v>
      </c>
      <c r="N11" s="299">
        <v>4573.32</v>
      </c>
      <c r="O11" s="300">
        <v>0</v>
      </c>
      <c r="P11" s="300">
        <v>0</v>
      </c>
      <c r="Q11" s="299">
        <v>90260171.769999996</v>
      </c>
      <c r="R11" s="301">
        <v>0</v>
      </c>
      <c r="S11" s="300">
        <v>0</v>
      </c>
      <c r="T11" s="301">
        <v>0.13810293327373199</v>
      </c>
      <c r="U11" s="301">
        <v>0.115185820149458</v>
      </c>
      <c r="V11" s="301">
        <v>0.120258732960165</v>
      </c>
    </row>
    <row r="12" spans="1:22" s="1" customFormat="1" x14ac:dyDescent="0.35">
      <c r="A12" s="302" t="s">
        <v>2</v>
      </c>
      <c r="B12" s="304" t="s">
        <v>167</v>
      </c>
      <c r="C12" s="340" t="s">
        <v>167</v>
      </c>
      <c r="D12" s="333"/>
      <c r="E12" s="304" t="s">
        <v>25</v>
      </c>
      <c r="F12" s="305">
        <v>24030010.719999999</v>
      </c>
      <c r="G12" s="306">
        <v>219.33</v>
      </c>
      <c r="H12" s="306">
        <v>0</v>
      </c>
      <c r="I12" s="306">
        <v>0</v>
      </c>
      <c r="J12" s="306">
        <v>0</v>
      </c>
      <c r="K12" s="305">
        <v>24030230.050000001</v>
      </c>
      <c r="L12" s="305">
        <v>33186.379999999997</v>
      </c>
      <c r="M12" s="305">
        <v>-5507.01</v>
      </c>
      <c r="N12" s="305">
        <v>1219.03</v>
      </c>
      <c r="O12" s="306">
        <v>0</v>
      </c>
      <c r="P12" s="306">
        <v>0</v>
      </c>
      <c r="Q12" s="305">
        <v>24059128.449999999</v>
      </c>
      <c r="R12" s="307">
        <v>0</v>
      </c>
      <c r="S12" s="306">
        <v>0</v>
      </c>
      <c r="T12" s="307">
        <v>0.138102631272979</v>
      </c>
      <c r="U12" s="307">
        <v>0.115185622203396</v>
      </c>
      <c r="V12" s="307">
        <v>0.120258524116793</v>
      </c>
    </row>
    <row r="13" spans="1:22" x14ac:dyDescent="0.35">
      <c r="A13" s="296" t="s">
        <v>2</v>
      </c>
      <c r="B13" s="298" t="s">
        <v>30</v>
      </c>
      <c r="C13" s="339" t="s">
        <v>30</v>
      </c>
      <c r="D13" s="333"/>
      <c r="E13" s="298" t="s">
        <v>25</v>
      </c>
      <c r="F13" s="299">
        <v>156596638.67559999</v>
      </c>
      <c r="G13" s="300">
        <v>0</v>
      </c>
      <c r="H13" s="300">
        <v>-142415.16</v>
      </c>
      <c r="I13" s="300">
        <v>0</v>
      </c>
      <c r="J13" s="300">
        <v>0</v>
      </c>
      <c r="K13" s="299">
        <v>156454223.5156</v>
      </c>
      <c r="L13" s="299">
        <v>216117.6</v>
      </c>
      <c r="M13" s="299">
        <v>-35864.58</v>
      </c>
      <c r="N13" s="299">
        <v>7938.5</v>
      </c>
      <c r="O13" s="300">
        <v>0</v>
      </c>
      <c r="P13" s="300">
        <v>0</v>
      </c>
      <c r="Q13" s="299">
        <v>156642415.03560001</v>
      </c>
      <c r="R13" s="301">
        <v>0</v>
      </c>
      <c r="S13" s="300">
        <v>0</v>
      </c>
      <c r="T13" s="301">
        <v>0.138134717710865</v>
      </c>
      <c r="U13" s="301">
        <v>0.115211348054166</v>
      </c>
      <c r="V13" s="301">
        <v>0.12028535617080099</v>
      </c>
    </row>
    <row r="14" spans="1:22" x14ac:dyDescent="0.35">
      <c r="A14" s="302" t="s">
        <v>2</v>
      </c>
      <c r="B14" s="304" t="s">
        <v>31</v>
      </c>
      <c r="C14" s="340" t="s">
        <v>31</v>
      </c>
      <c r="D14" s="333"/>
      <c r="E14" s="304" t="s">
        <v>25</v>
      </c>
      <c r="F14" s="305">
        <v>31581017.714200001</v>
      </c>
      <c r="G14" s="306">
        <v>0</v>
      </c>
      <c r="H14" s="306">
        <v>0</v>
      </c>
      <c r="I14" s="306">
        <v>0</v>
      </c>
      <c r="J14" s="306">
        <v>0</v>
      </c>
      <c r="K14" s="305">
        <v>31581017.714200001</v>
      </c>
      <c r="L14" s="305">
        <v>43614.29</v>
      </c>
      <c r="M14" s="305">
        <v>-7237.46</v>
      </c>
      <c r="N14" s="305">
        <v>1602.08</v>
      </c>
      <c r="O14" s="306">
        <v>0</v>
      </c>
      <c r="P14" s="306">
        <v>0</v>
      </c>
      <c r="Q14" s="305">
        <v>31618996.624200001</v>
      </c>
      <c r="R14" s="307">
        <v>0</v>
      </c>
      <c r="S14" s="306">
        <v>0</v>
      </c>
      <c r="T14" s="307">
        <v>0.138102864178406</v>
      </c>
      <c r="U14" s="307">
        <v>0.11518574331328001</v>
      </c>
      <c r="V14" s="307">
        <v>0.12025866406111201</v>
      </c>
    </row>
    <row r="15" spans="1:22" x14ac:dyDescent="0.35">
      <c r="A15" s="296" t="s">
        <v>2</v>
      </c>
      <c r="B15" s="298" t="s">
        <v>32</v>
      </c>
      <c r="C15" s="339" t="s">
        <v>32</v>
      </c>
      <c r="D15" s="333"/>
      <c r="E15" s="298" t="s">
        <v>25</v>
      </c>
      <c r="F15" s="299">
        <v>2550.8272000000002</v>
      </c>
      <c r="G15" s="300">
        <v>0</v>
      </c>
      <c r="H15" s="300">
        <v>-2551.5772000000002</v>
      </c>
      <c r="I15" s="300">
        <v>0</v>
      </c>
      <c r="J15" s="300">
        <v>0</v>
      </c>
      <c r="K15" s="299">
        <v>-0.75</v>
      </c>
      <c r="L15" s="299">
        <v>0.88</v>
      </c>
      <c r="M15" s="299">
        <v>-0.16</v>
      </c>
      <c r="N15" s="299">
        <v>0.03</v>
      </c>
      <c r="O15" s="300">
        <v>0</v>
      </c>
      <c r="P15" s="300">
        <v>0</v>
      </c>
      <c r="Q15" s="299">
        <v>0</v>
      </c>
      <c r="R15" s="301">
        <v>0</v>
      </c>
      <c r="S15" s="300">
        <v>0</v>
      </c>
      <c r="T15" s="301">
        <v>-117.333333333333</v>
      </c>
      <c r="U15" s="301">
        <v>-96</v>
      </c>
      <c r="V15" s="301">
        <v>-100</v>
      </c>
    </row>
    <row r="16" spans="1:22" x14ac:dyDescent="0.35">
      <c r="A16" s="302" t="s">
        <v>2</v>
      </c>
      <c r="B16" s="304" t="s">
        <v>33</v>
      </c>
      <c r="C16" s="340" t="s">
        <v>33</v>
      </c>
      <c r="D16" s="333"/>
      <c r="E16" s="304" t="s">
        <v>25</v>
      </c>
      <c r="F16" s="305">
        <v>27661882.395799998</v>
      </c>
      <c r="G16" s="306">
        <v>0</v>
      </c>
      <c r="H16" s="306">
        <v>0</v>
      </c>
      <c r="I16" s="306">
        <v>0</v>
      </c>
      <c r="J16" s="306">
        <v>0</v>
      </c>
      <c r="K16" s="305">
        <v>27661882.395799998</v>
      </c>
      <c r="L16" s="305">
        <v>38201.86</v>
      </c>
      <c r="M16" s="305">
        <v>-6339.31</v>
      </c>
      <c r="N16" s="305">
        <v>1403.26</v>
      </c>
      <c r="O16" s="306">
        <v>0</v>
      </c>
      <c r="P16" s="306">
        <v>0</v>
      </c>
      <c r="Q16" s="305">
        <v>27695148.205800001</v>
      </c>
      <c r="R16" s="307">
        <v>0</v>
      </c>
      <c r="S16" s="306">
        <v>0</v>
      </c>
      <c r="T16" s="307">
        <v>0.13810289355362301</v>
      </c>
      <c r="U16" s="307">
        <v>0.11518576192355499</v>
      </c>
      <c r="V16" s="307">
        <v>0.12025866325370101</v>
      </c>
    </row>
    <row r="17" spans="1:22" x14ac:dyDescent="0.35">
      <c r="A17" s="296" t="s">
        <v>2</v>
      </c>
      <c r="B17" s="298" t="s">
        <v>34</v>
      </c>
      <c r="C17" s="339" t="s">
        <v>34</v>
      </c>
      <c r="D17" s="333"/>
      <c r="E17" s="298" t="s">
        <v>25</v>
      </c>
      <c r="F17" s="299">
        <v>16938.412400000001</v>
      </c>
      <c r="G17" s="300">
        <v>0</v>
      </c>
      <c r="H17" s="300">
        <v>-16943.3724</v>
      </c>
      <c r="I17" s="300">
        <v>0</v>
      </c>
      <c r="J17" s="300">
        <v>0</v>
      </c>
      <c r="K17" s="299">
        <v>-4.96</v>
      </c>
      <c r="L17" s="299">
        <v>5.91</v>
      </c>
      <c r="M17" s="299">
        <v>-1.1499999999999999</v>
      </c>
      <c r="N17" s="299">
        <v>0.2</v>
      </c>
      <c r="O17" s="300">
        <v>0</v>
      </c>
      <c r="P17" s="300">
        <v>0</v>
      </c>
      <c r="Q17" s="299">
        <v>0</v>
      </c>
      <c r="R17" s="301">
        <v>0</v>
      </c>
      <c r="S17" s="300">
        <v>0</v>
      </c>
      <c r="T17" s="301">
        <v>-119.153225806452</v>
      </c>
      <c r="U17" s="301">
        <v>-95.9677419354839</v>
      </c>
      <c r="V17" s="301">
        <v>-100</v>
      </c>
    </row>
    <row r="18" spans="1:22" x14ac:dyDescent="0.35">
      <c r="A18" s="302" t="s">
        <v>2</v>
      </c>
      <c r="B18" s="304" t="s">
        <v>35</v>
      </c>
      <c r="C18" s="340" t="s">
        <v>35</v>
      </c>
      <c r="D18" s="333"/>
      <c r="E18" s="304" t="s">
        <v>25</v>
      </c>
      <c r="F18" s="305">
        <v>394977827.935</v>
      </c>
      <c r="G18" s="306">
        <v>0</v>
      </c>
      <c r="H18" s="306">
        <v>0</v>
      </c>
      <c r="I18" s="306">
        <v>0</v>
      </c>
      <c r="J18" s="306">
        <v>0</v>
      </c>
      <c r="K18" s="305">
        <v>394977827.935</v>
      </c>
      <c r="L18" s="305">
        <v>545475.93000000005</v>
      </c>
      <c r="M18" s="305">
        <v>-90517.47</v>
      </c>
      <c r="N18" s="305">
        <v>20036.87</v>
      </c>
      <c r="O18" s="306">
        <v>0</v>
      </c>
      <c r="P18" s="306">
        <v>0</v>
      </c>
      <c r="Q18" s="305">
        <v>395452823.26499999</v>
      </c>
      <c r="R18" s="307">
        <v>0</v>
      </c>
      <c r="S18" s="306">
        <v>0</v>
      </c>
      <c r="T18" s="307">
        <v>0.13810292411901301</v>
      </c>
      <c r="U18" s="307">
        <v>0.115185822550746</v>
      </c>
      <c r="V18" s="307">
        <v>0.120258732618826</v>
      </c>
    </row>
    <row r="19" spans="1:22" ht="14.5" customHeight="1" x14ac:dyDescent="0.35">
      <c r="A19" s="342" t="s">
        <v>36</v>
      </c>
      <c r="B19" s="344"/>
      <c r="C19" s="344"/>
      <c r="D19" s="344"/>
      <c r="E19" s="344"/>
      <c r="F19" s="309">
        <v>836074230.83800006</v>
      </c>
      <c r="G19" s="310">
        <v>219.33</v>
      </c>
      <c r="H19" s="310">
        <v>-352655.85680000001</v>
      </c>
      <c r="I19" s="310">
        <v>0</v>
      </c>
      <c r="J19" s="310">
        <v>0</v>
      </c>
      <c r="K19" s="309">
        <v>835721794.31120002</v>
      </c>
      <c r="L19" s="309">
        <v>1154279.28</v>
      </c>
      <c r="M19" s="309">
        <v>-191547.42</v>
      </c>
      <c r="N19" s="309">
        <v>42399.67</v>
      </c>
      <c r="O19" s="310">
        <v>0</v>
      </c>
      <c r="P19" s="310">
        <v>0</v>
      </c>
      <c r="Q19" s="309">
        <v>836726925.84119999</v>
      </c>
      <c r="R19" s="311">
        <v>0</v>
      </c>
      <c r="S19" s="312" t="s">
        <v>2</v>
      </c>
      <c r="T19" s="312" t="s">
        <v>2</v>
      </c>
      <c r="U19" s="312" t="s">
        <v>2</v>
      </c>
      <c r="V19" s="312" t="s">
        <v>2</v>
      </c>
    </row>
    <row r="20" spans="1:22" s="1" customFormat="1" ht="14.5" customHeight="1" x14ac:dyDescent="0.35">
      <c r="A20" s="346" t="s">
        <v>227</v>
      </c>
      <c r="B20" s="333"/>
      <c r="C20" s="333"/>
      <c r="D20" s="333"/>
      <c r="E20" s="333"/>
      <c r="F20" s="294" t="s">
        <v>2</v>
      </c>
      <c r="G20" s="294" t="s">
        <v>2</v>
      </c>
      <c r="H20" s="294" t="s">
        <v>2</v>
      </c>
      <c r="I20" s="294" t="s">
        <v>2</v>
      </c>
      <c r="J20" s="294" t="s">
        <v>2</v>
      </c>
      <c r="K20" s="295" t="s">
        <v>2</v>
      </c>
      <c r="L20" s="294" t="s">
        <v>2</v>
      </c>
      <c r="M20" s="295" t="s">
        <v>2</v>
      </c>
      <c r="N20" s="294" t="s">
        <v>2</v>
      </c>
      <c r="O20" s="294" t="s">
        <v>2</v>
      </c>
      <c r="P20" s="294" t="s">
        <v>2</v>
      </c>
      <c r="Q20" s="294" t="s">
        <v>2</v>
      </c>
      <c r="R20" s="294" t="s">
        <v>2</v>
      </c>
      <c r="S20" s="294" t="s">
        <v>2</v>
      </c>
      <c r="T20" s="294" t="s">
        <v>2</v>
      </c>
      <c r="U20" s="294" t="s">
        <v>2</v>
      </c>
      <c r="V20" s="294" t="s">
        <v>2</v>
      </c>
    </row>
    <row r="21" spans="1:22" s="1" customFormat="1" ht="14.5" customHeight="1" x14ac:dyDescent="0.35">
      <c r="A21" s="296" t="s">
        <v>2</v>
      </c>
      <c r="B21" s="298" t="s">
        <v>228</v>
      </c>
      <c r="C21" s="339" t="s">
        <v>228</v>
      </c>
      <c r="D21" s="333"/>
      <c r="E21" s="298" t="s">
        <v>25</v>
      </c>
      <c r="F21" s="299">
        <v>75116825.920000002</v>
      </c>
      <c r="G21" s="300">
        <v>0</v>
      </c>
      <c r="H21" s="300">
        <v>0</v>
      </c>
      <c r="I21" s="300">
        <v>0</v>
      </c>
      <c r="J21" s="300">
        <v>0</v>
      </c>
      <c r="K21" s="299">
        <v>75116825.920000002</v>
      </c>
      <c r="L21" s="299">
        <v>200059.66</v>
      </c>
      <c r="M21" s="299">
        <v>-31093.5</v>
      </c>
      <c r="N21" s="299">
        <v>-2072.6999999999998</v>
      </c>
      <c r="O21" s="300">
        <v>0</v>
      </c>
      <c r="P21" s="300">
        <v>0</v>
      </c>
      <c r="Q21" s="299">
        <v>75283719.379999995</v>
      </c>
      <c r="R21" s="301">
        <v>0</v>
      </c>
      <c r="S21" s="300">
        <v>0</v>
      </c>
      <c r="T21" s="301">
        <v>0.266331354592998</v>
      </c>
      <c r="U21" s="301">
        <v>0.22493783241047799</v>
      </c>
      <c r="V21" s="301">
        <v>0.222178530516908</v>
      </c>
    </row>
    <row r="22" spans="1:22" s="1" customFormat="1" ht="14.5" customHeight="1" x14ac:dyDescent="0.35">
      <c r="A22" s="342" t="s">
        <v>229</v>
      </c>
      <c r="B22" s="344"/>
      <c r="C22" s="344"/>
      <c r="D22" s="344"/>
      <c r="E22" s="344"/>
      <c r="F22" s="309">
        <v>75116825.920000002</v>
      </c>
      <c r="G22" s="310">
        <v>0</v>
      </c>
      <c r="H22" s="310">
        <v>0</v>
      </c>
      <c r="I22" s="310">
        <v>0</v>
      </c>
      <c r="J22" s="310">
        <v>0</v>
      </c>
      <c r="K22" s="309">
        <v>75116825.920000002</v>
      </c>
      <c r="L22" s="309">
        <v>200059.66</v>
      </c>
      <c r="M22" s="309">
        <v>-31093.5</v>
      </c>
      <c r="N22" s="309">
        <v>-2072.6999999999998</v>
      </c>
      <c r="O22" s="310">
        <v>0</v>
      </c>
      <c r="P22" s="310">
        <v>0</v>
      </c>
      <c r="Q22" s="309">
        <v>75283719.379999995</v>
      </c>
      <c r="R22" s="311">
        <v>0</v>
      </c>
      <c r="S22" s="312" t="s">
        <v>2</v>
      </c>
      <c r="T22" s="312" t="s">
        <v>2</v>
      </c>
      <c r="U22" s="312" t="s">
        <v>2</v>
      </c>
      <c r="V22" s="312" t="s">
        <v>2</v>
      </c>
    </row>
    <row r="23" spans="1:22" ht="14.5" customHeight="1" x14ac:dyDescent="0.35">
      <c r="A23" s="346" t="s">
        <v>37</v>
      </c>
      <c r="B23" s="333"/>
      <c r="C23" s="333"/>
      <c r="D23" s="333"/>
      <c r="E23" s="333"/>
      <c r="F23" s="294" t="s">
        <v>2</v>
      </c>
      <c r="G23" s="294" t="s">
        <v>2</v>
      </c>
      <c r="H23" s="294" t="s">
        <v>2</v>
      </c>
      <c r="I23" s="294" t="s">
        <v>2</v>
      </c>
      <c r="J23" s="294" t="s">
        <v>2</v>
      </c>
      <c r="K23" s="295" t="s">
        <v>2</v>
      </c>
      <c r="L23" s="294" t="s">
        <v>2</v>
      </c>
      <c r="M23" s="295" t="s">
        <v>2</v>
      </c>
      <c r="N23" s="294" t="s">
        <v>2</v>
      </c>
      <c r="O23" s="294" t="s">
        <v>2</v>
      </c>
      <c r="P23" s="294" t="s">
        <v>2</v>
      </c>
      <c r="Q23" s="294" t="s">
        <v>2</v>
      </c>
      <c r="R23" s="294" t="s">
        <v>2</v>
      </c>
      <c r="S23" s="294" t="s">
        <v>2</v>
      </c>
      <c r="T23" s="294" t="s">
        <v>2</v>
      </c>
      <c r="U23" s="294" t="s">
        <v>2</v>
      </c>
      <c r="V23" s="294" t="s">
        <v>2</v>
      </c>
    </row>
    <row r="24" spans="1:22" x14ac:dyDescent="0.35">
      <c r="A24" s="302" t="s">
        <v>2</v>
      </c>
      <c r="B24" s="304" t="s">
        <v>38</v>
      </c>
      <c r="C24" s="340" t="s">
        <v>38</v>
      </c>
      <c r="D24" s="333"/>
      <c r="E24" s="304" t="s">
        <v>25</v>
      </c>
      <c r="F24" s="305">
        <v>31086833.252300002</v>
      </c>
      <c r="G24" s="306">
        <v>0</v>
      </c>
      <c r="H24" s="306">
        <v>0</v>
      </c>
      <c r="I24" s="306">
        <v>0</v>
      </c>
      <c r="J24" s="306">
        <v>0</v>
      </c>
      <c r="K24" s="305">
        <v>31086833.252300002</v>
      </c>
      <c r="L24" s="305">
        <v>42926.76</v>
      </c>
      <c r="M24" s="305">
        <v>-7124.13</v>
      </c>
      <c r="N24" s="305">
        <v>1581.93</v>
      </c>
      <c r="O24" s="306">
        <v>0</v>
      </c>
      <c r="P24" s="306">
        <v>0</v>
      </c>
      <c r="Q24" s="305">
        <v>31124217.8123</v>
      </c>
      <c r="R24" s="307">
        <v>0</v>
      </c>
      <c r="S24" s="306">
        <v>0</v>
      </c>
      <c r="T24" s="307">
        <v>0.13808662867525801</v>
      </c>
      <c r="U24" s="307">
        <v>0.115169755984557</v>
      </c>
      <c r="V24" s="307">
        <v>0.120258502037142</v>
      </c>
    </row>
    <row r="25" spans="1:22" x14ac:dyDescent="0.35">
      <c r="A25" s="296" t="s">
        <v>2</v>
      </c>
      <c r="B25" s="298" t="s">
        <v>39</v>
      </c>
      <c r="C25" s="339" t="s">
        <v>39</v>
      </c>
      <c r="D25" s="333"/>
      <c r="E25" s="298" t="s">
        <v>25</v>
      </c>
      <c r="F25" s="299">
        <v>40764589.117700003</v>
      </c>
      <c r="G25" s="300">
        <v>0</v>
      </c>
      <c r="H25" s="300">
        <v>0</v>
      </c>
      <c r="I25" s="300">
        <v>0</v>
      </c>
      <c r="J25" s="300">
        <v>0</v>
      </c>
      <c r="K25" s="299">
        <v>40764589.117700003</v>
      </c>
      <c r="L25" s="299">
        <v>56290.39</v>
      </c>
      <c r="M25" s="299">
        <v>-9341.9699999999993</v>
      </c>
      <c r="N25" s="299">
        <v>2074.4</v>
      </c>
      <c r="O25" s="300">
        <v>0</v>
      </c>
      <c r="P25" s="300">
        <v>0</v>
      </c>
      <c r="Q25" s="299">
        <v>40813611.937700003</v>
      </c>
      <c r="R25" s="301">
        <v>0</v>
      </c>
      <c r="S25" s="300">
        <v>0</v>
      </c>
      <c r="T25" s="301">
        <v>0.138086489324036</v>
      </c>
      <c r="U25" s="301">
        <v>0.115169614158125</v>
      </c>
      <c r="V25" s="301">
        <v>0.120258344462779</v>
      </c>
    </row>
    <row r="26" spans="1:22" ht="14.5" customHeight="1" x14ac:dyDescent="0.35">
      <c r="A26" s="342" t="s">
        <v>40</v>
      </c>
      <c r="B26" s="344"/>
      <c r="C26" s="344"/>
      <c r="D26" s="344"/>
      <c r="E26" s="344"/>
      <c r="F26" s="309">
        <v>71851422.370000005</v>
      </c>
      <c r="G26" s="310">
        <v>0</v>
      </c>
      <c r="H26" s="310">
        <v>0</v>
      </c>
      <c r="I26" s="310">
        <v>0</v>
      </c>
      <c r="J26" s="310">
        <v>0</v>
      </c>
      <c r="K26" s="309">
        <v>71851422.370000005</v>
      </c>
      <c r="L26" s="309">
        <v>99217.15</v>
      </c>
      <c r="M26" s="309">
        <v>-16466.099999999999</v>
      </c>
      <c r="N26" s="309">
        <v>3656.33</v>
      </c>
      <c r="O26" s="310">
        <v>0</v>
      </c>
      <c r="P26" s="310">
        <v>0</v>
      </c>
      <c r="Q26" s="309">
        <v>71937829.75</v>
      </c>
      <c r="R26" s="311">
        <v>0</v>
      </c>
      <c r="S26" s="312" t="s">
        <v>2</v>
      </c>
      <c r="T26" s="312" t="s">
        <v>2</v>
      </c>
      <c r="U26" s="312" t="s">
        <v>2</v>
      </c>
      <c r="V26" s="312" t="s">
        <v>2</v>
      </c>
    </row>
    <row r="27" spans="1:22" ht="14.5" customHeight="1" x14ac:dyDescent="0.35">
      <c r="A27" s="346" t="s">
        <v>41</v>
      </c>
      <c r="B27" s="333"/>
      <c r="C27" s="333"/>
      <c r="D27" s="333"/>
      <c r="E27" s="333"/>
      <c r="F27" s="294" t="s">
        <v>2</v>
      </c>
      <c r="G27" s="294" t="s">
        <v>2</v>
      </c>
      <c r="H27" s="294" t="s">
        <v>2</v>
      </c>
      <c r="I27" s="294" t="s">
        <v>2</v>
      </c>
      <c r="J27" s="294" t="s">
        <v>2</v>
      </c>
      <c r="K27" s="295" t="s">
        <v>2</v>
      </c>
      <c r="L27" s="294" t="s">
        <v>2</v>
      </c>
      <c r="M27" s="295" t="s">
        <v>2</v>
      </c>
      <c r="N27" s="294" t="s">
        <v>2</v>
      </c>
      <c r="O27" s="294" t="s">
        <v>2</v>
      </c>
      <c r="P27" s="294" t="s">
        <v>2</v>
      </c>
      <c r="Q27" s="294" t="s">
        <v>2</v>
      </c>
      <c r="R27" s="294" t="s">
        <v>2</v>
      </c>
      <c r="S27" s="294" t="s">
        <v>2</v>
      </c>
      <c r="T27" s="294" t="s">
        <v>2</v>
      </c>
      <c r="U27" s="294" t="s">
        <v>2</v>
      </c>
      <c r="V27" s="294" t="s">
        <v>2</v>
      </c>
    </row>
    <row r="28" spans="1:22" x14ac:dyDescent="0.35">
      <c r="A28" s="302" t="s">
        <v>2</v>
      </c>
      <c r="B28" s="304" t="s">
        <v>166</v>
      </c>
      <c r="C28" s="340" t="s">
        <v>166</v>
      </c>
      <c r="D28" s="333"/>
      <c r="E28" s="304" t="s">
        <v>25</v>
      </c>
      <c r="F28" s="305">
        <v>60112590.159999996</v>
      </c>
      <c r="G28" s="306">
        <v>0</v>
      </c>
      <c r="H28" s="306">
        <v>0</v>
      </c>
      <c r="I28" s="306">
        <v>0</v>
      </c>
      <c r="J28" s="306">
        <v>0</v>
      </c>
      <c r="K28" s="305">
        <v>60112590.159999996</v>
      </c>
      <c r="L28" s="305">
        <v>89175.95</v>
      </c>
      <c r="M28" s="305">
        <v>-17407.95</v>
      </c>
      <c r="N28" s="305">
        <v>5023.68</v>
      </c>
      <c r="O28" s="306">
        <v>0</v>
      </c>
      <c r="P28" s="306">
        <v>0</v>
      </c>
      <c r="Q28" s="305">
        <v>60189381.840000004</v>
      </c>
      <c r="R28" s="307">
        <v>0</v>
      </c>
      <c r="S28" s="306">
        <v>0</v>
      </c>
      <c r="T28" s="307">
        <v>0.148348207526315</v>
      </c>
      <c r="U28" s="307">
        <v>0.11938929899539701</v>
      </c>
      <c r="V28" s="307">
        <v>0.127746416841473</v>
      </c>
    </row>
    <row r="29" spans="1:22" s="1" customFormat="1" x14ac:dyDescent="0.35">
      <c r="A29" s="296" t="s">
        <v>2</v>
      </c>
      <c r="B29" s="298" t="s">
        <v>167</v>
      </c>
      <c r="C29" s="339" t="s">
        <v>167</v>
      </c>
      <c r="D29" s="333"/>
      <c r="E29" s="298" t="s">
        <v>25</v>
      </c>
      <c r="F29" s="299">
        <v>16022169.560000001</v>
      </c>
      <c r="G29" s="300">
        <v>146.19999999999999</v>
      </c>
      <c r="H29" s="300">
        <v>0</v>
      </c>
      <c r="I29" s="300">
        <v>0</v>
      </c>
      <c r="J29" s="300">
        <v>0</v>
      </c>
      <c r="K29" s="299">
        <v>16022315.76</v>
      </c>
      <c r="L29" s="299">
        <v>23768.76</v>
      </c>
      <c r="M29" s="299">
        <v>-4639.88</v>
      </c>
      <c r="N29" s="299">
        <v>1339</v>
      </c>
      <c r="O29" s="300">
        <v>0</v>
      </c>
      <c r="P29" s="300">
        <v>0</v>
      </c>
      <c r="Q29" s="299">
        <v>16042783.640000001</v>
      </c>
      <c r="R29" s="301">
        <v>0</v>
      </c>
      <c r="S29" s="300">
        <v>0</v>
      </c>
      <c r="T29" s="301">
        <v>0.148347844069701</v>
      </c>
      <c r="U29" s="301">
        <v>0.119388984005393</v>
      </c>
      <c r="V29" s="301">
        <v>0.12774607807379801</v>
      </c>
    </row>
    <row r="30" spans="1:22" s="1" customFormat="1" x14ac:dyDescent="0.35">
      <c r="A30" s="302" t="s">
        <v>2</v>
      </c>
      <c r="B30" s="304" t="s">
        <v>42</v>
      </c>
      <c r="C30" s="340" t="s">
        <v>42</v>
      </c>
      <c r="D30" s="333"/>
      <c r="E30" s="304" t="s">
        <v>25</v>
      </c>
      <c r="F30" s="305">
        <v>132087780.28</v>
      </c>
      <c r="G30" s="306">
        <v>0</v>
      </c>
      <c r="H30" s="306">
        <v>-129360.23</v>
      </c>
      <c r="I30" s="306">
        <v>0</v>
      </c>
      <c r="J30" s="306">
        <v>0</v>
      </c>
      <c r="K30" s="305">
        <v>131958420.05</v>
      </c>
      <c r="L30" s="305">
        <v>195806.58</v>
      </c>
      <c r="M30" s="305">
        <v>-38224.980000000003</v>
      </c>
      <c r="N30" s="305">
        <v>11031.36</v>
      </c>
      <c r="O30" s="306">
        <v>0</v>
      </c>
      <c r="P30" s="306">
        <v>0</v>
      </c>
      <c r="Q30" s="305">
        <v>132127033.01000001</v>
      </c>
      <c r="R30" s="307">
        <v>0</v>
      </c>
      <c r="S30" s="306">
        <v>0</v>
      </c>
      <c r="T30" s="307">
        <v>0.148385059419329</v>
      </c>
      <c r="U30" s="307">
        <v>0.119417616503965</v>
      </c>
      <c r="V30" s="307">
        <v>0.127777340723018</v>
      </c>
    </row>
    <row r="31" spans="1:22" s="1" customFormat="1" x14ac:dyDescent="0.35">
      <c r="A31" s="296" t="s">
        <v>2</v>
      </c>
      <c r="B31" s="298" t="s">
        <v>230</v>
      </c>
      <c r="C31" s="339" t="s">
        <v>230</v>
      </c>
      <c r="D31" s="333"/>
      <c r="E31" s="298" t="s">
        <v>25</v>
      </c>
      <c r="F31" s="299">
        <v>50033250.100000001</v>
      </c>
      <c r="G31" s="300">
        <v>0</v>
      </c>
      <c r="H31" s="300">
        <v>-49000.09</v>
      </c>
      <c r="I31" s="300">
        <v>0</v>
      </c>
      <c r="J31" s="300">
        <v>0</v>
      </c>
      <c r="K31" s="299">
        <v>49984250.009999998</v>
      </c>
      <c r="L31" s="299">
        <v>74169.16</v>
      </c>
      <c r="M31" s="299">
        <v>-14479.16</v>
      </c>
      <c r="N31" s="299">
        <v>4178.54</v>
      </c>
      <c r="O31" s="300">
        <v>0</v>
      </c>
      <c r="P31" s="300">
        <v>0</v>
      </c>
      <c r="Q31" s="299">
        <v>50048118.549999997</v>
      </c>
      <c r="R31" s="301">
        <v>0</v>
      </c>
      <c r="S31" s="300">
        <v>0</v>
      </c>
      <c r="T31" s="301">
        <v>0.148385061264621</v>
      </c>
      <c r="U31" s="301">
        <v>0.119417616525322</v>
      </c>
      <c r="V31" s="301">
        <v>0.127777329833342</v>
      </c>
    </row>
    <row r="32" spans="1:22" s="1" customFormat="1" x14ac:dyDescent="0.35">
      <c r="A32" s="302" t="s">
        <v>2</v>
      </c>
      <c r="B32" s="304" t="s">
        <v>161</v>
      </c>
      <c r="C32" s="340" t="s">
        <v>161</v>
      </c>
      <c r="D32" s="333"/>
      <c r="E32" s="304" t="s">
        <v>25</v>
      </c>
      <c r="F32" s="305">
        <v>21050661.510000002</v>
      </c>
      <c r="G32" s="306">
        <v>0</v>
      </c>
      <c r="H32" s="306">
        <v>0</v>
      </c>
      <c r="I32" s="306">
        <v>0</v>
      </c>
      <c r="J32" s="306">
        <v>0</v>
      </c>
      <c r="K32" s="305">
        <v>21050661.510000002</v>
      </c>
      <c r="L32" s="305">
        <v>31228.29</v>
      </c>
      <c r="M32" s="305">
        <v>-6096.05</v>
      </c>
      <c r="N32" s="305">
        <v>1759.22</v>
      </c>
      <c r="O32" s="306">
        <v>0</v>
      </c>
      <c r="P32" s="306">
        <v>0</v>
      </c>
      <c r="Q32" s="305">
        <v>21077552.969999999</v>
      </c>
      <c r="R32" s="307">
        <v>0</v>
      </c>
      <c r="S32" s="306">
        <v>0</v>
      </c>
      <c r="T32" s="307">
        <v>0.14834825967424001</v>
      </c>
      <c r="U32" s="307">
        <v>0.119389312245893</v>
      </c>
      <c r="V32" s="307">
        <v>0.127746389286747</v>
      </c>
    </row>
    <row r="33" spans="1:22" ht="14.5" customHeight="1" x14ac:dyDescent="0.35">
      <c r="A33" s="342" t="s">
        <v>43</v>
      </c>
      <c r="B33" s="344"/>
      <c r="C33" s="344"/>
      <c r="D33" s="344"/>
      <c r="E33" s="344"/>
      <c r="F33" s="309">
        <v>279306451.61000001</v>
      </c>
      <c r="G33" s="310">
        <v>146.19999999999999</v>
      </c>
      <c r="H33" s="310">
        <v>-178360.32000000001</v>
      </c>
      <c r="I33" s="310">
        <v>0</v>
      </c>
      <c r="J33" s="310">
        <v>0</v>
      </c>
      <c r="K33" s="309">
        <v>279128237.49000001</v>
      </c>
      <c r="L33" s="309">
        <v>414148.74</v>
      </c>
      <c r="M33" s="309">
        <v>-80848.02</v>
      </c>
      <c r="N33" s="309">
        <v>23331.8</v>
      </c>
      <c r="O33" s="310">
        <v>0</v>
      </c>
      <c r="P33" s="310">
        <v>0</v>
      </c>
      <c r="Q33" s="309">
        <v>279484870.00999999</v>
      </c>
      <c r="R33" s="311">
        <v>0</v>
      </c>
      <c r="S33" s="312" t="s">
        <v>2</v>
      </c>
      <c r="T33" s="312" t="s">
        <v>2</v>
      </c>
      <c r="U33" s="312" t="s">
        <v>2</v>
      </c>
      <c r="V33" s="312" t="s">
        <v>2</v>
      </c>
    </row>
    <row r="34" spans="1:22" ht="14.5" customHeight="1" x14ac:dyDescent="0.35">
      <c r="A34" s="346" t="s">
        <v>44</v>
      </c>
      <c r="B34" s="333"/>
      <c r="C34" s="333"/>
      <c r="D34" s="333"/>
      <c r="E34" s="333"/>
      <c r="F34" s="294" t="s">
        <v>2</v>
      </c>
      <c r="G34" s="294" t="s">
        <v>2</v>
      </c>
      <c r="H34" s="294" t="s">
        <v>2</v>
      </c>
      <c r="I34" s="294" t="s">
        <v>2</v>
      </c>
      <c r="J34" s="294" t="s">
        <v>2</v>
      </c>
      <c r="K34" s="295" t="s">
        <v>2</v>
      </c>
      <c r="L34" s="294" t="s">
        <v>2</v>
      </c>
      <c r="M34" s="295" t="s">
        <v>2</v>
      </c>
      <c r="N34" s="294" t="s">
        <v>2</v>
      </c>
      <c r="O34" s="294" t="s">
        <v>2</v>
      </c>
      <c r="P34" s="294" t="s">
        <v>2</v>
      </c>
      <c r="Q34" s="294" t="s">
        <v>2</v>
      </c>
      <c r="R34" s="294" t="s">
        <v>2</v>
      </c>
      <c r="S34" s="294" t="s">
        <v>2</v>
      </c>
      <c r="T34" s="294" t="s">
        <v>2</v>
      </c>
      <c r="U34" s="294" t="s">
        <v>2</v>
      </c>
      <c r="V34" s="294" t="s">
        <v>2</v>
      </c>
    </row>
    <row r="35" spans="1:22" x14ac:dyDescent="0.35">
      <c r="A35" s="296" t="s">
        <v>2</v>
      </c>
      <c r="B35" s="298" t="s">
        <v>24</v>
      </c>
      <c r="C35" s="339" t="s">
        <v>24</v>
      </c>
      <c r="D35" s="333"/>
      <c r="E35" s="298" t="s">
        <v>25</v>
      </c>
      <c r="F35" s="299">
        <v>75604500.909600005</v>
      </c>
      <c r="G35" s="300">
        <v>0</v>
      </c>
      <c r="H35" s="300">
        <v>0</v>
      </c>
      <c r="I35" s="300">
        <v>0</v>
      </c>
      <c r="J35" s="300">
        <v>0</v>
      </c>
      <c r="K35" s="299">
        <v>75604500.909600005</v>
      </c>
      <c r="L35" s="299">
        <v>113253.36</v>
      </c>
      <c r="M35" s="299">
        <v>-28140.5</v>
      </c>
      <c r="N35" s="299">
        <v>6697.67</v>
      </c>
      <c r="O35" s="300">
        <v>0</v>
      </c>
      <c r="P35" s="300">
        <v>0</v>
      </c>
      <c r="Q35" s="299">
        <v>75696311.439600006</v>
      </c>
      <c r="R35" s="301">
        <v>0</v>
      </c>
      <c r="S35" s="300">
        <v>0</v>
      </c>
      <c r="T35" s="301">
        <v>0.14979711344886301</v>
      </c>
      <c r="U35" s="301">
        <v>0.112576445814739</v>
      </c>
      <c r="V35" s="301">
        <v>0.12143527024902601</v>
      </c>
    </row>
    <row r="36" spans="1:22" x14ac:dyDescent="0.35">
      <c r="A36" s="302" t="s">
        <v>2</v>
      </c>
      <c r="B36" s="304" t="s">
        <v>38</v>
      </c>
      <c r="C36" s="340" t="s">
        <v>38</v>
      </c>
      <c r="D36" s="333"/>
      <c r="E36" s="304" t="s">
        <v>25</v>
      </c>
      <c r="F36" s="305">
        <v>50645290.4142</v>
      </c>
      <c r="G36" s="306">
        <v>0</v>
      </c>
      <c r="H36" s="306">
        <v>0</v>
      </c>
      <c r="I36" s="306">
        <v>0</v>
      </c>
      <c r="J36" s="306">
        <v>0</v>
      </c>
      <c r="K36" s="305">
        <v>50645290.4142</v>
      </c>
      <c r="L36" s="305">
        <v>75865.210000000006</v>
      </c>
      <c r="M36" s="305">
        <v>-18850.509999999998</v>
      </c>
      <c r="N36" s="305">
        <v>4486.57</v>
      </c>
      <c r="O36" s="306">
        <v>0</v>
      </c>
      <c r="P36" s="306">
        <v>0</v>
      </c>
      <c r="Q36" s="305">
        <v>50706791.684199996</v>
      </c>
      <c r="R36" s="307">
        <v>0</v>
      </c>
      <c r="S36" s="306">
        <v>0</v>
      </c>
      <c r="T36" s="307">
        <v>0.14979716648782199</v>
      </c>
      <c r="U36" s="307">
        <v>0.112576509155556</v>
      </c>
      <c r="V36" s="307">
        <v>0.121435319053391</v>
      </c>
    </row>
    <row r="37" spans="1:22" x14ac:dyDescent="0.35">
      <c r="A37" s="296" t="s">
        <v>2</v>
      </c>
      <c r="B37" s="298" t="s">
        <v>166</v>
      </c>
      <c r="C37" s="339" t="s">
        <v>166</v>
      </c>
      <c r="D37" s="333"/>
      <c r="E37" s="298" t="s">
        <v>25</v>
      </c>
      <c r="F37" s="299">
        <v>50095305.549999997</v>
      </c>
      <c r="G37" s="300">
        <v>0</v>
      </c>
      <c r="H37" s="300">
        <v>0</v>
      </c>
      <c r="I37" s="300">
        <v>0</v>
      </c>
      <c r="J37" s="300">
        <v>0</v>
      </c>
      <c r="K37" s="299">
        <v>50095305.549999997</v>
      </c>
      <c r="L37" s="299">
        <v>75041.33</v>
      </c>
      <c r="M37" s="299">
        <v>-18645.810000000001</v>
      </c>
      <c r="N37" s="299">
        <v>4437.84</v>
      </c>
      <c r="O37" s="300">
        <v>0</v>
      </c>
      <c r="P37" s="300">
        <v>0</v>
      </c>
      <c r="Q37" s="299">
        <v>50156138.909999996</v>
      </c>
      <c r="R37" s="301">
        <v>0</v>
      </c>
      <c r="S37" s="300">
        <v>0</v>
      </c>
      <c r="T37" s="301">
        <v>0.14979713004265699</v>
      </c>
      <c r="U37" s="301">
        <v>0.112576456777396</v>
      </c>
      <c r="V37" s="301">
        <v>0.12143525093241</v>
      </c>
    </row>
    <row r="38" spans="1:22" s="1" customFormat="1" x14ac:dyDescent="0.35">
      <c r="A38" s="302" t="s">
        <v>2</v>
      </c>
      <c r="B38" s="304" t="s">
        <v>45</v>
      </c>
      <c r="C38" s="340" t="s">
        <v>45</v>
      </c>
      <c r="D38" s="333"/>
      <c r="E38" s="304" t="s">
        <v>25</v>
      </c>
      <c r="F38" s="305">
        <v>50095305.552299999</v>
      </c>
      <c r="G38" s="306">
        <v>0</v>
      </c>
      <c r="H38" s="306">
        <v>0</v>
      </c>
      <c r="I38" s="306">
        <v>0</v>
      </c>
      <c r="J38" s="306">
        <v>0</v>
      </c>
      <c r="K38" s="305">
        <v>50095305.552299999</v>
      </c>
      <c r="L38" s="305">
        <v>75041.33</v>
      </c>
      <c r="M38" s="305">
        <v>-18645.810000000001</v>
      </c>
      <c r="N38" s="305">
        <v>4437.84</v>
      </c>
      <c r="O38" s="306">
        <v>0</v>
      </c>
      <c r="P38" s="306">
        <v>0</v>
      </c>
      <c r="Q38" s="305">
        <v>50156138.912299998</v>
      </c>
      <c r="R38" s="307">
        <v>0</v>
      </c>
      <c r="S38" s="306">
        <v>0</v>
      </c>
      <c r="T38" s="307">
        <v>0.14979713003577999</v>
      </c>
      <c r="U38" s="307">
        <v>0.112576456772227</v>
      </c>
      <c r="V38" s="307">
        <v>0.12143525092683501</v>
      </c>
    </row>
    <row r="39" spans="1:22" x14ac:dyDescent="0.35">
      <c r="A39" s="296" t="s">
        <v>2</v>
      </c>
      <c r="B39" s="298" t="s">
        <v>31</v>
      </c>
      <c r="C39" s="339" t="s">
        <v>31</v>
      </c>
      <c r="D39" s="333"/>
      <c r="E39" s="298" t="s">
        <v>25</v>
      </c>
      <c r="F39" s="299">
        <v>30740922.3594</v>
      </c>
      <c r="G39" s="300">
        <v>0</v>
      </c>
      <c r="H39" s="300">
        <v>0</v>
      </c>
      <c r="I39" s="300">
        <v>0</v>
      </c>
      <c r="J39" s="300">
        <v>0</v>
      </c>
      <c r="K39" s="299">
        <v>30740922.3594</v>
      </c>
      <c r="L39" s="299">
        <v>46049.02</v>
      </c>
      <c r="M39" s="299">
        <v>-11441.97</v>
      </c>
      <c r="N39" s="299">
        <v>2723.28</v>
      </c>
      <c r="O39" s="300">
        <v>0</v>
      </c>
      <c r="P39" s="300">
        <v>0</v>
      </c>
      <c r="Q39" s="299">
        <v>30778252.689399999</v>
      </c>
      <c r="R39" s="301">
        <v>0</v>
      </c>
      <c r="S39" s="300">
        <v>0</v>
      </c>
      <c r="T39" s="301">
        <v>0.1497971318545</v>
      </c>
      <c r="U39" s="301">
        <v>0.11257648549188</v>
      </c>
      <c r="V39" s="301">
        <v>0.12143529580395</v>
      </c>
    </row>
    <row r="40" spans="1:22" x14ac:dyDescent="0.35">
      <c r="A40" s="302" t="s">
        <v>2</v>
      </c>
      <c r="B40" s="304" t="s">
        <v>32</v>
      </c>
      <c r="C40" s="340" t="s">
        <v>32</v>
      </c>
      <c r="D40" s="333"/>
      <c r="E40" s="304" t="s">
        <v>25</v>
      </c>
      <c r="F40" s="305">
        <v>1006857.4080000001</v>
      </c>
      <c r="G40" s="306">
        <v>0</v>
      </c>
      <c r="H40" s="306">
        <v>0</v>
      </c>
      <c r="I40" s="306">
        <v>0</v>
      </c>
      <c r="J40" s="306">
        <v>0</v>
      </c>
      <c r="K40" s="305">
        <v>1006857.4080000001</v>
      </c>
      <c r="L40" s="305">
        <v>1508.22</v>
      </c>
      <c r="M40" s="305">
        <v>-374.76</v>
      </c>
      <c r="N40" s="305">
        <v>89.19</v>
      </c>
      <c r="O40" s="306">
        <v>0</v>
      </c>
      <c r="P40" s="306">
        <v>0</v>
      </c>
      <c r="Q40" s="305">
        <v>1008080.058</v>
      </c>
      <c r="R40" s="307">
        <v>0</v>
      </c>
      <c r="S40" s="306">
        <v>0</v>
      </c>
      <c r="T40" s="307">
        <v>0.14979479596777201</v>
      </c>
      <c r="U40" s="307">
        <v>0.11257403391921</v>
      </c>
      <c r="V40" s="307">
        <v>0.121432289248251</v>
      </c>
    </row>
    <row r="41" spans="1:22" x14ac:dyDescent="0.35">
      <c r="A41" s="296" t="s">
        <v>2</v>
      </c>
      <c r="B41" s="298" t="s">
        <v>33</v>
      </c>
      <c r="C41" s="339" t="s">
        <v>33</v>
      </c>
      <c r="D41" s="333"/>
      <c r="E41" s="298" t="s">
        <v>25</v>
      </c>
      <c r="F41" s="299">
        <v>13889392.880000001</v>
      </c>
      <c r="G41" s="300">
        <v>0</v>
      </c>
      <c r="H41" s="300">
        <v>0</v>
      </c>
      <c r="I41" s="300">
        <v>0</v>
      </c>
      <c r="J41" s="300">
        <v>0</v>
      </c>
      <c r="K41" s="299">
        <v>13889392.880000001</v>
      </c>
      <c r="L41" s="299">
        <v>20805.91</v>
      </c>
      <c r="M41" s="299">
        <v>-5169.7299999999996</v>
      </c>
      <c r="N41" s="299">
        <v>1230.43</v>
      </c>
      <c r="O41" s="300">
        <v>0</v>
      </c>
      <c r="P41" s="300">
        <v>0</v>
      </c>
      <c r="Q41" s="299">
        <v>13906259.49</v>
      </c>
      <c r="R41" s="301">
        <v>0</v>
      </c>
      <c r="S41" s="300">
        <v>0</v>
      </c>
      <c r="T41" s="301">
        <v>0.14979711625811501</v>
      </c>
      <c r="U41" s="301">
        <v>0.11257641089925</v>
      </c>
      <c r="V41" s="301">
        <v>0.121435185437709</v>
      </c>
    </row>
    <row r="42" spans="1:22" x14ac:dyDescent="0.35">
      <c r="A42" s="302" t="s">
        <v>2</v>
      </c>
      <c r="B42" s="304" t="s">
        <v>34</v>
      </c>
      <c r="C42" s="340" t="s">
        <v>34</v>
      </c>
      <c r="D42" s="333"/>
      <c r="E42" s="304" t="s">
        <v>25</v>
      </c>
      <c r="F42" s="305">
        <v>6705169.5045999996</v>
      </c>
      <c r="G42" s="306">
        <v>0</v>
      </c>
      <c r="H42" s="306">
        <v>0</v>
      </c>
      <c r="I42" s="306">
        <v>0</v>
      </c>
      <c r="J42" s="306">
        <v>0</v>
      </c>
      <c r="K42" s="305">
        <v>6705169.5045999996</v>
      </c>
      <c r="L42" s="305">
        <v>10044.17</v>
      </c>
      <c r="M42" s="305">
        <v>-2495.71</v>
      </c>
      <c r="N42" s="305">
        <v>593.99</v>
      </c>
      <c r="O42" s="306">
        <v>0</v>
      </c>
      <c r="P42" s="306">
        <v>0</v>
      </c>
      <c r="Q42" s="305">
        <v>6713311.9545999998</v>
      </c>
      <c r="R42" s="307">
        <v>0</v>
      </c>
      <c r="S42" s="306">
        <v>0</v>
      </c>
      <c r="T42" s="307">
        <v>0.14979740621186899</v>
      </c>
      <c r="U42" s="307">
        <v>0.112576721510492</v>
      </c>
      <c r="V42" s="307">
        <v>0.12143540882022399</v>
      </c>
    </row>
    <row r="43" spans="1:22" x14ac:dyDescent="0.35">
      <c r="A43" s="296" t="s">
        <v>2</v>
      </c>
      <c r="B43" s="298" t="s">
        <v>39</v>
      </c>
      <c r="C43" s="339" t="s">
        <v>39</v>
      </c>
      <c r="D43" s="333"/>
      <c r="E43" s="298" t="s">
        <v>25</v>
      </c>
      <c r="F43" s="299">
        <v>40389913.671999998</v>
      </c>
      <c r="G43" s="300">
        <v>0</v>
      </c>
      <c r="H43" s="300">
        <v>0</v>
      </c>
      <c r="I43" s="300">
        <v>0</v>
      </c>
      <c r="J43" s="300">
        <v>0</v>
      </c>
      <c r="K43" s="299">
        <v>40389913.671999998</v>
      </c>
      <c r="L43" s="299">
        <v>60502.93</v>
      </c>
      <c r="M43" s="299">
        <v>-15033.4</v>
      </c>
      <c r="N43" s="299">
        <v>3578.06</v>
      </c>
      <c r="O43" s="300">
        <v>0</v>
      </c>
      <c r="P43" s="300">
        <v>0</v>
      </c>
      <c r="Q43" s="299">
        <v>40438961.262000002</v>
      </c>
      <c r="R43" s="301">
        <v>0</v>
      </c>
      <c r="S43" s="300">
        <v>0</v>
      </c>
      <c r="T43" s="301">
        <v>0.149797126310629</v>
      </c>
      <c r="U43" s="301">
        <v>0.112576447598405</v>
      </c>
      <c r="V43" s="301">
        <v>0.121435243457829</v>
      </c>
    </row>
    <row r="44" spans="1:22" ht="14.5" customHeight="1" x14ac:dyDescent="0.35">
      <c r="A44" s="342" t="s">
        <v>46</v>
      </c>
      <c r="B44" s="344"/>
      <c r="C44" s="344"/>
      <c r="D44" s="344"/>
      <c r="E44" s="344"/>
      <c r="F44" s="309">
        <v>319172658.25010002</v>
      </c>
      <c r="G44" s="310">
        <v>0</v>
      </c>
      <c r="H44" s="310">
        <v>0</v>
      </c>
      <c r="I44" s="310">
        <v>0</v>
      </c>
      <c r="J44" s="310">
        <v>0</v>
      </c>
      <c r="K44" s="309">
        <v>319172658.25010002</v>
      </c>
      <c r="L44" s="309">
        <v>478111.48</v>
      </c>
      <c r="M44" s="309">
        <v>-118798.2</v>
      </c>
      <c r="N44" s="309">
        <v>28274.87</v>
      </c>
      <c r="O44" s="310">
        <v>0</v>
      </c>
      <c r="P44" s="310">
        <v>0</v>
      </c>
      <c r="Q44" s="309">
        <v>319560246.40009999</v>
      </c>
      <c r="R44" s="311">
        <v>0</v>
      </c>
      <c r="S44" s="312" t="s">
        <v>2</v>
      </c>
      <c r="T44" s="312" t="s">
        <v>2</v>
      </c>
      <c r="U44" s="312" t="s">
        <v>2</v>
      </c>
      <c r="V44" s="312" t="s">
        <v>2</v>
      </c>
    </row>
    <row r="45" spans="1:22" ht="14.5" customHeight="1" x14ac:dyDescent="0.35">
      <c r="A45" s="346" t="s">
        <v>47</v>
      </c>
      <c r="B45" s="333"/>
      <c r="C45" s="333"/>
      <c r="D45" s="333"/>
      <c r="E45" s="333"/>
      <c r="F45" s="294" t="s">
        <v>2</v>
      </c>
      <c r="G45" s="294" t="s">
        <v>2</v>
      </c>
      <c r="H45" s="294" t="s">
        <v>2</v>
      </c>
      <c r="I45" s="294" t="s">
        <v>2</v>
      </c>
      <c r="J45" s="294" t="s">
        <v>2</v>
      </c>
      <c r="K45" s="295" t="s">
        <v>2</v>
      </c>
      <c r="L45" s="294" t="s">
        <v>2</v>
      </c>
      <c r="M45" s="295" t="s">
        <v>2</v>
      </c>
      <c r="N45" s="294" t="s">
        <v>2</v>
      </c>
      <c r="O45" s="294" t="s">
        <v>2</v>
      </c>
      <c r="P45" s="294" t="s">
        <v>2</v>
      </c>
      <c r="Q45" s="294" t="s">
        <v>2</v>
      </c>
      <c r="R45" s="294" t="s">
        <v>2</v>
      </c>
      <c r="S45" s="294" t="s">
        <v>2</v>
      </c>
      <c r="T45" s="294" t="s">
        <v>2</v>
      </c>
      <c r="U45" s="294" t="s">
        <v>2</v>
      </c>
      <c r="V45" s="294" t="s">
        <v>2</v>
      </c>
    </row>
    <row r="46" spans="1:22" x14ac:dyDescent="0.35">
      <c r="A46" s="302" t="s">
        <v>2</v>
      </c>
      <c r="B46" s="304" t="s">
        <v>48</v>
      </c>
      <c r="C46" s="340" t="s">
        <v>48</v>
      </c>
      <c r="D46" s="333"/>
      <c r="E46" s="304" t="s">
        <v>25</v>
      </c>
      <c r="F46" s="305">
        <v>20465679.1972</v>
      </c>
      <c r="G46" s="306">
        <v>0</v>
      </c>
      <c r="H46" s="306">
        <v>0</v>
      </c>
      <c r="I46" s="306">
        <v>0</v>
      </c>
      <c r="J46" s="306">
        <v>0</v>
      </c>
      <c r="K46" s="305">
        <v>20465679.1972</v>
      </c>
      <c r="L46" s="305">
        <v>36760.230000000003</v>
      </c>
      <c r="M46" s="305">
        <v>-7614.89</v>
      </c>
      <c r="N46" s="305">
        <v>123.09</v>
      </c>
      <c r="O46" s="306">
        <v>0</v>
      </c>
      <c r="P46" s="306">
        <v>0</v>
      </c>
      <c r="Q46" s="305">
        <v>20494947.6272</v>
      </c>
      <c r="R46" s="307">
        <v>0</v>
      </c>
      <c r="S46" s="306">
        <v>0</v>
      </c>
      <c r="T46" s="307">
        <v>0.17961891049787099</v>
      </c>
      <c r="U46" s="307">
        <v>0.142410812361348</v>
      </c>
      <c r="V46" s="307">
        <v>0.14301225831783901</v>
      </c>
    </row>
    <row r="47" spans="1:22" s="1" customFormat="1" x14ac:dyDescent="0.35">
      <c r="A47" s="296" t="s">
        <v>2</v>
      </c>
      <c r="B47" s="298" t="s">
        <v>162</v>
      </c>
      <c r="C47" s="339" t="s">
        <v>162</v>
      </c>
      <c r="D47" s="333"/>
      <c r="E47" s="298" t="s">
        <v>25</v>
      </c>
      <c r="F47" s="299">
        <v>1004182.9615</v>
      </c>
      <c r="G47" s="300">
        <v>0</v>
      </c>
      <c r="H47" s="300">
        <v>0</v>
      </c>
      <c r="I47" s="300">
        <v>0</v>
      </c>
      <c r="J47" s="300">
        <v>0</v>
      </c>
      <c r="K47" s="299">
        <v>1004182.9615</v>
      </c>
      <c r="L47" s="299">
        <v>1803.71</v>
      </c>
      <c r="M47" s="299">
        <v>-373.64</v>
      </c>
      <c r="N47" s="299">
        <v>6.04</v>
      </c>
      <c r="O47" s="300">
        <v>0</v>
      </c>
      <c r="P47" s="300">
        <v>0</v>
      </c>
      <c r="Q47" s="299">
        <v>1005619.0715</v>
      </c>
      <c r="R47" s="301">
        <v>0</v>
      </c>
      <c r="S47" s="300">
        <v>0</v>
      </c>
      <c r="T47" s="301">
        <v>0.17961965788641801</v>
      </c>
      <c r="U47" s="301">
        <v>0.14241129901903801</v>
      </c>
      <c r="V47" s="301">
        <v>0.143012783034559</v>
      </c>
    </row>
    <row r="48" spans="1:22" s="1" customFormat="1" x14ac:dyDescent="0.35">
      <c r="A48" s="302" t="s">
        <v>2</v>
      </c>
      <c r="B48" s="304" t="s">
        <v>49</v>
      </c>
      <c r="C48" s="340" t="s">
        <v>49</v>
      </c>
      <c r="D48" s="333"/>
      <c r="E48" s="304" t="s">
        <v>25</v>
      </c>
      <c r="F48" s="305">
        <v>23465391.232999999</v>
      </c>
      <c r="G48" s="306">
        <v>0</v>
      </c>
      <c r="H48" s="306">
        <v>0</v>
      </c>
      <c r="I48" s="306">
        <v>0</v>
      </c>
      <c r="J48" s="306">
        <v>0</v>
      </c>
      <c r="K48" s="305">
        <v>23465391.232999999</v>
      </c>
      <c r="L48" s="305">
        <v>42148.27</v>
      </c>
      <c r="M48" s="305">
        <v>-8731.0300000000007</v>
      </c>
      <c r="N48" s="305">
        <v>141.13999999999999</v>
      </c>
      <c r="O48" s="306">
        <v>0</v>
      </c>
      <c r="P48" s="306">
        <v>0</v>
      </c>
      <c r="Q48" s="305">
        <v>23498949.613000002</v>
      </c>
      <c r="R48" s="307">
        <v>0</v>
      </c>
      <c r="S48" s="306">
        <v>0</v>
      </c>
      <c r="T48" s="307">
        <v>0.179618867554724</v>
      </c>
      <c r="U48" s="307">
        <v>0.142410751511377</v>
      </c>
      <c r="V48" s="307">
        <v>0.14301223306605701</v>
      </c>
    </row>
    <row r="49" spans="1:22" ht="15" x14ac:dyDescent="0.35">
      <c r="A49" s="296" t="s">
        <v>2</v>
      </c>
      <c r="B49" s="298" t="s">
        <v>50</v>
      </c>
      <c r="C49" s="339" t="s">
        <v>50</v>
      </c>
      <c r="D49" s="333"/>
      <c r="E49" s="298" t="s">
        <v>25</v>
      </c>
      <c r="F49" s="299">
        <v>3231858.1995999999</v>
      </c>
      <c r="G49" s="300">
        <v>0</v>
      </c>
      <c r="H49" s="300">
        <v>0</v>
      </c>
      <c r="I49" s="300">
        <v>0</v>
      </c>
      <c r="J49" s="300">
        <v>0</v>
      </c>
      <c r="K49" s="299">
        <v>3231858.1995999999</v>
      </c>
      <c r="L49" s="299">
        <v>5805</v>
      </c>
      <c r="M49" s="299">
        <v>-1202.51</v>
      </c>
      <c r="N49" s="299">
        <v>19.440000000000001</v>
      </c>
      <c r="O49" s="300">
        <v>0</v>
      </c>
      <c r="P49" s="300">
        <v>0</v>
      </c>
      <c r="Q49" s="299">
        <v>3236480.1296000001</v>
      </c>
      <c r="R49" s="301">
        <v>0</v>
      </c>
      <c r="S49" s="300">
        <v>0</v>
      </c>
      <c r="T49" s="301">
        <v>0.17961802905580701</v>
      </c>
      <c r="U49" s="301">
        <v>0.14241002283360199</v>
      </c>
      <c r="V49" s="301">
        <v>0.14301153437276601</v>
      </c>
    </row>
    <row r="50" spans="1:22" x14ac:dyDescent="0.35">
      <c r="A50" s="302" t="s">
        <v>2</v>
      </c>
      <c r="B50" s="304" t="s">
        <v>51</v>
      </c>
      <c r="C50" s="340" t="s">
        <v>51</v>
      </c>
      <c r="D50" s="333"/>
      <c r="E50" s="304" t="s">
        <v>25</v>
      </c>
      <c r="F50" s="305">
        <v>108743642.69760001</v>
      </c>
      <c r="G50" s="306">
        <v>0</v>
      </c>
      <c r="H50" s="306">
        <v>0</v>
      </c>
      <c r="I50" s="306">
        <v>0</v>
      </c>
      <c r="J50" s="306">
        <v>0</v>
      </c>
      <c r="K50" s="305">
        <v>108743642.69760001</v>
      </c>
      <c r="L50" s="305">
        <v>195324.1</v>
      </c>
      <c r="M50" s="305">
        <v>-40461.440000000002</v>
      </c>
      <c r="N50" s="305">
        <v>654.05999999999995</v>
      </c>
      <c r="O50" s="306">
        <v>0</v>
      </c>
      <c r="P50" s="306">
        <v>0</v>
      </c>
      <c r="Q50" s="305">
        <v>108899159.41760001</v>
      </c>
      <c r="R50" s="307">
        <v>0</v>
      </c>
      <c r="S50" s="306">
        <v>0</v>
      </c>
      <c r="T50" s="307">
        <v>0.179618867967452</v>
      </c>
      <c r="U50" s="307">
        <v>0.14241077101918501</v>
      </c>
      <c r="V50" s="307">
        <v>0.14301224066262799</v>
      </c>
    </row>
    <row r="51" spans="1:22" x14ac:dyDescent="0.35">
      <c r="A51" s="296" t="s">
        <v>2</v>
      </c>
      <c r="B51" s="298" t="s">
        <v>52</v>
      </c>
      <c r="C51" s="339" t="s">
        <v>52</v>
      </c>
      <c r="D51" s="333"/>
      <c r="E51" s="298" t="s">
        <v>25</v>
      </c>
      <c r="F51" s="299">
        <v>70568275.821099997</v>
      </c>
      <c r="G51" s="300">
        <v>0</v>
      </c>
      <c r="H51" s="300">
        <v>0</v>
      </c>
      <c r="I51" s="300">
        <v>0</v>
      </c>
      <c r="J51" s="300">
        <v>0</v>
      </c>
      <c r="K51" s="299">
        <v>70568275.821099997</v>
      </c>
      <c r="L51" s="299">
        <v>126753.93</v>
      </c>
      <c r="M51" s="299">
        <v>-26257.11</v>
      </c>
      <c r="N51" s="299">
        <v>424.45</v>
      </c>
      <c r="O51" s="300">
        <v>0</v>
      </c>
      <c r="P51" s="300">
        <v>0</v>
      </c>
      <c r="Q51" s="299">
        <v>70669197.091100007</v>
      </c>
      <c r="R51" s="301">
        <v>0</v>
      </c>
      <c r="S51" s="300">
        <v>0</v>
      </c>
      <c r="T51" s="301">
        <v>0.179618856384331</v>
      </c>
      <c r="U51" s="301">
        <v>0.14241076295355801</v>
      </c>
      <c r="V51" s="301">
        <v>0.14301223719260001</v>
      </c>
    </row>
    <row r="52" spans="1:22" x14ac:dyDescent="0.35">
      <c r="A52" s="302" t="s">
        <v>2</v>
      </c>
      <c r="B52" s="304" t="s">
        <v>231</v>
      </c>
      <c r="C52" s="340" t="s">
        <v>231</v>
      </c>
      <c r="D52" s="333"/>
      <c r="E52" s="304" t="s">
        <v>25</v>
      </c>
      <c r="F52" s="305">
        <v>25039390.32</v>
      </c>
      <c r="G52" s="306">
        <v>0</v>
      </c>
      <c r="H52" s="306">
        <v>0</v>
      </c>
      <c r="I52" s="306">
        <v>0</v>
      </c>
      <c r="J52" s="306">
        <v>0</v>
      </c>
      <c r="K52" s="305">
        <v>25039390.32</v>
      </c>
      <c r="L52" s="305">
        <v>44975.47</v>
      </c>
      <c r="M52" s="305">
        <v>-9316.68</v>
      </c>
      <c r="N52" s="305">
        <v>150.6</v>
      </c>
      <c r="O52" s="306">
        <v>0</v>
      </c>
      <c r="P52" s="306">
        <v>0</v>
      </c>
      <c r="Q52" s="305">
        <v>25075199.710000001</v>
      </c>
      <c r="R52" s="307">
        <v>0</v>
      </c>
      <c r="S52" s="306">
        <v>0</v>
      </c>
      <c r="T52" s="307">
        <v>0.17961887020897699</v>
      </c>
      <c r="U52" s="307">
        <v>0.142410775758856</v>
      </c>
      <c r="V52" s="307">
        <v>0.143012228102845</v>
      </c>
    </row>
    <row r="53" spans="1:22" ht="14.5" customHeight="1" x14ac:dyDescent="0.35">
      <c r="A53" s="342" t="s">
        <v>53</v>
      </c>
      <c r="B53" s="344"/>
      <c r="C53" s="344"/>
      <c r="D53" s="344"/>
      <c r="E53" s="344"/>
      <c r="F53" s="309">
        <v>252518420.43000001</v>
      </c>
      <c r="G53" s="310">
        <v>0</v>
      </c>
      <c r="H53" s="310">
        <v>0</v>
      </c>
      <c r="I53" s="310">
        <v>0</v>
      </c>
      <c r="J53" s="310">
        <v>0</v>
      </c>
      <c r="K53" s="309">
        <v>252518420.43000001</v>
      </c>
      <c r="L53" s="309">
        <v>453570.71</v>
      </c>
      <c r="M53" s="309">
        <v>-93957.3</v>
      </c>
      <c r="N53" s="309">
        <v>1518.82</v>
      </c>
      <c r="O53" s="310">
        <v>0</v>
      </c>
      <c r="P53" s="310">
        <v>0</v>
      </c>
      <c r="Q53" s="309">
        <v>252879552.66</v>
      </c>
      <c r="R53" s="311">
        <v>0</v>
      </c>
      <c r="S53" s="312" t="s">
        <v>2</v>
      </c>
      <c r="T53" s="312" t="s">
        <v>2</v>
      </c>
      <c r="U53" s="312" t="s">
        <v>2</v>
      </c>
      <c r="V53" s="312" t="s">
        <v>2</v>
      </c>
    </row>
    <row r="54" spans="1:22" ht="14.5" customHeight="1" x14ac:dyDescent="0.35">
      <c r="A54" s="346" t="s">
        <v>168</v>
      </c>
      <c r="B54" s="333"/>
      <c r="C54" s="333"/>
      <c r="D54" s="333"/>
      <c r="E54" s="333"/>
      <c r="F54" s="294" t="s">
        <v>2</v>
      </c>
      <c r="G54" s="294" t="s">
        <v>2</v>
      </c>
      <c r="H54" s="294" t="s">
        <v>2</v>
      </c>
      <c r="I54" s="294" t="s">
        <v>2</v>
      </c>
      <c r="J54" s="294" t="s">
        <v>2</v>
      </c>
      <c r="K54" s="295" t="s">
        <v>2</v>
      </c>
      <c r="L54" s="294" t="s">
        <v>2</v>
      </c>
      <c r="M54" s="295" t="s">
        <v>2</v>
      </c>
      <c r="N54" s="294" t="s">
        <v>2</v>
      </c>
      <c r="O54" s="294" t="s">
        <v>2</v>
      </c>
      <c r="P54" s="294" t="s">
        <v>2</v>
      </c>
      <c r="Q54" s="294" t="s">
        <v>2</v>
      </c>
      <c r="R54" s="294" t="s">
        <v>2</v>
      </c>
      <c r="S54" s="294" t="s">
        <v>2</v>
      </c>
      <c r="T54" s="294" t="s">
        <v>2</v>
      </c>
      <c r="U54" s="294" t="s">
        <v>2</v>
      </c>
      <c r="V54" s="294" t="s">
        <v>2</v>
      </c>
    </row>
    <row r="55" spans="1:22" s="1" customFormat="1" x14ac:dyDescent="0.35">
      <c r="A55" s="296" t="s">
        <v>2</v>
      </c>
      <c r="B55" s="298" t="s">
        <v>24</v>
      </c>
      <c r="C55" s="339" t="s">
        <v>24</v>
      </c>
      <c r="D55" s="333"/>
      <c r="E55" s="298" t="s">
        <v>25</v>
      </c>
      <c r="F55" s="299">
        <v>75470693.390000001</v>
      </c>
      <c r="G55" s="300">
        <v>0</v>
      </c>
      <c r="H55" s="300">
        <v>0</v>
      </c>
      <c r="I55" s="300">
        <v>0</v>
      </c>
      <c r="J55" s="300">
        <v>0</v>
      </c>
      <c r="K55" s="299">
        <v>75470693.390000001</v>
      </c>
      <c r="L55" s="299">
        <v>90761.22</v>
      </c>
      <c r="M55" s="299">
        <v>-28051.759999999998</v>
      </c>
      <c r="N55" s="299">
        <v>-8798.1</v>
      </c>
      <c r="O55" s="300">
        <v>0</v>
      </c>
      <c r="P55" s="300">
        <v>0</v>
      </c>
      <c r="Q55" s="299">
        <v>75524604.75</v>
      </c>
      <c r="R55" s="301">
        <v>0</v>
      </c>
      <c r="S55" s="300">
        <v>0</v>
      </c>
      <c r="T55" s="301">
        <v>0.120260217474067</v>
      </c>
      <c r="U55" s="301">
        <v>8.3091140657665E-2</v>
      </c>
      <c r="V55" s="301">
        <v>7.1433502964401499E-2</v>
      </c>
    </row>
    <row r="56" spans="1:22" s="1" customFormat="1" x14ac:dyDescent="0.35">
      <c r="A56" s="302" t="s">
        <v>2</v>
      </c>
      <c r="B56" s="304" t="s">
        <v>32</v>
      </c>
      <c r="C56" s="340" t="s">
        <v>32</v>
      </c>
      <c r="D56" s="333"/>
      <c r="E56" s="304" t="s">
        <v>25</v>
      </c>
      <c r="F56" s="305">
        <v>1005075.48</v>
      </c>
      <c r="G56" s="306">
        <v>0</v>
      </c>
      <c r="H56" s="306">
        <v>0</v>
      </c>
      <c r="I56" s="306">
        <v>0</v>
      </c>
      <c r="J56" s="306">
        <v>0</v>
      </c>
      <c r="K56" s="305">
        <v>1005075.48</v>
      </c>
      <c r="L56" s="305">
        <v>1208.71</v>
      </c>
      <c r="M56" s="305">
        <v>-373.57</v>
      </c>
      <c r="N56" s="305">
        <v>-117.17</v>
      </c>
      <c r="O56" s="306">
        <v>0</v>
      </c>
      <c r="P56" s="306">
        <v>0</v>
      </c>
      <c r="Q56" s="305">
        <v>1005793.45</v>
      </c>
      <c r="R56" s="307">
        <v>0</v>
      </c>
      <c r="S56" s="306">
        <v>0</v>
      </c>
      <c r="T56" s="307">
        <v>0.12026061963027899</v>
      </c>
      <c r="U56" s="307">
        <v>8.3092266861390304E-2</v>
      </c>
      <c r="V56" s="307">
        <v>7.1434435949029401E-2</v>
      </c>
    </row>
    <row r="57" spans="1:22" s="1" customFormat="1" x14ac:dyDescent="0.35">
      <c r="A57" s="296" t="s">
        <v>2</v>
      </c>
      <c r="B57" s="298" t="s">
        <v>33</v>
      </c>
      <c r="C57" s="339" t="s">
        <v>33</v>
      </c>
      <c r="D57" s="333"/>
      <c r="E57" s="298" t="s">
        <v>25</v>
      </c>
      <c r="F57" s="299">
        <v>13864811.48</v>
      </c>
      <c r="G57" s="300">
        <v>0</v>
      </c>
      <c r="H57" s="300">
        <v>0</v>
      </c>
      <c r="I57" s="300">
        <v>0</v>
      </c>
      <c r="J57" s="300">
        <v>0</v>
      </c>
      <c r="K57" s="299">
        <v>13864811.48</v>
      </c>
      <c r="L57" s="299">
        <v>16673.88</v>
      </c>
      <c r="M57" s="299">
        <v>-5153.43</v>
      </c>
      <c r="N57" s="299">
        <v>-1616.3</v>
      </c>
      <c r="O57" s="300">
        <v>0</v>
      </c>
      <c r="P57" s="300">
        <v>0</v>
      </c>
      <c r="Q57" s="299">
        <v>13874715.630000001</v>
      </c>
      <c r="R57" s="301">
        <v>0</v>
      </c>
      <c r="S57" s="300">
        <v>0</v>
      </c>
      <c r="T57" s="301">
        <v>0.12026041626351799</v>
      </c>
      <c r="U57" s="301">
        <v>8.30912848445019E-2</v>
      </c>
      <c r="V57" s="301">
        <v>7.1433715592070901E-2</v>
      </c>
    </row>
    <row r="58" spans="1:22" s="1" customFormat="1" x14ac:dyDescent="0.35">
      <c r="A58" s="302" t="s">
        <v>2</v>
      </c>
      <c r="B58" s="304" t="s">
        <v>34</v>
      </c>
      <c r="C58" s="340" t="s">
        <v>34</v>
      </c>
      <c r="D58" s="333"/>
      <c r="E58" s="304" t="s">
        <v>25</v>
      </c>
      <c r="F58" s="305">
        <v>6693302.0700000003</v>
      </c>
      <c r="G58" s="306">
        <v>0</v>
      </c>
      <c r="H58" s="306">
        <v>0</v>
      </c>
      <c r="I58" s="306">
        <v>0</v>
      </c>
      <c r="J58" s="306">
        <v>0</v>
      </c>
      <c r="K58" s="305">
        <v>6693302.0700000003</v>
      </c>
      <c r="L58" s="305">
        <v>8049.37</v>
      </c>
      <c r="M58" s="305">
        <v>-2487.84</v>
      </c>
      <c r="N58" s="305">
        <v>-780.28</v>
      </c>
      <c r="O58" s="306">
        <v>0</v>
      </c>
      <c r="P58" s="306">
        <v>0</v>
      </c>
      <c r="Q58" s="305">
        <v>6698083.3200000003</v>
      </c>
      <c r="R58" s="307">
        <v>0</v>
      </c>
      <c r="S58" s="306">
        <v>0</v>
      </c>
      <c r="T58" s="307">
        <v>0.120260073664956</v>
      </c>
      <c r="U58" s="307">
        <v>8.3090975752122306E-2</v>
      </c>
      <c r="V58" s="307">
        <v>7.1433351580380694E-2</v>
      </c>
    </row>
    <row r="59" spans="1:22" s="1" customFormat="1" ht="14.5" customHeight="1" x14ac:dyDescent="0.35">
      <c r="A59" s="342" t="s">
        <v>169</v>
      </c>
      <c r="B59" s="344"/>
      <c r="C59" s="344"/>
      <c r="D59" s="344"/>
      <c r="E59" s="344"/>
      <c r="F59" s="309">
        <v>97033882.420000002</v>
      </c>
      <c r="G59" s="310">
        <v>0</v>
      </c>
      <c r="H59" s="310">
        <v>0</v>
      </c>
      <c r="I59" s="310">
        <v>0</v>
      </c>
      <c r="J59" s="310">
        <v>0</v>
      </c>
      <c r="K59" s="309">
        <v>97033882.420000002</v>
      </c>
      <c r="L59" s="309">
        <v>116693.18</v>
      </c>
      <c r="M59" s="309">
        <v>-36066.6</v>
      </c>
      <c r="N59" s="309">
        <v>-11311.85</v>
      </c>
      <c r="O59" s="310">
        <v>0</v>
      </c>
      <c r="P59" s="310">
        <v>0</v>
      </c>
      <c r="Q59" s="309">
        <v>97103197.150000006</v>
      </c>
      <c r="R59" s="311">
        <v>0</v>
      </c>
      <c r="S59" s="312" t="s">
        <v>2</v>
      </c>
      <c r="T59" s="312" t="s">
        <v>2</v>
      </c>
      <c r="U59" s="312" t="s">
        <v>2</v>
      </c>
      <c r="V59" s="312" t="s">
        <v>2</v>
      </c>
    </row>
    <row r="60" spans="1:22" s="1" customFormat="1" ht="14.5" customHeight="1" x14ac:dyDescent="0.35">
      <c r="A60" s="346" t="s">
        <v>54</v>
      </c>
      <c r="B60" s="333"/>
      <c r="C60" s="333"/>
      <c r="D60" s="333"/>
      <c r="E60" s="333"/>
      <c r="F60" s="294" t="s">
        <v>2</v>
      </c>
      <c r="G60" s="294" t="s">
        <v>2</v>
      </c>
      <c r="H60" s="294" t="s">
        <v>2</v>
      </c>
      <c r="I60" s="294" t="s">
        <v>2</v>
      </c>
      <c r="J60" s="294" t="s">
        <v>2</v>
      </c>
      <c r="K60" s="295" t="s">
        <v>2</v>
      </c>
      <c r="L60" s="294" t="s">
        <v>2</v>
      </c>
      <c r="M60" s="295" t="s">
        <v>2</v>
      </c>
      <c r="N60" s="294" t="s">
        <v>2</v>
      </c>
      <c r="O60" s="294" t="s">
        <v>2</v>
      </c>
      <c r="P60" s="294" t="s">
        <v>2</v>
      </c>
      <c r="Q60" s="294" t="s">
        <v>2</v>
      </c>
      <c r="R60" s="294" t="s">
        <v>2</v>
      </c>
      <c r="S60" s="294" t="s">
        <v>2</v>
      </c>
      <c r="T60" s="294" t="s">
        <v>2</v>
      </c>
      <c r="U60" s="294" t="s">
        <v>2</v>
      </c>
      <c r="V60" s="294" t="s">
        <v>2</v>
      </c>
    </row>
    <row r="61" spans="1:22" x14ac:dyDescent="0.35">
      <c r="A61" s="296" t="s">
        <v>2</v>
      </c>
      <c r="B61" s="298" t="s">
        <v>55</v>
      </c>
      <c r="C61" s="339" t="s">
        <v>55</v>
      </c>
      <c r="D61" s="333"/>
      <c r="E61" s="298" t="s">
        <v>25</v>
      </c>
      <c r="F61" s="299">
        <v>90224425.099999994</v>
      </c>
      <c r="G61" s="300">
        <v>0</v>
      </c>
      <c r="H61" s="300">
        <v>0</v>
      </c>
      <c r="I61" s="300">
        <v>0</v>
      </c>
      <c r="J61" s="300">
        <v>0</v>
      </c>
      <c r="K61" s="299">
        <v>90224425.099999994</v>
      </c>
      <c r="L61" s="299">
        <v>167178.34</v>
      </c>
      <c r="M61" s="299">
        <v>-33562.5</v>
      </c>
      <c r="N61" s="299">
        <v>9634.09</v>
      </c>
      <c r="O61" s="300">
        <v>0</v>
      </c>
      <c r="P61" s="300">
        <v>0</v>
      </c>
      <c r="Q61" s="299">
        <v>90367675.030000001</v>
      </c>
      <c r="R61" s="301">
        <v>0</v>
      </c>
      <c r="S61" s="300">
        <v>0</v>
      </c>
      <c r="T61" s="301">
        <v>0.185291665549222</v>
      </c>
      <c r="U61" s="301">
        <v>0.148092758531747</v>
      </c>
      <c r="V61" s="301">
        <v>0.15877067638971301</v>
      </c>
    </row>
    <row r="62" spans="1:22" ht="14.5" customHeight="1" x14ac:dyDescent="0.35">
      <c r="A62" s="342" t="s">
        <v>56</v>
      </c>
      <c r="B62" s="344"/>
      <c r="C62" s="344"/>
      <c r="D62" s="344"/>
      <c r="E62" s="344"/>
      <c r="F62" s="309">
        <v>90224425.099999994</v>
      </c>
      <c r="G62" s="310">
        <v>0</v>
      </c>
      <c r="H62" s="310">
        <v>0</v>
      </c>
      <c r="I62" s="310">
        <v>0</v>
      </c>
      <c r="J62" s="310">
        <v>0</v>
      </c>
      <c r="K62" s="309">
        <v>90224425.099999994</v>
      </c>
      <c r="L62" s="309">
        <v>167178.34</v>
      </c>
      <c r="M62" s="309">
        <v>-33562.5</v>
      </c>
      <c r="N62" s="309">
        <v>9634.09</v>
      </c>
      <c r="O62" s="310">
        <v>0</v>
      </c>
      <c r="P62" s="310">
        <v>0</v>
      </c>
      <c r="Q62" s="309">
        <v>90367675.030000001</v>
      </c>
      <c r="R62" s="311">
        <v>0</v>
      </c>
      <c r="S62" s="312" t="s">
        <v>2</v>
      </c>
      <c r="T62" s="312" t="s">
        <v>2</v>
      </c>
      <c r="U62" s="312" t="s">
        <v>2</v>
      </c>
      <c r="V62" s="312" t="s">
        <v>2</v>
      </c>
    </row>
    <row r="63" spans="1:22" x14ac:dyDescent="0.35">
      <c r="A63" s="296" t="s">
        <v>2</v>
      </c>
      <c r="B63" s="345" t="s">
        <v>57</v>
      </c>
      <c r="C63" s="333"/>
      <c r="D63" s="333"/>
      <c r="E63" s="333"/>
      <c r="F63" s="309">
        <v>2021298316.9381001</v>
      </c>
      <c r="G63" s="310">
        <v>365.53</v>
      </c>
      <c r="H63" s="310">
        <v>-531016.17680000002</v>
      </c>
      <c r="I63" s="310">
        <v>0</v>
      </c>
      <c r="J63" s="310">
        <v>0</v>
      </c>
      <c r="K63" s="309">
        <v>2020767666.2913001</v>
      </c>
      <c r="L63" s="309">
        <v>3083258.54</v>
      </c>
      <c r="M63" s="309">
        <v>-602339.64</v>
      </c>
      <c r="N63" s="309">
        <v>95431.03</v>
      </c>
      <c r="O63" s="310">
        <v>0</v>
      </c>
      <c r="P63" s="310">
        <v>0</v>
      </c>
      <c r="Q63" s="309">
        <v>2023344016.2212999</v>
      </c>
      <c r="R63" s="311">
        <v>0</v>
      </c>
      <c r="S63" s="313" t="s">
        <v>2</v>
      </c>
      <c r="T63" s="314">
        <v>0.15257857651981699</v>
      </c>
      <c r="U63" s="314">
        <v>0.12277111027579</v>
      </c>
      <c r="V63" s="314">
        <v>0.12749362398144201</v>
      </c>
    </row>
    <row r="64" spans="1:22" ht="8.15" customHeight="1" x14ac:dyDescent="0.35">
      <c r="E64" s="1"/>
      <c r="G64" s="1"/>
    </row>
    <row r="65" spans="2:21" x14ac:dyDescent="0.35">
      <c r="E65" s="1"/>
      <c r="G65" s="1"/>
    </row>
    <row r="66" spans="2:21" x14ac:dyDescent="0.35">
      <c r="E66" s="1"/>
      <c r="G66" s="1"/>
    </row>
    <row r="67" spans="2:21" ht="15" thickBot="1" x14ac:dyDescent="0.4">
      <c r="C67" t="s">
        <v>154</v>
      </c>
      <c r="E67" s="1"/>
      <c r="G67" s="1"/>
      <c r="T67" t="s">
        <v>174</v>
      </c>
    </row>
    <row r="68" spans="2:21" ht="15" thickBot="1" x14ac:dyDescent="0.4">
      <c r="B68" s="230"/>
      <c r="C68" s="19" t="s">
        <v>24</v>
      </c>
      <c r="D68" s="20">
        <f t="shared" ref="D68:D80" si="0">VLOOKUP(C68,$B$7:$Q$18,16,FALSE)</f>
        <v>0</v>
      </c>
      <c r="E68" s="20" t="str">
        <f>_xlfn.XLOOKUP(C68,'Investor Categories'!D:D,'Investor Categories'!C:C,"")</f>
        <v>Alfred I. duPont Charitable Trust</v>
      </c>
      <c r="F68" s="247" cm="1">
        <f t="array" ref="F68:F80">_xlfn._xlws.SORT(_xlfn.UNIQUE(E68:E83))</f>
        <v>0</v>
      </c>
      <c r="G68" s="231"/>
      <c r="H68" s="21"/>
      <c r="I68" s="21"/>
      <c r="J68" s="21"/>
      <c r="K68" s="248"/>
      <c r="L68" s="40"/>
      <c r="M68" s="40"/>
      <c r="N68" s="20" t="s">
        <v>152</v>
      </c>
      <c r="O68" s="94">
        <f>SUM(D68:D79)+D80</f>
        <v>836726925.84119987</v>
      </c>
      <c r="P68" s="40"/>
      <c r="Q68" s="147" cm="1">
        <f t="array" ref="Q68:Q79">_xlfn._xlws.SORT(G69:G80,1,-1)</f>
        <v>395452823.26499999</v>
      </c>
      <c r="R68" s="148">
        <f>Q68/$O$68</f>
        <v>0.47261873743029503</v>
      </c>
      <c r="S68" s="3"/>
      <c r="T68" s="157">
        <f>O68+O100+O108+O128+O147+O155+O172+O92</f>
        <v>2023344016.2213001</v>
      </c>
      <c r="U68" s="3"/>
    </row>
    <row r="69" spans="2:21" ht="15" thickBot="1" x14ac:dyDescent="0.4">
      <c r="B69" s="230"/>
      <c r="C69" s="22" t="s">
        <v>27</v>
      </c>
      <c r="D69" s="23">
        <f>VLOOKUP(C69,$B$7:$Q$18,16,FALSE)</f>
        <v>50566340.818599999</v>
      </c>
      <c r="E69" s="23" t="str">
        <f>_xlfn.XLOOKUP(C69,'Investor Categories'!D:D,'Investor Categories'!C:C,"")</f>
        <v>Children's Health System of Texas</v>
      </c>
      <c r="F69" s="249" t="str">
        <v/>
      </c>
      <c r="G69" s="232"/>
      <c r="H69" s="24"/>
      <c r="I69" s="24"/>
      <c r="J69" s="24"/>
      <c r="K69" s="43"/>
      <c r="L69" s="41"/>
      <c r="M69" s="41"/>
      <c r="N69" s="41"/>
      <c r="O69" s="41"/>
      <c r="P69" s="41"/>
      <c r="Q69" s="23">
        <v>114319300.22</v>
      </c>
      <c r="R69" s="42">
        <f>Q69/$O$68</f>
        <v>0.13662677354988853</v>
      </c>
      <c r="S69" s="3"/>
      <c r="T69" s="3" t="s">
        <v>233</v>
      </c>
      <c r="U69" s="3"/>
    </row>
    <row r="70" spans="2:21" x14ac:dyDescent="0.35">
      <c r="B70" s="230"/>
      <c r="C70" s="25" t="s">
        <v>28</v>
      </c>
      <c r="D70" s="26">
        <f t="shared" si="0"/>
        <v>60403879.385499999</v>
      </c>
      <c r="E70" s="26" t="str">
        <f>_xlfn.XLOOKUP(C70,'Investor Categories'!D:D,'Investor Categories'!C:C,"")</f>
        <v>IRR K LLC</v>
      </c>
      <c r="F70" s="250" t="str">
        <v>Alfred I. duPont Charitable Trust</v>
      </c>
      <c r="G70" s="232">
        <f t="shared" ref="G70:G80" si="1">SUMIFS($D$68:$D$83,$E$68:$E$83,F70)</f>
        <v>27695148.205800001</v>
      </c>
      <c r="H70" s="24" t="str">
        <f>VLOOKUP(F70,'Investor Categories'!C:E,3,FALSE)</f>
        <v>(g) Non-profits</v>
      </c>
      <c r="I70" s="24"/>
      <c r="J70" s="24"/>
      <c r="K70" s="43"/>
      <c r="L70" s="40"/>
      <c r="M70" s="40"/>
      <c r="N70" s="142" t="s">
        <v>141</v>
      </c>
      <c r="O70" s="143">
        <f>SUMIFS($G$68:$G$89,$H$68:$H$89,N70)/$O$68</f>
        <v>0.60394053699845418</v>
      </c>
      <c r="P70" s="41"/>
      <c r="Q70" s="26">
        <v>62056420.014103517</v>
      </c>
      <c r="R70" s="42">
        <f t="shared" ref="R70:R79" si="2">Q70/$O$68</f>
        <v>7.416567830862543E-2</v>
      </c>
      <c r="S70" s="3"/>
      <c r="T70" s="157">
        <f>T68-Q63</f>
        <v>0</v>
      </c>
      <c r="U70" s="3"/>
    </row>
    <row r="71" spans="2:21" x14ac:dyDescent="0.35">
      <c r="B71" s="230"/>
      <c r="C71" s="22" t="s">
        <v>29</v>
      </c>
      <c r="D71" s="23">
        <f t="shared" si="0"/>
        <v>28022.286499999998</v>
      </c>
      <c r="E71" s="23" t="str">
        <f>_xlfn.XLOOKUP(C71,'Investor Categories'!D:D,'Investor Categories'!C:C,"")</f>
        <v>LMCP INTERNAL</v>
      </c>
      <c r="F71" s="249" t="str">
        <v>Alfred I. duPont Charitable Trust Pension</v>
      </c>
      <c r="G71" s="232">
        <f t="shared" si="1"/>
        <v>0</v>
      </c>
      <c r="H71" s="24" t="str">
        <f>VLOOKUP(F71,'Investor Categories'!C:E,3,FALSE)</f>
        <v xml:space="preserve">(h) Pension plans (excluding governmental pension plans) </v>
      </c>
      <c r="I71" s="24"/>
      <c r="J71" s="24"/>
      <c r="K71" s="43"/>
      <c r="L71" s="41"/>
      <c r="M71" s="41"/>
      <c r="N71" s="27" t="s">
        <v>142</v>
      </c>
      <c r="O71" s="144">
        <f t="shared" ref="O71:O74" si="3">SUMIFS($G$68:$G$89,$H$68:$H$89,N71)/$O$68</f>
        <v>0</v>
      </c>
      <c r="P71" s="41"/>
      <c r="Q71" s="23">
        <v>60403879.385499999</v>
      </c>
      <c r="R71" s="42">
        <f t="shared" si="2"/>
        <v>7.2190672392636601E-2</v>
      </c>
      <c r="S71" s="3"/>
      <c r="T71" s="3"/>
      <c r="U71" s="3"/>
    </row>
    <row r="72" spans="2:21" x14ac:dyDescent="0.35">
      <c r="B72" s="230"/>
      <c r="C72" s="25" t="s">
        <v>166</v>
      </c>
      <c r="D72" s="26">
        <f t="shared" si="0"/>
        <v>90260171.769999996</v>
      </c>
      <c r="E72" s="26" t="str">
        <f>_xlfn.XLOOKUP(C72,'Investor Categories'!D:D,'Investor Categories'!C:C,"")</f>
        <v>Makena</v>
      </c>
      <c r="F72" s="250" t="str">
        <v>AMFAM</v>
      </c>
      <c r="G72" s="232">
        <f t="shared" si="1"/>
        <v>62056420.014103517</v>
      </c>
      <c r="H72" s="24" t="str">
        <f>VLOOKUP(F72,'Investor Categories'!C:E,3,FALSE)</f>
        <v xml:space="preserve">(d) Insurance companies </v>
      </c>
      <c r="I72" s="24"/>
      <c r="J72" s="24"/>
      <c r="K72" s="43"/>
      <c r="L72" s="41"/>
      <c r="M72" s="41"/>
      <c r="N72" s="27" t="s">
        <v>140</v>
      </c>
      <c r="O72" s="144">
        <f t="shared" si="3"/>
        <v>0.20881744594252513</v>
      </c>
      <c r="P72" s="41"/>
      <c r="Q72" s="23">
        <v>50566340.818599999</v>
      </c>
      <c r="R72" s="42">
        <f t="shared" si="2"/>
        <v>6.043350495475372E-2</v>
      </c>
      <c r="S72" s="3"/>
      <c r="T72" s="3"/>
      <c r="U72" s="3"/>
    </row>
    <row r="73" spans="2:21" x14ac:dyDescent="0.35">
      <c r="B73" s="230"/>
      <c r="C73" s="25" t="s">
        <v>167</v>
      </c>
      <c r="D73" s="26">
        <f t="shared" si="0"/>
        <v>24059128.449999999</v>
      </c>
      <c r="E73" s="26" t="str">
        <f>_xlfn.XLOOKUP(C73,'Investor Categories'!D:D,'Investor Categories'!C:C,"")</f>
        <v>Makena</v>
      </c>
      <c r="F73" s="250" t="str">
        <v>Children's Health System of Texas</v>
      </c>
      <c r="G73" s="232">
        <f t="shared" si="1"/>
        <v>50566340.818599999</v>
      </c>
      <c r="H73" s="24" t="str">
        <f>VLOOKUP(F73,'Investor Categories'!C:E,3,FALSE)</f>
        <v>(g) Non-profits</v>
      </c>
      <c r="I73" s="24"/>
      <c r="J73" s="24"/>
      <c r="K73" s="43"/>
      <c r="L73" s="41"/>
      <c r="M73" s="41"/>
      <c r="N73" s="27" t="s">
        <v>139</v>
      </c>
      <c r="O73" s="144">
        <f t="shared" si="3"/>
        <v>0</v>
      </c>
      <c r="P73" s="41"/>
      <c r="Q73" s="23">
        <v>47543225.010805115</v>
      </c>
      <c r="R73" s="42">
        <f t="shared" si="2"/>
        <v>5.6820479349350132E-2</v>
      </c>
      <c r="S73" s="3"/>
      <c r="T73" s="3"/>
      <c r="U73" s="3"/>
    </row>
    <row r="74" spans="2:21" ht="15" thickBot="1" x14ac:dyDescent="0.4">
      <c r="B74" s="230"/>
      <c r="C74" s="22"/>
      <c r="D74" s="23"/>
      <c r="E74" s="23">
        <f>_xlfn.XLOOKUP(C74,'Investor Categories'!D:D,'Investor Categories'!C:C,"")</f>
        <v>0</v>
      </c>
      <c r="F74" s="249" t="str">
        <v>IRR K LLC</v>
      </c>
      <c r="G74" s="232">
        <f t="shared" si="1"/>
        <v>60403879.385499999</v>
      </c>
      <c r="H74" s="24" t="str">
        <f>VLOOKUP(F74,'Investor Categories'!C:E,3,FALSE)</f>
        <v xml:space="preserve">(f) Private funds </v>
      </c>
      <c r="I74" s="24"/>
      <c r="J74" s="24"/>
      <c r="K74" s="43"/>
      <c r="L74" s="44"/>
      <c r="M74" s="44"/>
      <c r="N74" s="145" t="s">
        <v>138</v>
      </c>
      <c r="O74" s="146">
        <f t="shared" si="3"/>
        <v>0.18720852669838517</v>
      </c>
      <c r="P74" s="41"/>
      <c r="Q74" s="23">
        <v>47042770.010691375</v>
      </c>
      <c r="R74" s="42">
        <f t="shared" si="2"/>
        <v>5.62223690404096E-2</v>
      </c>
      <c r="S74" s="3"/>
      <c r="T74" s="3"/>
      <c r="U74" s="3"/>
    </row>
    <row r="75" spans="2:21" x14ac:dyDescent="0.35">
      <c r="B75" s="230"/>
      <c r="C75" s="25" t="s">
        <v>31</v>
      </c>
      <c r="D75" s="26">
        <f t="shared" si="0"/>
        <v>31618996.624200001</v>
      </c>
      <c r="E75" s="26" t="str">
        <f>_xlfn.XLOOKUP(C75,'Investor Categories'!D:D,'Investor Categories'!C:C,"")</f>
        <v>The Kresge Foundation</v>
      </c>
      <c r="F75" s="250" t="str">
        <v>LMCP INTERNAL</v>
      </c>
      <c r="G75" s="232">
        <f t="shared" si="1"/>
        <v>28022.286499999998</v>
      </c>
      <c r="H75" s="24" t="str">
        <f>VLOOKUP(F75,'Investor Categories'!C:E,3,FALSE)</f>
        <v>(o) LMCP INTERNAL</v>
      </c>
      <c r="I75" s="24"/>
      <c r="J75" s="24"/>
      <c r="K75" s="43"/>
      <c r="L75" s="41"/>
      <c r="M75" s="41"/>
      <c r="N75" s="204" t="s">
        <v>132</v>
      </c>
      <c r="O75" s="206">
        <f>SUM(O70:O74)</f>
        <v>0.99996650963936451</v>
      </c>
      <c r="P75" s="41"/>
      <c r="Q75" s="23">
        <v>31618996.624200001</v>
      </c>
      <c r="R75" s="42">
        <f t="shared" si="2"/>
        <v>3.7788907763918293E-2</v>
      </c>
      <c r="S75" s="3"/>
      <c r="T75" s="3"/>
      <c r="U75" s="3"/>
    </row>
    <row r="76" spans="2:21" s="1" customFormat="1" x14ac:dyDescent="0.35">
      <c r="B76" s="230"/>
      <c r="C76" s="25" t="s">
        <v>32</v>
      </c>
      <c r="D76" s="26">
        <f t="shared" si="0"/>
        <v>0</v>
      </c>
      <c r="E76" s="26" t="str">
        <f>_xlfn.XLOOKUP(C76,'Investor Categories'!D:D,'Investor Categories'!C:C,"")</f>
        <v>Alfred I. duPont Charitable Trust</v>
      </c>
      <c r="F76" s="250" t="str">
        <v>Makena</v>
      </c>
      <c r="G76" s="232">
        <f t="shared" si="1"/>
        <v>114319300.22</v>
      </c>
      <c r="H76" s="24" t="str">
        <f>VLOOKUP(F76,'Investor Categories'!C:E,3,FALSE)</f>
        <v xml:space="preserve">(f) Private funds </v>
      </c>
      <c r="I76" s="24"/>
      <c r="J76" s="24"/>
      <c r="K76" s="43"/>
      <c r="L76" s="41"/>
      <c r="M76" s="41"/>
      <c r="N76" s="41"/>
      <c r="O76" s="41"/>
      <c r="P76" s="41"/>
      <c r="Q76" s="23">
        <v>27695148.205800001</v>
      </c>
      <c r="R76" s="42">
        <f t="shared" si="2"/>
        <v>3.3099386849487128E-2</v>
      </c>
      <c r="S76" s="3"/>
      <c r="T76" s="3"/>
      <c r="U76" s="3"/>
    </row>
    <row r="77" spans="2:21" s="1" customFormat="1" x14ac:dyDescent="0.35">
      <c r="B77" s="230"/>
      <c r="C77" s="25" t="s">
        <v>33</v>
      </c>
      <c r="D77" s="26">
        <f t="shared" si="0"/>
        <v>27695148.205800001</v>
      </c>
      <c r="E77" s="26" t="str">
        <f>_xlfn.XLOOKUP(C77,'Investor Categories'!D:D,'Investor Categories'!C:C,"")</f>
        <v>Alfred I. duPont Charitable Trust</v>
      </c>
      <c r="F77" s="250" t="str">
        <v>MERCURY</v>
      </c>
      <c r="G77" s="232">
        <f t="shared" si="1"/>
        <v>47042770.010691375</v>
      </c>
      <c r="H77" s="24" t="str">
        <f>VLOOKUP(F77,'Investor Categories'!C:E,3,FALSE)</f>
        <v xml:space="preserve">(d) Insurance companies </v>
      </c>
      <c r="I77" s="24"/>
      <c r="J77" s="24"/>
      <c r="K77" s="43"/>
      <c r="L77" s="41"/>
      <c r="M77" s="41"/>
      <c r="N77" s="41"/>
      <c r="O77" s="41"/>
      <c r="P77" s="41"/>
      <c r="Q77" s="23">
        <v>28022.286499999998</v>
      </c>
      <c r="R77" s="42">
        <f t="shared" si="2"/>
        <v>3.3490360635673234E-5</v>
      </c>
      <c r="S77" s="3"/>
      <c r="T77" s="3"/>
      <c r="U77" s="3"/>
    </row>
    <row r="78" spans="2:21" x14ac:dyDescent="0.35">
      <c r="B78" s="230"/>
      <c r="C78" s="22" t="s">
        <v>34</v>
      </c>
      <c r="D78" s="23">
        <f t="shared" si="0"/>
        <v>0</v>
      </c>
      <c r="E78" s="23" t="str">
        <f>_xlfn.XLOOKUP(C78,'Investor Categories'!D:D,'Investor Categories'!C:C,"")</f>
        <v>Alfred I. duPont Charitable Trust Pension</v>
      </c>
      <c r="F78" s="249" t="str">
        <v>The Kresge Foundation</v>
      </c>
      <c r="G78" s="232">
        <f t="shared" si="1"/>
        <v>31618996.624200001</v>
      </c>
      <c r="H78" s="24" t="str">
        <f>VLOOKUP(F78,'Investor Categories'!C:E,3,FALSE)</f>
        <v>(g) Non-profits</v>
      </c>
      <c r="I78" s="24"/>
      <c r="J78" s="24"/>
      <c r="K78" s="43"/>
      <c r="L78" s="41"/>
      <c r="M78" s="41"/>
      <c r="N78" s="41"/>
      <c r="O78" s="41"/>
      <c r="P78" s="41"/>
      <c r="Q78" s="26">
        <v>0</v>
      </c>
      <c r="R78" s="42">
        <f t="shared" si="2"/>
        <v>0</v>
      </c>
      <c r="S78" s="3"/>
      <c r="T78" s="3"/>
      <c r="U78" s="3"/>
    </row>
    <row r="79" spans="2:21" ht="15" thickBot="1" x14ac:dyDescent="0.4">
      <c r="B79" s="230"/>
      <c r="C79" s="130" t="s">
        <v>35</v>
      </c>
      <c r="D79" s="131">
        <f t="shared" si="0"/>
        <v>395452823.26499999</v>
      </c>
      <c r="E79" s="26" t="str">
        <f>_xlfn.XLOOKUP(C79,'Investor Categories'!D:D,'Investor Categories'!C:C,"")</f>
        <v>UVIMCO</v>
      </c>
      <c r="F79" s="250" t="str">
        <v>UVIMCO</v>
      </c>
      <c r="G79" s="232">
        <f t="shared" si="1"/>
        <v>395452823.26499999</v>
      </c>
      <c r="H79" s="24" t="str">
        <f>VLOOKUP(F79,'Investor Categories'!C:E,3,FALSE)</f>
        <v>(g) Non-profits</v>
      </c>
      <c r="I79" s="24"/>
      <c r="J79" s="24"/>
      <c r="K79" s="43"/>
      <c r="L79" s="41"/>
      <c r="M79" s="41"/>
      <c r="N79" s="41"/>
      <c r="O79" s="41"/>
      <c r="P79" s="41"/>
      <c r="Q79" s="23">
        <v>0</v>
      </c>
      <c r="R79" s="42">
        <f t="shared" si="2"/>
        <v>0</v>
      </c>
      <c r="S79" s="3"/>
      <c r="T79" s="3"/>
      <c r="U79" s="3"/>
    </row>
    <row r="80" spans="2:21" ht="15" thickBot="1" x14ac:dyDescent="0.4">
      <c r="B80" s="230"/>
      <c r="C80" s="22" t="s">
        <v>30</v>
      </c>
      <c r="D80" s="126">
        <f t="shared" si="0"/>
        <v>156642415.03560001</v>
      </c>
      <c r="E80" s="26" t="str">
        <f>_xlfn.XLOOKUP(C80,'Investor Categories'!D:D,'Investor Categories'!C:C,"")</f>
        <v/>
      </c>
      <c r="F80" s="249" t="str">
        <v>WOODMEN</v>
      </c>
      <c r="G80" s="232">
        <f t="shared" si="1"/>
        <v>47543225.010805115</v>
      </c>
      <c r="H80" s="24" t="str">
        <f>VLOOKUP(F80,'Investor Categories'!C:E,3,FALSE)</f>
        <v xml:space="preserve">(d) Insurance companies </v>
      </c>
      <c r="I80" s="24"/>
      <c r="J80" s="24"/>
      <c r="K80" s="43"/>
      <c r="L80" s="41"/>
      <c r="M80" s="41"/>
      <c r="N80" s="41"/>
      <c r="O80" s="41"/>
      <c r="P80" s="41"/>
      <c r="Q80" s="23"/>
      <c r="R80" s="42"/>
      <c r="S80" s="3"/>
      <c r="T80" s="3"/>
      <c r="U80" s="3"/>
    </row>
    <row r="81" spans="2:21" ht="15" thickBot="1" x14ac:dyDescent="0.4">
      <c r="B81" s="230"/>
      <c r="C81" s="22" t="s">
        <v>124</v>
      </c>
      <c r="D81" s="23">
        <f>SUMIFS(Notes_M1,PrimeNoteHolders,Prime_InvestorCapitalPerf!C81)/SUM(Notes_M1)*$D$80</f>
        <v>62056420.014103517</v>
      </c>
      <c r="E81" s="23" t="str">
        <f>_xlfn.XLOOKUP(C81,'Investor Categories'!D:D,'Investor Categories'!C:C,"")</f>
        <v>AMFAM</v>
      </c>
      <c r="F81" s="251" t="s">
        <v>118</v>
      </c>
      <c r="G81" s="242">
        <f>SUM(G69:G80)</f>
        <v>836726925.84119999</v>
      </c>
      <c r="H81" s="24"/>
      <c r="I81" s="24"/>
      <c r="J81" s="24"/>
      <c r="K81" s="43"/>
      <c r="L81" s="41"/>
      <c r="M81" s="41"/>
      <c r="N81" s="41"/>
      <c r="O81" s="41"/>
      <c r="P81" s="41"/>
      <c r="Q81" s="26"/>
      <c r="R81" s="42"/>
      <c r="S81" s="3"/>
      <c r="T81" s="3"/>
      <c r="U81" s="3"/>
    </row>
    <row r="82" spans="2:21" ht="15" thickBot="1" x14ac:dyDescent="0.4">
      <c r="B82" s="230"/>
      <c r="C82" s="22" t="s">
        <v>129</v>
      </c>
      <c r="D82" s="23">
        <f>SUMIFS(Notes_M1,PrimeNoteHolders,Prime_InvestorCapitalPerf!C82)/SUM(Notes_M1)*$D$80</f>
        <v>47042770.010691375</v>
      </c>
      <c r="E82" s="23" t="str">
        <f>_xlfn.XLOOKUP(C82,'Investor Categories'!D:D,'Investor Categories'!C:C,"")</f>
        <v>MERCURY</v>
      </c>
      <c r="F82" s="252" t="s">
        <v>220</v>
      </c>
      <c r="G82" s="233">
        <f>G81-O68</f>
        <v>0</v>
      </c>
      <c r="H82" s="30"/>
      <c r="I82" s="30"/>
      <c r="J82" s="30"/>
      <c r="K82" s="253"/>
      <c r="L82" s="41"/>
      <c r="M82" s="41"/>
      <c r="N82" s="41"/>
      <c r="O82" s="41"/>
      <c r="P82" s="41"/>
      <c r="Q82" s="26"/>
      <c r="R82" s="42"/>
      <c r="S82" s="3"/>
      <c r="T82" s="3"/>
      <c r="U82" s="3"/>
    </row>
    <row r="83" spans="2:21" x14ac:dyDescent="0.35">
      <c r="B83" s="230"/>
      <c r="C83" s="22" t="s">
        <v>131</v>
      </c>
      <c r="D83" s="23">
        <f>SUMIFS(Notes_M1,PrimeNoteHolders,Prime_InvestorCapitalPerf!C83)/SUM(Notes_M1)*$D$80</f>
        <v>47543225.010805115</v>
      </c>
      <c r="E83" s="23" t="str">
        <f>_xlfn.XLOOKUP(C83,'Investor Categories'!D:D,'Investor Categories'!C:C,"")</f>
        <v>WOODMEN</v>
      </c>
      <c r="F83" s="23"/>
      <c r="G83" s="232"/>
      <c r="H83" s="24"/>
      <c r="I83" s="24"/>
      <c r="J83" s="24"/>
      <c r="K83" s="41"/>
      <c r="L83" s="41"/>
      <c r="M83" s="41"/>
      <c r="N83" s="41"/>
      <c r="O83" s="41"/>
      <c r="P83" s="41"/>
      <c r="Q83" s="26"/>
      <c r="R83" s="42"/>
      <c r="S83" s="3"/>
      <c r="T83" s="3"/>
      <c r="U83" s="3"/>
    </row>
    <row r="84" spans="2:21" x14ac:dyDescent="0.35">
      <c r="C84" s="22"/>
      <c r="D84" s="23"/>
      <c r="E84" s="23"/>
      <c r="F84" s="23"/>
      <c r="G84" s="232"/>
      <c r="H84" s="24"/>
      <c r="I84" s="24"/>
      <c r="J84" s="24"/>
      <c r="K84" s="41"/>
      <c r="L84" s="41"/>
      <c r="M84" s="41"/>
      <c r="N84" s="41"/>
      <c r="O84" s="41"/>
      <c r="P84" s="41"/>
      <c r="Q84" s="23"/>
      <c r="R84" s="42"/>
      <c r="S84" s="3"/>
      <c r="T84" s="3"/>
      <c r="U84" s="3"/>
    </row>
    <row r="85" spans="2:21" x14ac:dyDescent="0.35">
      <c r="C85" s="22"/>
      <c r="D85" s="23"/>
      <c r="E85" s="23"/>
      <c r="F85" s="23"/>
      <c r="G85" s="232"/>
      <c r="H85" s="24"/>
      <c r="I85" s="24"/>
      <c r="J85" s="24"/>
      <c r="K85" s="41"/>
      <c r="L85" s="41"/>
      <c r="M85" s="41"/>
      <c r="N85" s="41"/>
      <c r="O85" s="41"/>
      <c r="P85" s="41"/>
      <c r="Q85" s="23"/>
      <c r="R85" s="42"/>
      <c r="S85" s="3"/>
      <c r="T85" s="3"/>
      <c r="U85" s="3"/>
    </row>
    <row r="86" spans="2:21" x14ac:dyDescent="0.35">
      <c r="C86" s="22"/>
      <c r="D86" s="23"/>
      <c r="E86" s="23"/>
      <c r="F86" s="23"/>
      <c r="G86" s="232"/>
      <c r="H86" s="24"/>
      <c r="I86" s="24"/>
      <c r="J86" s="24"/>
      <c r="K86" s="41"/>
      <c r="L86" s="41"/>
      <c r="M86" s="41"/>
      <c r="N86" s="41"/>
      <c r="O86" s="41"/>
      <c r="P86" s="41"/>
      <c r="Q86" s="204" t="s">
        <v>164</v>
      </c>
      <c r="R86" s="205">
        <f>MAX(R68:R83)</f>
        <v>0.47261873743029503</v>
      </c>
      <c r="S86" s="3"/>
      <c r="T86" s="3"/>
      <c r="U86" s="3"/>
    </row>
    <row r="87" spans="2:21" x14ac:dyDescent="0.35">
      <c r="C87" s="22"/>
      <c r="D87" s="23"/>
      <c r="E87" s="23"/>
      <c r="F87" s="23"/>
      <c r="G87" s="232"/>
      <c r="H87" s="24"/>
      <c r="I87" s="24"/>
      <c r="J87" s="24"/>
      <c r="K87" s="41"/>
      <c r="L87" s="41"/>
      <c r="M87" s="41"/>
      <c r="N87" s="41"/>
      <c r="O87" s="41"/>
      <c r="P87" s="41"/>
      <c r="Q87" s="204" t="s">
        <v>153</v>
      </c>
      <c r="R87" s="205">
        <f>SUM(R68:R72)</f>
        <v>0.81603536663619924</v>
      </c>
      <c r="S87" s="3"/>
      <c r="T87" s="3"/>
      <c r="U87" s="3"/>
    </row>
    <row r="88" spans="2:21" x14ac:dyDescent="0.35">
      <c r="C88" s="22"/>
      <c r="D88" s="23"/>
      <c r="E88" s="23"/>
      <c r="F88" s="23"/>
      <c r="G88" s="232"/>
      <c r="H88" s="24"/>
      <c r="I88" s="24"/>
      <c r="J88" s="24"/>
      <c r="K88" s="41"/>
      <c r="L88" s="41"/>
      <c r="M88" s="41"/>
      <c r="N88" s="41"/>
      <c r="O88" s="41"/>
      <c r="P88" s="41"/>
      <c r="Q88" s="204" t="s">
        <v>221</v>
      </c>
      <c r="R88" s="288">
        <f>COUNTIFS(R68:R81,"&gt;="&amp;0.05)</f>
        <v>7</v>
      </c>
      <c r="S88" s="3"/>
      <c r="T88" s="3"/>
      <c r="U88" s="3"/>
    </row>
    <row r="89" spans="2:21" ht="15" thickBot="1" x14ac:dyDescent="0.4">
      <c r="C89" s="28"/>
      <c r="D89" s="29"/>
      <c r="E89" s="29"/>
      <c r="F89" s="29"/>
      <c r="G89" s="233"/>
      <c r="H89" s="30"/>
      <c r="I89" s="30"/>
      <c r="J89" s="30"/>
      <c r="K89" s="44"/>
      <c r="L89" s="44"/>
      <c r="M89" s="44"/>
      <c r="N89" s="44"/>
      <c r="O89" s="44"/>
      <c r="P89" s="44"/>
      <c r="Q89" s="208" t="s">
        <v>132</v>
      </c>
      <c r="R89" s="209">
        <f>SUM(R68:R84)</f>
        <v>1</v>
      </c>
      <c r="S89" s="3"/>
      <c r="T89" s="3"/>
      <c r="U89" s="3"/>
    </row>
    <row r="90" spans="2:21" s="1" customFormat="1" x14ac:dyDescent="0.35">
      <c r="C90" s="324"/>
      <c r="D90" s="325"/>
      <c r="E90" s="325"/>
      <c r="F90" s="325"/>
      <c r="G90" s="326"/>
      <c r="H90" s="324"/>
      <c r="I90" s="324"/>
      <c r="J90" s="324"/>
      <c r="K90" s="3"/>
      <c r="L90" s="3"/>
      <c r="M90" s="3"/>
      <c r="N90" s="3"/>
      <c r="O90" s="3"/>
      <c r="P90" s="3"/>
      <c r="Q90" s="327"/>
      <c r="R90" s="328"/>
      <c r="S90" s="3"/>
      <c r="T90" s="3"/>
      <c r="U90" s="3"/>
    </row>
    <row r="91" spans="2:21" s="1" customFormat="1" ht="15" thickBot="1" x14ac:dyDescent="0.4">
      <c r="C91" s="45" t="s">
        <v>232</v>
      </c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3"/>
      <c r="T91" s="3"/>
      <c r="U91" s="3"/>
    </row>
    <row r="92" spans="2:21" s="1" customFormat="1" ht="15" thickBot="1" x14ac:dyDescent="0.4">
      <c r="C92" s="240"/>
      <c r="D92" s="329"/>
      <c r="E92" s="48"/>
      <c r="F92" s="348" t="str" cm="1">
        <f t="array" ref="F92:F93">_xlfn._xlws.SORT(_xlfn.UNIQUE(E94:E95))</f>
        <v>MERCURY</v>
      </c>
      <c r="G92" s="350">
        <f>SUMIFS($D$94:$D$95,$E$94:$E$95,F92)</f>
        <v>15056743.876</v>
      </c>
      <c r="H92" s="350" t="str">
        <f>VLOOKUP(F92,'Investor Categories'!C:E,3,FALSE)</f>
        <v xml:space="preserve">(d) Insurance companies </v>
      </c>
      <c r="I92" s="255"/>
      <c r="J92" s="49"/>
      <c r="K92" s="50"/>
      <c r="L92" s="195" t="s">
        <v>138</v>
      </c>
      <c r="M92" s="51">
        <f>SUMIFS($D$101:$D$102,$H$101:$H$102,L92)/$O$100</f>
        <v>0</v>
      </c>
      <c r="N92" s="152" t="s">
        <v>160</v>
      </c>
      <c r="O92" s="156">
        <f>SUM(D94:D95)</f>
        <v>75283719.379999995</v>
      </c>
      <c r="P92" s="48"/>
      <c r="Q92" s="198" cm="1">
        <f t="array" ref="Q92:Q93">_xlfn._xlws.SORT(G92:G93,1,-1)</f>
        <v>60226975.504000001</v>
      </c>
      <c r="R92" s="199">
        <f>Q92/$O$92</f>
        <v>0.8</v>
      </c>
      <c r="S92" s="3"/>
      <c r="T92" s="3"/>
      <c r="U92" s="3"/>
    </row>
    <row r="93" spans="2:21" s="1" customFormat="1" ht="15" thickBot="1" x14ac:dyDescent="0.4">
      <c r="C93" s="91" t="s">
        <v>228</v>
      </c>
      <c r="D93" s="330">
        <f>VLOOKUP(C93,$B$21:$Q$21,16,FALSE)</f>
        <v>75283719.379999995</v>
      </c>
      <c r="E93" s="93"/>
      <c r="F93" s="256" t="str">
        <v>SWIB</v>
      </c>
      <c r="G93" s="93">
        <f>SUMIFS($D$94:$D$95,$E$94:$E$95,F93)</f>
        <v>60226975.504000001</v>
      </c>
      <c r="H93" s="92" t="str">
        <f>VLOOKUP(F93,'Investor Categories'!C:E,3,FALSE)</f>
        <v xml:space="preserve">(k) State or municipal governmental pension plans </v>
      </c>
      <c r="I93" s="57"/>
      <c r="J93" s="54"/>
      <c r="K93" s="55"/>
      <c r="L93" s="196" t="s">
        <v>140</v>
      </c>
      <c r="M93" s="56">
        <f>SUMIFS($D$101:$D$102,$H$101:$H$102,L93)/$O$100</f>
        <v>0</v>
      </c>
      <c r="N93" s="53"/>
      <c r="O93" s="53"/>
      <c r="P93" s="53"/>
      <c r="Q93" s="200">
        <v>15056743.876</v>
      </c>
      <c r="R93" s="201">
        <f>Q93/$O$92</f>
        <v>0.2</v>
      </c>
      <c r="S93" s="3"/>
      <c r="T93" s="3"/>
      <c r="U93" s="3"/>
    </row>
    <row r="94" spans="2:21" s="1" customFormat="1" ht="15" thickBot="1" x14ac:dyDescent="0.4">
      <c r="C94" s="91" t="s">
        <v>129</v>
      </c>
      <c r="D94" s="93">
        <f>SUMIFS(Notes_A1,PrimeNoteHolders,Prime_InvestorCapitalPerf!C94)/SUM(Notes_A1)*$D$93</f>
        <v>15056743.876</v>
      </c>
      <c r="E94" s="93" t="str">
        <f>_xlfn.XLOOKUP(C94,'Investor Categories'!D:D,'Investor Categories'!C:C,"")</f>
        <v>MERCURY</v>
      </c>
      <c r="F94" s="258" t="s">
        <v>118</v>
      </c>
      <c r="G94" s="259">
        <f>SUM(G92:G93)</f>
        <v>75283719.379999995</v>
      </c>
      <c r="H94" s="92"/>
      <c r="I94" s="57"/>
      <c r="J94" s="54"/>
      <c r="K94" s="55"/>
      <c r="L94" s="196" t="s">
        <v>141</v>
      </c>
      <c r="M94" s="56">
        <f>SUMIFS($G$101:$G$102,$H$101:$H$102,L94)/$O$100</f>
        <v>1</v>
      </c>
      <c r="N94" s="53"/>
      <c r="O94" s="53"/>
      <c r="P94" s="53"/>
      <c r="Q94" s="53"/>
      <c r="R94" s="57"/>
      <c r="S94" s="3"/>
      <c r="T94" s="3"/>
      <c r="U94" s="3"/>
    </row>
    <row r="95" spans="2:21" s="1" customFormat="1" ht="15" thickBot="1" x14ac:dyDescent="0.4">
      <c r="C95" s="91" t="s">
        <v>117</v>
      </c>
      <c r="D95" s="93">
        <f>SUMIFS(Notes_A1,PrimeNoteHolders,Prime_InvestorCapitalPerf!C95)/SUM(Notes_A1)*$D$93</f>
        <v>60226975.504000001</v>
      </c>
      <c r="E95" s="93" t="str">
        <f>_xlfn.XLOOKUP(C95,'Investor Categories'!D:D,'Investor Categories'!C:C,"")</f>
        <v>SWIB</v>
      </c>
      <c r="F95" s="260" t="s">
        <v>220</v>
      </c>
      <c r="G95" s="261">
        <f>G94-O92</f>
        <v>0</v>
      </c>
      <c r="H95" s="62"/>
      <c r="I95" s="63"/>
      <c r="J95" s="58"/>
      <c r="K95" s="59"/>
      <c r="L95" s="197"/>
      <c r="M95" s="60">
        <f>SUMIFS($D$101:$D$102,$H$101:$H$102,L95)/$O$100</f>
        <v>0</v>
      </c>
      <c r="N95" s="53"/>
      <c r="O95" s="53"/>
      <c r="P95" s="53"/>
      <c r="Q95" s="203" t="s">
        <v>153</v>
      </c>
      <c r="R95" s="202">
        <f>SUM(R92:R94)</f>
        <v>1</v>
      </c>
      <c r="S95" s="3"/>
      <c r="T95" s="3"/>
      <c r="U95" s="3"/>
    </row>
    <row r="96" spans="2:21" s="1" customFormat="1" x14ac:dyDescent="0.35">
      <c r="C96" s="52"/>
      <c r="D96" s="53"/>
      <c r="E96" s="53"/>
      <c r="F96" s="53"/>
      <c r="G96" s="235"/>
      <c r="H96" s="53"/>
      <c r="I96" s="53"/>
      <c r="J96" s="53"/>
      <c r="K96" s="53"/>
      <c r="L96" s="53" t="s">
        <v>132</v>
      </c>
      <c r="M96" s="207">
        <f>SUM(M92:M95)</f>
        <v>1</v>
      </c>
      <c r="N96" s="53"/>
      <c r="O96" s="53"/>
      <c r="P96" s="53"/>
      <c r="Q96" s="53"/>
      <c r="R96" s="57"/>
      <c r="S96" s="3"/>
      <c r="T96" s="3"/>
      <c r="U96" s="3"/>
    </row>
    <row r="97" spans="3:21" s="1" customFormat="1" ht="15" thickBot="1" x14ac:dyDescent="0.4">
      <c r="C97" s="61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3"/>
      <c r="S97" s="3"/>
      <c r="T97" s="3"/>
      <c r="U97" s="3"/>
    </row>
    <row r="98" spans="3:21" x14ac:dyDescent="0.3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3:21" ht="15" thickBot="1" x14ac:dyDescent="0.4">
      <c r="C99" s="45" t="s">
        <v>155</v>
      </c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3:21" ht="15" thickBot="1" x14ac:dyDescent="0.4">
      <c r="C100" s="47"/>
      <c r="D100" s="48"/>
      <c r="E100" s="48"/>
      <c r="F100" s="254"/>
      <c r="G100" s="48"/>
      <c r="H100" s="48"/>
      <c r="I100" s="255"/>
      <c r="J100" s="49"/>
      <c r="K100" s="50"/>
      <c r="L100" s="195" t="s">
        <v>138</v>
      </c>
      <c r="M100" s="51">
        <f>SUMIFS($D$101:$D$102,$H$101:$H$102,L100)/$O$100</f>
        <v>0</v>
      </c>
      <c r="N100" s="152" t="s">
        <v>160</v>
      </c>
      <c r="O100" s="156">
        <f>SUM(D101:D102)</f>
        <v>71937829.75</v>
      </c>
      <c r="P100" s="48"/>
      <c r="Q100" s="198" cm="1">
        <f t="array" ref="Q100:Q101">_xlfn._xlws.SORT(G101:G102,1,-1)</f>
        <v>71937829.75</v>
      </c>
      <c r="R100" s="199">
        <f>Q100/$O$100</f>
        <v>1</v>
      </c>
      <c r="S100" s="46"/>
      <c r="T100" s="3"/>
      <c r="U100" s="3"/>
    </row>
    <row r="101" spans="3:21" ht="15" thickBot="1" x14ac:dyDescent="0.4">
      <c r="C101" s="91" t="s">
        <v>38</v>
      </c>
      <c r="D101" s="93">
        <f>VLOOKUP(C101,$B$24:$Q$25,16,FALSE)</f>
        <v>31124217.8123</v>
      </c>
      <c r="E101" s="93" t="str">
        <f>_xlfn.XLOOKUP(C101,'Investor Categories'!D:D,'Investor Categories'!C:C,"")</f>
        <v>The New York and Presbyterian Hospital</v>
      </c>
      <c r="F101" s="256" t="str" cm="1">
        <f t="array" ref="F101">_xlfn._xlws.SORT(_xlfn.UNIQUE(E101:E102))</f>
        <v>The New York and Presbyterian Hospital</v>
      </c>
      <c r="G101" s="93">
        <f>SUMIFS($D$101:$D$102,$E$101:$E$102,F101)</f>
        <v>71937829.75</v>
      </c>
      <c r="H101" s="92" t="str">
        <f>VLOOKUP(F101,'Investor Categories'!C:E,3,FALSE)</f>
        <v>(g) Non-profits</v>
      </c>
      <c r="I101" s="57"/>
      <c r="J101" s="54"/>
      <c r="K101" s="55"/>
      <c r="L101" s="196" t="s">
        <v>140</v>
      </c>
      <c r="M101" s="56">
        <f>SUMIFS($D$101:$D$102,$H$101:$H$102,L101)/$O$100</f>
        <v>0</v>
      </c>
      <c r="N101" s="53"/>
      <c r="O101" s="53"/>
      <c r="P101" s="53"/>
      <c r="Q101" s="200">
        <v>71937829.75</v>
      </c>
      <c r="R101" s="201">
        <f>Q101/$O$100</f>
        <v>1</v>
      </c>
      <c r="S101" s="46"/>
      <c r="T101" s="3"/>
      <c r="U101" s="3"/>
    </row>
    <row r="102" spans="3:21" ht="15" thickBot="1" x14ac:dyDescent="0.4">
      <c r="C102" s="91" t="s">
        <v>39</v>
      </c>
      <c r="D102" s="93">
        <f>VLOOKUP(C102,$B$24:$Q$25,16,FALSE)</f>
        <v>40813611.937700003</v>
      </c>
      <c r="E102" s="93" t="str">
        <f>_xlfn.XLOOKUP(C102,'Investor Categories'!D:D,'Investor Categories'!C:C,"")</f>
        <v>The New York and Presbyterian Hospital</v>
      </c>
      <c r="F102" s="258" t="s">
        <v>118</v>
      </c>
      <c r="G102" s="259">
        <f>SUM(G101)</f>
        <v>71937829.75</v>
      </c>
      <c r="H102" s="92"/>
      <c r="I102" s="57"/>
      <c r="J102" s="54"/>
      <c r="K102" s="55"/>
      <c r="L102" s="196" t="s">
        <v>141</v>
      </c>
      <c r="M102" s="56">
        <f>SUMIFS($G$101:$G$102,$H$101:$H$102,L102)/$O$100</f>
        <v>1</v>
      </c>
      <c r="N102" s="53"/>
      <c r="O102" s="53"/>
      <c r="P102" s="53"/>
      <c r="Q102" s="53"/>
      <c r="R102" s="57"/>
      <c r="S102" s="46"/>
      <c r="T102" s="3"/>
      <c r="U102" s="3"/>
    </row>
    <row r="103" spans="3:21" ht="15" thickBot="1" x14ac:dyDescent="0.4">
      <c r="C103" s="52"/>
      <c r="D103" s="53"/>
      <c r="E103" s="53"/>
      <c r="F103" s="260" t="s">
        <v>220</v>
      </c>
      <c r="G103" s="261">
        <f>G102-O100</f>
        <v>0</v>
      </c>
      <c r="H103" s="62"/>
      <c r="I103" s="63"/>
      <c r="J103" s="58"/>
      <c r="K103" s="59"/>
      <c r="L103" s="197"/>
      <c r="M103" s="60">
        <f>SUMIFS($D$101:$D$102,$H$101:$H$102,L103)/$O$100</f>
        <v>0</v>
      </c>
      <c r="N103" s="53"/>
      <c r="O103" s="53"/>
      <c r="P103" s="53"/>
      <c r="Q103" s="203" t="s">
        <v>153</v>
      </c>
      <c r="R103" s="202">
        <f>SUM(R100:R102)</f>
        <v>2</v>
      </c>
      <c r="S103" s="46"/>
      <c r="T103" s="3"/>
      <c r="U103" s="3"/>
    </row>
    <row r="104" spans="3:21" x14ac:dyDescent="0.35">
      <c r="C104" s="52"/>
      <c r="D104" s="53"/>
      <c r="E104" s="53"/>
      <c r="F104" s="53"/>
      <c r="G104" s="235"/>
      <c r="H104" s="53"/>
      <c r="I104" s="53"/>
      <c r="J104" s="53"/>
      <c r="K104" s="53"/>
      <c r="L104" s="53" t="s">
        <v>132</v>
      </c>
      <c r="M104" s="207">
        <f>SUM(M100:M103)</f>
        <v>1</v>
      </c>
      <c r="N104" s="53"/>
      <c r="O104" s="53"/>
      <c r="P104" s="53"/>
      <c r="Q104" s="53"/>
      <c r="R104" s="57"/>
      <c r="S104" s="46"/>
      <c r="T104" s="3"/>
      <c r="U104" s="3"/>
    </row>
    <row r="105" spans="3:21" ht="15" thickBot="1" x14ac:dyDescent="0.4">
      <c r="C105" s="61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3"/>
      <c r="S105" s="46"/>
      <c r="T105" s="3"/>
      <c r="U105" s="3"/>
    </row>
    <row r="106" spans="3:21" x14ac:dyDescent="0.3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46"/>
      <c r="T106" s="3"/>
      <c r="U106" s="3"/>
    </row>
    <row r="107" spans="3:21" ht="15" thickBot="1" x14ac:dyDescent="0.4">
      <c r="C107" s="3" t="s">
        <v>157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46"/>
      <c r="T107" s="3"/>
      <c r="U107" s="3"/>
    </row>
    <row r="108" spans="3:21" ht="15" thickBot="1" x14ac:dyDescent="0.4">
      <c r="C108" s="19" t="s">
        <v>24</v>
      </c>
      <c r="D108" s="20">
        <f t="shared" ref="D108:D116" si="4">VLOOKUP(C108,$B$35:$Q$43,16,FALSE)</f>
        <v>75696311.439600006</v>
      </c>
      <c r="E108" s="20" t="str">
        <f>_xlfn.XLOOKUP(C108,'Investor Categories'!D:D,'Investor Categories'!C:C,"")</f>
        <v>Alfred I. duPont Charitable Trust</v>
      </c>
      <c r="F108" s="247" t="str" cm="1">
        <f t="array" ref="F108:F114">_xlfn._xlws.SORT(_xlfn.UNIQUE(E108:E117))</f>
        <v/>
      </c>
      <c r="G108" s="20"/>
      <c r="H108" s="21"/>
      <c r="I108" s="21"/>
      <c r="J108" s="21"/>
      <c r="K108" s="248"/>
      <c r="L108" s="40"/>
      <c r="M108" s="40"/>
      <c r="N108" s="20" t="s">
        <v>152</v>
      </c>
      <c r="O108" s="94">
        <f>SUM(D108:D115)+D116</f>
        <v>319560246.40009999</v>
      </c>
      <c r="P108" s="40"/>
      <c r="Q108" s="147" cm="1">
        <f t="array" ref="Q108:Q113">_xlfn._xlws.SORT(G109:G114,1,-1)</f>
        <v>91145752.946199998</v>
      </c>
      <c r="R108" s="148">
        <f>Q108/$O$108</f>
        <v>0.28522243918939311</v>
      </c>
      <c r="S108" s="46"/>
      <c r="T108" s="3"/>
      <c r="U108" s="3"/>
    </row>
    <row r="109" spans="3:21" s="1" customFormat="1" x14ac:dyDescent="0.35">
      <c r="C109" s="25" t="s">
        <v>38</v>
      </c>
      <c r="D109" s="26">
        <f t="shared" ref="D109" si="5">VLOOKUP(C109,$B$35:$Q$43,16,FALSE)</f>
        <v>50706791.684199996</v>
      </c>
      <c r="E109" s="26" t="str">
        <f>_xlfn.XLOOKUP(C109,'Investor Categories'!D:D,'Investor Categories'!C:C,"")</f>
        <v>The New York and Presbyterian Hospital</v>
      </c>
      <c r="F109" s="250" t="str">
        <v>Alfred I. duPont Charitable Trust</v>
      </c>
      <c r="G109" s="232">
        <f t="shared" ref="G109" si="6">SUMIFS($D$108:$D$117,$E$108:$E$117,F109)</f>
        <v>90610650.987599999</v>
      </c>
      <c r="H109" s="24" t="str">
        <f>VLOOKUP(F109,'Investor Categories'!C:E,3,FALSE)</f>
        <v>(g) Non-profits</v>
      </c>
      <c r="I109" s="24"/>
      <c r="J109" s="24"/>
      <c r="K109" s="43"/>
      <c r="L109" s="41"/>
      <c r="M109" s="41"/>
      <c r="N109" s="26"/>
      <c r="O109" s="351"/>
      <c r="P109" s="41"/>
      <c r="Q109" s="23">
        <v>90610650.987599999</v>
      </c>
      <c r="R109" s="42">
        <f>Q109/$O$108</f>
        <v>0.28354794442783243</v>
      </c>
      <c r="S109" s="46"/>
      <c r="T109" s="3"/>
      <c r="U109" s="3"/>
    </row>
    <row r="110" spans="3:21" ht="15" thickBot="1" x14ac:dyDescent="0.4">
      <c r="C110" s="22" t="s">
        <v>166</v>
      </c>
      <c r="D110" s="23">
        <f t="shared" si="4"/>
        <v>50156138.909999996</v>
      </c>
      <c r="E110" s="23" t="str">
        <f>_xlfn.XLOOKUP(C110,'Investor Categories'!D:D,'Investor Categories'!C:C,"")</f>
        <v>Makena</v>
      </c>
      <c r="F110" s="249" t="str">
        <v>Alfred I. duPont Charitable Trust Pension</v>
      </c>
      <c r="G110" s="232">
        <f>SUMIFS($D$108:$D$117,$E$108:$E$117,F110)</f>
        <v>6713311.9545999998</v>
      </c>
      <c r="H110" s="24" t="str">
        <f>VLOOKUP(F110,'Investor Categories'!C:E,3,FALSE)</f>
        <v xml:space="preserve">(h) Pension plans (excluding governmental pension plans) </v>
      </c>
      <c r="I110" s="24"/>
      <c r="J110" s="24"/>
      <c r="K110" s="43"/>
      <c r="L110" s="41"/>
      <c r="M110" s="41"/>
      <c r="N110" s="41"/>
      <c r="O110" s="41"/>
      <c r="P110" s="41"/>
      <c r="Q110" s="23">
        <v>50156138.912299998</v>
      </c>
      <c r="R110" s="42">
        <f>Q110/$O$108</f>
        <v>0.15695362448025796</v>
      </c>
      <c r="S110" s="46"/>
      <c r="T110" s="3"/>
      <c r="U110" s="3"/>
    </row>
    <row r="111" spans="3:21" x14ac:dyDescent="0.35">
      <c r="C111" s="22" t="s">
        <v>31</v>
      </c>
      <c r="D111" s="23">
        <f t="shared" si="4"/>
        <v>30778252.689399999</v>
      </c>
      <c r="E111" s="23" t="str">
        <f>_xlfn.XLOOKUP(C111,'Investor Categories'!D:D,'Investor Categories'!C:C,"")</f>
        <v>The Kresge Foundation</v>
      </c>
      <c r="F111" s="249" t="str">
        <v>Makena</v>
      </c>
      <c r="G111" s="232">
        <f t="shared" ref="G111:G114" si="7">SUMIFS($D$108:$D$117,$E$108:$E$117,F111)</f>
        <v>50156138.909999996</v>
      </c>
      <c r="H111" s="24" t="str">
        <f>VLOOKUP(F111,'Investor Categories'!C:E,3,FALSE)</f>
        <v xml:space="preserve">(f) Private funds </v>
      </c>
      <c r="I111" s="24"/>
      <c r="J111" s="24"/>
      <c r="K111" s="43"/>
      <c r="L111" s="40"/>
      <c r="M111" s="40"/>
      <c r="N111" s="142" t="s">
        <v>141</v>
      </c>
      <c r="O111" s="143">
        <f>SUMIFS($G$108:$G$125,$H$108:$H$125,N111)/$O$108</f>
        <v>0.66508478140644434</v>
      </c>
      <c r="P111" s="41"/>
      <c r="Q111" s="23">
        <v>50156138.909999996</v>
      </c>
      <c r="R111" s="42">
        <f t="shared" ref="R111:R113" si="8">Q111/$O$108</f>
        <v>0.15695362447306055</v>
      </c>
      <c r="S111" s="46"/>
      <c r="T111" s="3"/>
      <c r="U111" s="3"/>
    </row>
    <row r="112" spans="3:21" x14ac:dyDescent="0.35">
      <c r="C112" s="25" t="s">
        <v>32</v>
      </c>
      <c r="D112" s="26">
        <f t="shared" si="4"/>
        <v>1008080.058</v>
      </c>
      <c r="E112" s="26" t="str">
        <f>_xlfn.XLOOKUP(C112,'Investor Categories'!D:D,'Investor Categories'!C:C,"")</f>
        <v>Alfred I. duPont Charitable Trust</v>
      </c>
      <c r="F112" s="250" t="str">
        <v>OMAHA</v>
      </c>
      <c r="G112" s="232">
        <f t="shared" si="7"/>
        <v>50156138.912299998</v>
      </c>
      <c r="H112" s="24" t="str">
        <f>VLOOKUP(F112,'Investor Categories'!C:E,3,FALSE)</f>
        <v xml:space="preserve">(d) Insurance companies </v>
      </c>
      <c r="I112" s="24"/>
      <c r="J112" s="24"/>
      <c r="K112" s="43"/>
      <c r="L112" s="41"/>
      <c r="M112" s="41"/>
      <c r="N112" s="27" t="s">
        <v>142</v>
      </c>
      <c r="O112" s="144">
        <f t="shared" ref="O112:O114" si="9">SUMIFS($G$108:$G$125,$H$108:$H$125,N112)/$O$108</f>
        <v>2.1007969640237139E-2</v>
      </c>
      <c r="P112" s="41"/>
      <c r="Q112" s="23">
        <v>30778252.689399999</v>
      </c>
      <c r="R112" s="42">
        <f t="shared" si="8"/>
        <v>9.6314397789218784E-2</v>
      </c>
      <c r="S112" s="46"/>
      <c r="T112" s="3"/>
      <c r="U112" s="3"/>
    </row>
    <row r="113" spans="3:21" x14ac:dyDescent="0.35">
      <c r="C113" s="25" t="s">
        <v>33</v>
      </c>
      <c r="D113" s="26">
        <f t="shared" si="4"/>
        <v>13906259.49</v>
      </c>
      <c r="E113" s="26" t="str">
        <f>_xlfn.XLOOKUP(C113,'Investor Categories'!D:D,'Investor Categories'!C:C,"")</f>
        <v>Alfred I. duPont Charitable Trust</v>
      </c>
      <c r="F113" s="250" t="str">
        <v>The Kresge Foundation</v>
      </c>
      <c r="G113" s="232">
        <f t="shared" si="7"/>
        <v>30778252.689399999</v>
      </c>
      <c r="H113" s="24" t="str">
        <f>VLOOKUP(F113,'Investor Categories'!C:E,3,FALSE)</f>
        <v>(g) Non-profits</v>
      </c>
      <c r="I113" s="24"/>
      <c r="J113" s="24"/>
      <c r="K113" s="43"/>
      <c r="L113" s="41"/>
      <c r="M113" s="41"/>
      <c r="N113" s="27" t="s">
        <v>138</v>
      </c>
      <c r="O113" s="144">
        <f t="shared" si="9"/>
        <v>0.15695362448025796</v>
      </c>
      <c r="P113" s="41"/>
      <c r="Q113" s="23">
        <v>6713311.9545999998</v>
      </c>
      <c r="R113" s="42">
        <f t="shared" si="8"/>
        <v>2.1007969640237139E-2</v>
      </c>
      <c r="S113" s="46"/>
      <c r="T113" s="3"/>
      <c r="U113" s="3"/>
    </row>
    <row r="114" spans="3:21" ht="15" thickBot="1" x14ac:dyDescent="0.4">
      <c r="C114" s="22" t="s">
        <v>34</v>
      </c>
      <c r="D114" s="23">
        <f t="shared" si="4"/>
        <v>6713311.9545999998</v>
      </c>
      <c r="E114" s="23" t="str">
        <f>_xlfn.XLOOKUP(C114,'Investor Categories'!D:D,'Investor Categories'!C:C,"")</f>
        <v>Alfred I. duPont Charitable Trust Pension</v>
      </c>
      <c r="F114" s="249" t="str">
        <v>The New York and Presbyterian Hospital</v>
      </c>
      <c r="G114" s="232">
        <f t="shared" si="7"/>
        <v>91145752.946199998</v>
      </c>
      <c r="H114" s="24" t="str">
        <f>VLOOKUP(F114,'Investor Categories'!C:E,3,FALSE)</f>
        <v>(g) Non-profits</v>
      </c>
      <c r="I114" s="24"/>
      <c r="J114" s="24"/>
      <c r="K114" s="43"/>
      <c r="L114" s="44"/>
      <c r="M114" s="44"/>
      <c r="N114" s="145" t="s">
        <v>140</v>
      </c>
      <c r="O114" s="146">
        <f t="shared" si="9"/>
        <v>0.15695362447306055</v>
      </c>
      <c r="P114" s="41"/>
      <c r="Q114" s="26"/>
      <c r="R114" s="42"/>
      <c r="S114" s="46"/>
      <c r="T114" s="3"/>
      <c r="U114" s="3"/>
    </row>
    <row r="115" spans="3:21" ht="15" thickBot="1" x14ac:dyDescent="0.4">
      <c r="C115" s="130" t="s">
        <v>39</v>
      </c>
      <c r="D115" s="131">
        <f t="shared" si="4"/>
        <v>40438961.262000002</v>
      </c>
      <c r="E115" s="26" t="str">
        <f>_xlfn.XLOOKUP(C115,'Investor Categories'!D:D,'Investor Categories'!C:C,"")</f>
        <v>The New York and Presbyterian Hospital</v>
      </c>
      <c r="F115" s="262" t="s">
        <v>118</v>
      </c>
      <c r="G115" s="243">
        <f>SUM(G109:G114)</f>
        <v>319560246.40009999</v>
      </c>
      <c r="H115" s="24"/>
      <c r="I115" s="24"/>
      <c r="J115" s="24"/>
      <c r="K115" s="43"/>
      <c r="L115" s="41"/>
      <c r="M115" s="41"/>
      <c r="N115" s="204" t="s">
        <v>132</v>
      </c>
      <c r="O115" s="206">
        <f>SUM(O111:O114)</f>
        <v>1</v>
      </c>
      <c r="P115" s="41"/>
      <c r="Q115" s="26"/>
      <c r="R115" s="42"/>
      <c r="S115" s="46"/>
      <c r="T115" s="3"/>
      <c r="U115" s="3"/>
    </row>
    <row r="116" spans="3:21" ht="15" thickBot="1" x14ac:dyDescent="0.4">
      <c r="C116" s="25" t="s">
        <v>45</v>
      </c>
      <c r="D116" s="127">
        <f t="shared" si="4"/>
        <v>50156138.912299998</v>
      </c>
      <c r="E116" s="26" t="str">
        <f>_xlfn.XLOOKUP(C116,'Investor Categories'!D:D,'Investor Categories'!C:C,"")</f>
        <v/>
      </c>
      <c r="F116" s="263" t="s">
        <v>220</v>
      </c>
      <c r="G116" s="131">
        <f>G115-O108</f>
        <v>0</v>
      </c>
      <c r="H116" s="30"/>
      <c r="I116" s="30"/>
      <c r="J116" s="30"/>
      <c r="K116" s="253"/>
      <c r="L116" s="41"/>
      <c r="M116" s="41"/>
      <c r="N116" s="41"/>
      <c r="O116" s="41"/>
      <c r="P116" s="41"/>
      <c r="Q116" s="26"/>
      <c r="R116" s="42"/>
      <c r="S116" s="46"/>
      <c r="T116" s="3"/>
      <c r="U116" s="3"/>
    </row>
    <row r="117" spans="3:21" x14ac:dyDescent="0.35">
      <c r="C117" s="22" t="s">
        <v>130</v>
      </c>
      <c r="D117" s="23">
        <f>SUMIFS(Notes_Q1,PrimeNoteHolders,Prime_InvestorCapitalPerf!C117)/SUM(Notes_Q1)*$D$116</f>
        <v>50156138.912299998</v>
      </c>
      <c r="E117" s="23" t="str">
        <f>_xlfn.XLOOKUP(C117,'Investor Categories'!D:D,'Investor Categories'!C:C,"")</f>
        <v>OMAHA</v>
      </c>
      <c r="F117" s="23"/>
      <c r="G117" s="23"/>
      <c r="H117" s="24"/>
      <c r="I117" s="24"/>
      <c r="J117" s="24"/>
      <c r="K117" s="41"/>
      <c r="L117" s="41"/>
      <c r="M117" s="41"/>
      <c r="N117" s="41"/>
      <c r="O117" s="41"/>
      <c r="P117" s="41"/>
      <c r="Q117" s="23"/>
      <c r="R117" s="42"/>
      <c r="S117" s="46"/>
      <c r="T117" s="3"/>
      <c r="U117" s="3"/>
    </row>
    <row r="118" spans="3:21" x14ac:dyDescent="0.35">
      <c r="C118" s="22"/>
      <c r="D118" s="23"/>
      <c r="E118" s="23"/>
      <c r="F118" s="23"/>
      <c r="G118" s="23"/>
      <c r="H118" s="24"/>
      <c r="I118" s="24"/>
      <c r="J118" s="24"/>
      <c r="K118" s="41"/>
      <c r="L118" s="41"/>
      <c r="M118" s="41"/>
      <c r="N118" s="41"/>
      <c r="O118" s="41"/>
      <c r="P118" s="41"/>
      <c r="Q118" s="23"/>
      <c r="R118" s="42"/>
      <c r="S118" s="46"/>
      <c r="T118" s="3"/>
      <c r="U118" s="3"/>
    </row>
    <row r="119" spans="3:21" x14ac:dyDescent="0.35">
      <c r="C119" s="22"/>
      <c r="D119" s="23"/>
      <c r="E119" s="23"/>
      <c r="F119" s="23"/>
      <c r="G119" s="23"/>
      <c r="H119" s="24"/>
      <c r="I119" s="24"/>
      <c r="J119" s="24"/>
      <c r="K119" s="41"/>
      <c r="L119" s="41"/>
      <c r="M119" s="41"/>
      <c r="N119" s="41"/>
      <c r="O119" s="41"/>
      <c r="P119" s="41"/>
      <c r="Q119" s="23"/>
      <c r="R119" s="42"/>
      <c r="S119" s="46"/>
      <c r="T119" s="3"/>
      <c r="U119" s="3"/>
    </row>
    <row r="120" spans="3:21" x14ac:dyDescent="0.35">
      <c r="C120" s="22"/>
      <c r="D120" s="23"/>
      <c r="E120" s="23"/>
      <c r="F120" s="23"/>
      <c r="G120" s="23"/>
      <c r="H120" s="24"/>
      <c r="I120" s="24"/>
      <c r="J120" s="24"/>
      <c r="K120" s="41"/>
      <c r="L120" s="41"/>
      <c r="M120" s="41"/>
      <c r="N120" s="41"/>
      <c r="O120" s="41"/>
      <c r="P120" s="41"/>
      <c r="Q120" s="23"/>
      <c r="R120" s="42"/>
      <c r="S120" s="46"/>
      <c r="T120" s="3"/>
      <c r="U120" s="3"/>
    </row>
    <row r="121" spans="3:21" x14ac:dyDescent="0.35">
      <c r="C121" s="22"/>
      <c r="D121" s="23"/>
      <c r="E121" s="23"/>
      <c r="F121" s="23"/>
      <c r="G121" s="23"/>
      <c r="H121" s="24"/>
      <c r="I121" s="24"/>
      <c r="J121" s="24"/>
      <c r="K121" s="41"/>
      <c r="L121" s="41"/>
      <c r="M121" s="41"/>
      <c r="N121" s="41"/>
      <c r="O121" s="41"/>
      <c r="P121" s="41"/>
      <c r="Q121" s="26"/>
      <c r="R121" s="42"/>
      <c r="S121" s="46"/>
      <c r="T121" s="3"/>
      <c r="U121" s="3"/>
    </row>
    <row r="122" spans="3:21" x14ac:dyDescent="0.35">
      <c r="C122" s="22"/>
      <c r="D122" s="23"/>
      <c r="E122" s="23"/>
      <c r="F122" s="23"/>
      <c r="G122" s="23"/>
      <c r="H122" s="24"/>
      <c r="I122" s="24"/>
      <c r="J122" s="24"/>
      <c r="K122" s="41"/>
      <c r="L122" s="41"/>
      <c r="M122" s="41"/>
      <c r="N122" s="41"/>
      <c r="O122" s="41"/>
      <c r="P122" s="41"/>
      <c r="Q122" s="204" t="s">
        <v>164</v>
      </c>
      <c r="R122" s="205">
        <f>MAX(R108:R119)</f>
        <v>0.28522243918939311</v>
      </c>
      <c r="S122" s="46"/>
      <c r="T122" s="3"/>
      <c r="U122" s="3"/>
    </row>
    <row r="123" spans="3:21" x14ac:dyDescent="0.35">
      <c r="C123" s="22"/>
      <c r="D123" s="23"/>
      <c r="E123" s="23"/>
      <c r="F123" s="23"/>
      <c r="G123" s="23"/>
      <c r="H123" s="24"/>
      <c r="I123" s="24"/>
      <c r="J123" s="24"/>
      <c r="K123" s="41"/>
      <c r="L123" s="41"/>
      <c r="M123" s="41"/>
      <c r="N123" s="41"/>
      <c r="O123" s="41"/>
      <c r="P123" s="41"/>
      <c r="Q123" s="204" t="s">
        <v>153</v>
      </c>
      <c r="R123" s="205">
        <f>SUM(R108:R113)</f>
        <v>1</v>
      </c>
      <c r="S123" s="46"/>
      <c r="T123" s="3"/>
      <c r="U123" s="3"/>
    </row>
    <row r="124" spans="3:21" x14ac:dyDescent="0.35">
      <c r="C124" s="22"/>
      <c r="D124" s="23"/>
      <c r="E124" s="23"/>
      <c r="F124" s="23"/>
      <c r="G124" s="23"/>
      <c r="H124" s="24"/>
      <c r="I124" s="24"/>
      <c r="J124" s="24"/>
      <c r="K124" s="41"/>
      <c r="L124" s="41"/>
      <c r="M124" s="41"/>
      <c r="N124" s="41"/>
      <c r="O124" s="41"/>
      <c r="P124" s="41"/>
      <c r="Q124" s="204" t="s">
        <v>221</v>
      </c>
      <c r="R124" s="288">
        <f>COUNTIFS(R108:R117,"&gt;="&amp;0.05)</f>
        <v>5</v>
      </c>
      <c r="S124" s="46"/>
      <c r="T124" s="3"/>
      <c r="U124" s="3"/>
    </row>
    <row r="125" spans="3:21" ht="15" thickBot="1" x14ac:dyDescent="0.4">
      <c r="C125" s="28"/>
      <c r="D125" s="29"/>
      <c r="E125" s="29"/>
      <c r="F125" s="29"/>
      <c r="G125" s="29"/>
      <c r="H125" s="30"/>
      <c r="I125" s="30"/>
      <c r="J125" s="30"/>
      <c r="K125" s="44"/>
      <c r="L125" s="44"/>
      <c r="M125" s="44"/>
      <c r="N125" s="44"/>
      <c r="O125" s="44"/>
      <c r="P125" s="44"/>
      <c r="Q125" s="208" t="s">
        <v>132</v>
      </c>
      <c r="R125" s="209">
        <f>SUM(R108:R115)</f>
        <v>1</v>
      </c>
      <c r="S125" s="46"/>
      <c r="T125" s="3"/>
      <c r="U125" s="3"/>
    </row>
    <row r="126" spans="3:21" x14ac:dyDescent="0.3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46"/>
      <c r="T126" s="3"/>
      <c r="U126" s="3"/>
    </row>
    <row r="127" spans="3:21" ht="15" thickBot="1" x14ac:dyDescent="0.4">
      <c r="C127" s="3" t="s">
        <v>158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46"/>
      <c r="T127" s="3"/>
      <c r="U127" s="3"/>
    </row>
    <row r="128" spans="3:21" ht="15" thickBot="1" x14ac:dyDescent="0.4">
      <c r="C128" s="64" t="s">
        <v>48</v>
      </c>
      <c r="D128" s="32">
        <f t="shared" ref="D128:D134" si="10">VLOOKUP(C128,$B$46:$Q$52,16,FALSE)</f>
        <v>20494947.6272</v>
      </c>
      <c r="E128" s="32" t="str">
        <f>_xlfn.XLOOKUP(C128,'Investor Categories'!D:D,'Investor Categories'!C:C,"")</f>
        <v>In Touch Ministries</v>
      </c>
      <c r="F128" s="264" t="str" cm="1">
        <f t="array" ref="F128:F134">_xlfn._xlws.SORT(_xlfn.UNIQUE(E128:E137))</f>
        <v/>
      </c>
      <c r="G128" s="32"/>
      <c r="H128" s="36"/>
      <c r="I128" s="65"/>
      <c r="J128" s="65"/>
      <c r="K128" s="265"/>
      <c r="L128" s="65"/>
      <c r="M128" s="65"/>
      <c r="N128" s="32" t="s">
        <v>152</v>
      </c>
      <c r="O128" s="136">
        <f>SUM(D128:D133)+D134</f>
        <v>252879552.66000003</v>
      </c>
      <c r="P128" s="65"/>
      <c r="Q128" s="37" cm="1">
        <f t="array" ref="Q128:Q133">_xlfn._xlws.SORT(G129:G134,1,-1)</f>
        <v>95744396.801100016</v>
      </c>
      <c r="R128" s="66">
        <f>Q128/$O$128</f>
        <v>0.3786166014372449</v>
      </c>
      <c r="S128" s="46"/>
      <c r="T128" s="3"/>
      <c r="U128" s="3"/>
    </row>
    <row r="129" spans="3:21" s="1" customFormat="1" x14ac:dyDescent="0.35">
      <c r="C129" s="70" t="s">
        <v>162</v>
      </c>
      <c r="D129" s="35">
        <f t="shared" ref="D129:D130" si="11">VLOOKUP(C129,$B$46:$Q$52,16,FALSE)</f>
        <v>1005619.0715</v>
      </c>
      <c r="E129" s="35" t="str">
        <f>_xlfn.XLOOKUP(C129,'Investor Categories'!D:D,'Investor Categories'!C:C,"")</f>
        <v>In Touch Ministries</v>
      </c>
      <c r="F129" s="266" t="str">
        <v>GUIDESTONE</v>
      </c>
      <c r="G129" s="35">
        <f t="shared" ref="G129" si="12">SUMIFS($D$128:$D$137,$E$128:$E$137,F129)</f>
        <v>10036788.886414748</v>
      </c>
      <c r="H129" s="31" t="str">
        <f>VLOOKUP(F129,'Investor Categories'!C:E,3,FALSE)</f>
        <v>(g) Non-profits</v>
      </c>
      <c r="I129" s="68"/>
      <c r="J129" s="68"/>
      <c r="K129" s="75"/>
      <c r="L129" s="68"/>
      <c r="M129" s="68"/>
      <c r="N129" s="35"/>
      <c r="O129" s="352"/>
      <c r="P129" s="68"/>
      <c r="Q129" s="33">
        <v>60220733.318488486</v>
      </c>
      <c r="R129" s="69">
        <f t="shared" ref="R129:R133" si="13">Q129/$O$128</f>
        <v>0.23813998674482026</v>
      </c>
      <c r="S129" s="46"/>
      <c r="T129" s="3"/>
      <c r="U129" s="3"/>
    </row>
    <row r="130" spans="3:21" s="1" customFormat="1" x14ac:dyDescent="0.35">
      <c r="C130" s="70" t="s">
        <v>49</v>
      </c>
      <c r="D130" s="35">
        <f t="shared" si="10"/>
        <v>23498949.613000002</v>
      </c>
      <c r="E130" s="35" t="str">
        <f>_xlfn.XLOOKUP(C130,'Investor Categories'!D:D,'Investor Categories'!C:C,"")</f>
        <v>In Touch Ministries</v>
      </c>
      <c r="F130" s="266" t="str">
        <v>In Touch Ministries</v>
      </c>
      <c r="G130" s="35">
        <f>SUMIFS($D$128:$D$137,$E$128:$E$137,F130)</f>
        <v>44999516.311700001</v>
      </c>
      <c r="H130" s="31" t="str">
        <f>VLOOKUP(F130,'Investor Categories'!C:E,3,FALSE)</f>
        <v>(g) Non-profits</v>
      </c>
      <c r="I130" s="68"/>
      <c r="J130" s="68"/>
      <c r="K130" s="75"/>
      <c r="L130" s="68"/>
      <c r="M130" s="68"/>
      <c r="N130" s="35"/>
      <c r="O130" s="88"/>
      <c r="P130" s="68"/>
      <c r="Q130" s="33">
        <v>44999516.311700001</v>
      </c>
      <c r="R130" s="69">
        <f t="shared" si="13"/>
        <v>0.17794841788652821</v>
      </c>
      <c r="S130" s="46"/>
      <c r="T130" s="3"/>
      <c r="U130" s="3"/>
    </row>
    <row r="131" spans="3:21" ht="15" thickBot="1" x14ac:dyDescent="0.4">
      <c r="C131" s="67" t="s">
        <v>50</v>
      </c>
      <c r="D131" s="33">
        <f t="shared" si="10"/>
        <v>3236480.1296000001</v>
      </c>
      <c r="E131" s="33" t="str">
        <f>_xlfn.XLOOKUP(C131,'Investor Categories'!D:D,'Investor Categories'!C:C,"")</f>
        <v>Southern Baptist Convention</v>
      </c>
      <c r="F131" s="267" t="str">
        <v>MERCURY</v>
      </c>
      <c r="G131" s="35">
        <f t="shared" ref="G131:G134" si="14">SUMIFS($D$128:$D$137,$E$128:$E$137,F131)</f>
        <v>38641637.212696776</v>
      </c>
      <c r="H131" s="31" t="str">
        <f>VLOOKUP(F131,'Investor Categories'!C:E,3,FALSE)</f>
        <v xml:space="preserve">(d) Insurance companies </v>
      </c>
      <c r="I131" s="68"/>
      <c r="J131" s="68"/>
      <c r="K131" s="75"/>
      <c r="L131" s="68"/>
      <c r="M131" s="68"/>
      <c r="N131" s="68"/>
      <c r="O131" s="68"/>
      <c r="P131" s="68"/>
      <c r="Q131" s="33">
        <v>38641637.212696776</v>
      </c>
      <c r="R131" s="69">
        <f t="shared" si="13"/>
        <v>0.15280649149459299</v>
      </c>
      <c r="S131" s="46"/>
      <c r="T131" s="3"/>
      <c r="U131" s="3"/>
    </row>
    <row r="132" spans="3:21" x14ac:dyDescent="0.35">
      <c r="C132" s="70" t="s">
        <v>52</v>
      </c>
      <c r="D132" s="35">
        <f t="shared" si="10"/>
        <v>70669197.091100007</v>
      </c>
      <c r="E132" s="35" t="str">
        <f>_xlfn.XLOOKUP(C132,'Investor Categories'!D:D,'Investor Categories'!C:C,"")</f>
        <v>Word of God Fellowship, Inc.</v>
      </c>
      <c r="F132" s="266" t="str">
        <v>Southern Baptist Convention</v>
      </c>
      <c r="G132" s="35">
        <f t="shared" si="14"/>
        <v>3236480.1296000001</v>
      </c>
      <c r="H132" s="31" t="str">
        <f>VLOOKUP(F132,'Investor Categories'!C:E,3,FALSE)</f>
        <v>(g) Non-profits</v>
      </c>
      <c r="I132" s="68"/>
      <c r="J132" s="68"/>
      <c r="K132" s="75"/>
      <c r="L132" s="65"/>
      <c r="M132" s="65"/>
      <c r="N132" s="137" t="s">
        <v>141</v>
      </c>
      <c r="O132" s="138">
        <f>SUMIFS($G$128:$G$143,$H$128:$H$143,N132)/$O$128</f>
        <v>0.60905352176058669</v>
      </c>
      <c r="P132" s="68"/>
      <c r="Q132" s="33">
        <v>10036788.886414748</v>
      </c>
      <c r="R132" s="69">
        <f t="shared" si="13"/>
        <v>3.9689997790803379E-2</v>
      </c>
      <c r="S132" s="3"/>
      <c r="T132" s="3"/>
      <c r="U132" s="3"/>
    </row>
    <row r="133" spans="3:21" ht="15" thickBot="1" x14ac:dyDescent="0.4">
      <c r="C133" s="71" t="s">
        <v>231</v>
      </c>
      <c r="D133" s="129">
        <f t="shared" si="10"/>
        <v>25075199.710000001</v>
      </c>
      <c r="E133" s="35" t="str">
        <f>_xlfn.XLOOKUP(C133,'Investor Categories'!D:D,'Investor Categories'!C:C,"")</f>
        <v>Word of God Fellowship, Inc.</v>
      </c>
      <c r="F133" s="266" t="str">
        <v>SWIB</v>
      </c>
      <c r="G133" s="35">
        <f t="shared" si="14"/>
        <v>60220733.318488486</v>
      </c>
      <c r="H133" s="31" t="str">
        <f>VLOOKUP(F133,'Investor Categories'!C:E,3,FALSE)</f>
        <v xml:space="preserve">(k) State or municipal governmental pension plans </v>
      </c>
      <c r="I133" s="68"/>
      <c r="J133" s="68"/>
      <c r="K133" s="75"/>
      <c r="L133" s="68"/>
      <c r="M133" s="68"/>
      <c r="N133" s="34" t="s">
        <v>142</v>
      </c>
      <c r="O133" s="139">
        <f t="shared" ref="O133:O135" si="15">SUMIFS($G$128:$G$143,$H$128:$H$143,N133)/$O$128</f>
        <v>0</v>
      </c>
      <c r="P133" s="68"/>
      <c r="Q133" s="33">
        <v>3236480.1296000001</v>
      </c>
      <c r="R133" s="69">
        <f t="shared" si="13"/>
        <v>1.2798504646010235E-2</v>
      </c>
      <c r="S133" s="3"/>
      <c r="T133" s="3"/>
      <c r="U133" s="3"/>
    </row>
    <row r="134" spans="3:21" ht="15" thickBot="1" x14ac:dyDescent="0.4">
      <c r="C134" s="70" t="s">
        <v>51</v>
      </c>
      <c r="D134" s="128">
        <f t="shared" si="10"/>
        <v>108899159.41760001</v>
      </c>
      <c r="E134" s="33" t="str">
        <f>_xlfn.XLOOKUP(C134,'Investor Categories'!D:D,'Investor Categories'!C:C,"")</f>
        <v/>
      </c>
      <c r="F134" s="267" t="str">
        <v>Word of God Fellowship, Inc.</v>
      </c>
      <c r="G134" s="35">
        <f t="shared" si="14"/>
        <v>95744396.801100016</v>
      </c>
      <c r="H134" s="31" t="str">
        <f>VLOOKUP(F134,'Investor Categories'!C:E,3,FALSE)</f>
        <v>(g) Non-profits</v>
      </c>
      <c r="I134" s="68"/>
      <c r="J134" s="68"/>
      <c r="K134" s="75"/>
      <c r="L134" s="68"/>
      <c r="M134" s="68"/>
      <c r="N134" s="34" t="s">
        <v>138</v>
      </c>
      <c r="O134" s="139">
        <f t="shared" si="15"/>
        <v>0.15280649149459299</v>
      </c>
      <c r="P134" s="68"/>
      <c r="Q134" s="35"/>
      <c r="R134" s="69"/>
      <c r="S134" s="3"/>
      <c r="T134" s="3"/>
      <c r="U134" s="3"/>
    </row>
    <row r="135" spans="3:21" ht="15" thickBot="1" x14ac:dyDescent="0.4">
      <c r="C135" s="70" t="s">
        <v>128</v>
      </c>
      <c r="D135" s="33">
        <f>SUMIFS(Notes_QX1,PrimeNoteHolders,Prime_InvestorCapitalPerf!C135)/SUM(Notes_QX1)*$D$134</f>
        <v>10036788.886414748</v>
      </c>
      <c r="E135" s="33" t="str">
        <f>_xlfn.XLOOKUP(C135,'Investor Categories'!D:D,'Investor Categories'!C:C,"")</f>
        <v>GUIDESTONE</v>
      </c>
      <c r="F135" s="267"/>
      <c r="G135" s="35"/>
      <c r="H135" s="31"/>
      <c r="I135" s="68"/>
      <c r="J135" s="68"/>
      <c r="K135" s="75"/>
      <c r="L135" s="72"/>
      <c r="M135" s="72"/>
      <c r="N135" s="140" t="s">
        <v>144</v>
      </c>
      <c r="O135" s="141">
        <f t="shared" si="15"/>
        <v>0.23813998674482026</v>
      </c>
      <c r="P135" s="68"/>
      <c r="Q135" s="35"/>
      <c r="R135" s="69"/>
      <c r="S135" s="3"/>
      <c r="T135" s="3"/>
      <c r="U135" s="3"/>
    </row>
    <row r="136" spans="3:21" ht="15" thickBot="1" x14ac:dyDescent="0.4">
      <c r="C136" s="70" t="s">
        <v>129</v>
      </c>
      <c r="D136" s="33">
        <f>SUMIFS(Notes_QX1,PrimeNoteHolders,Prime_InvestorCapitalPerf!C136)/SUM(Notes_QX1)*$D$134</f>
        <v>38641637.212696776</v>
      </c>
      <c r="E136" s="33" t="str">
        <f>_xlfn.XLOOKUP(C136,'Investor Categories'!D:D,'Investor Categories'!C:C,"")</f>
        <v>MERCURY</v>
      </c>
      <c r="F136" s="268" t="s">
        <v>118</v>
      </c>
      <c r="G136" s="244">
        <f>SUM(G129:G135)</f>
        <v>252879552.66000003</v>
      </c>
      <c r="H136" s="31"/>
      <c r="I136" s="68"/>
      <c r="J136" s="68"/>
      <c r="K136" s="75"/>
      <c r="L136" s="68"/>
      <c r="M136" s="68"/>
      <c r="N136" s="210" t="s">
        <v>132</v>
      </c>
      <c r="O136" s="211">
        <f>SUM(O132:O135)</f>
        <v>1</v>
      </c>
      <c r="P136" s="68"/>
      <c r="Q136" s="35"/>
      <c r="R136" s="69"/>
      <c r="S136" s="3"/>
      <c r="T136" s="3"/>
      <c r="U136" s="3"/>
    </row>
    <row r="137" spans="3:21" ht="15" thickBot="1" x14ac:dyDescent="0.4">
      <c r="C137" s="70" t="s">
        <v>117</v>
      </c>
      <c r="D137" s="33">
        <f>SUMIFS(Notes_QX1,PrimeNoteHolders,Prime_InvestorCapitalPerf!C137)/SUM(Notes_QX1)*$D$134</f>
        <v>60220733.318488486</v>
      </c>
      <c r="E137" s="33" t="str">
        <f>_xlfn.XLOOKUP(C137,'Investor Categories'!D:D,'Investor Categories'!C:C,"")</f>
        <v>SWIB</v>
      </c>
      <c r="F137" s="269" t="s">
        <v>220</v>
      </c>
      <c r="G137" s="38">
        <f>G136-O128</f>
        <v>0</v>
      </c>
      <c r="H137" s="39"/>
      <c r="I137" s="72"/>
      <c r="J137" s="72"/>
      <c r="K137" s="73"/>
      <c r="L137" s="68"/>
      <c r="M137" s="68"/>
      <c r="N137" s="68"/>
      <c r="O137" s="68"/>
      <c r="P137" s="68"/>
      <c r="Q137" s="33"/>
      <c r="R137" s="69"/>
      <c r="S137" s="3"/>
      <c r="T137" s="3"/>
      <c r="U137" s="3"/>
    </row>
    <row r="138" spans="3:21" x14ac:dyDescent="0.35">
      <c r="C138" s="70"/>
      <c r="D138" s="33"/>
      <c r="E138" s="33"/>
      <c r="F138" s="33"/>
      <c r="G138" s="33"/>
      <c r="H138" s="31"/>
      <c r="I138" s="68"/>
      <c r="J138" s="68"/>
      <c r="K138" s="68"/>
      <c r="L138" s="68"/>
      <c r="M138" s="68"/>
      <c r="N138" s="68"/>
      <c r="O138" s="68"/>
      <c r="P138" s="68"/>
      <c r="Q138" s="33"/>
      <c r="R138" s="69"/>
      <c r="S138" s="3"/>
      <c r="T138" s="3"/>
      <c r="U138" s="3"/>
    </row>
    <row r="139" spans="3:21" x14ac:dyDescent="0.35">
      <c r="C139" s="70"/>
      <c r="D139" s="33"/>
      <c r="E139" s="33"/>
      <c r="F139" s="33"/>
      <c r="G139" s="33"/>
      <c r="H139" s="31"/>
      <c r="I139" s="68"/>
      <c r="J139" s="68"/>
      <c r="K139" s="68"/>
      <c r="L139" s="68"/>
      <c r="M139" s="68"/>
      <c r="N139" s="68"/>
      <c r="O139" s="68"/>
      <c r="P139" s="68"/>
      <c r="Q139" s="33"/>
      <c r="R139" s="69"/>
      <c r="S139" s="3"/>
      <c r="T139" s="3"/>
      <c r="U139" s="3"/>
    </row>
    <row r="140" spans="3:21" x14ac:dyDescent="0.35">
      <c r="C140" s="70"/>
      <c r="D140" s="33"/>
      <c r="E140" s="33"/>
      <c r="F140" s="33"/>
      <c r="G140" s="33"/>
      <c r="H140" s="31"/>
      <c r="I140" s="68"/>
      <c r="J140" s="68"/>
      <c r="K140" s="68"/>
      <c r="L140" s="68"/>
      <c r="M140" s="68"/>
      <c r="N140" s="68"/>
      <c r="O140" s="68"/>
      <c r="P140" s="68"/>
      <c r="Q140" s="210" t="s">
        <v>164</v>
      </c>
      <c r="R140" s="212">
        <f>MAX(R128:R137)</f>
        <v>0.3786166014372449</v>
      </c>
      <c r="S140" s="3"/>
      <c r="T140" s="3"/>
      <c r="U140" s="3"/>
    </row>
    <row r="141" spans="3:21" x14ac:dyDescent="0.35">
      <c r="C141" s="70"/>
      <c r="D141" s="33"/>
      <c r="E141" s="33"/>
      <c r="F141" s="33"/>
      <c r="G141" s="33"/>
      <c r="H141" s="31"/>
      <c r="I141" s="68"/>
      <c r="J141" s="68"/>
      <c r="K141" s="68"/>
      <c r="L141" s="68"/>
      <c r="M141" s="68"/>
      <c r="N141" s="68"/>
      <c r="O141" s="68"/>
      <c r="P141" s="68"/>
      <c r="Q141" s="210" t="s">
        <v>153</v>
      </c>
      <c r="R141" s="212">
        <f>SUM(R128:R132)</f>
        <v>0.98720149535398982</v>
      </c>
      <c r="S141" s="3"/>
      <c r="T141" s="3"/>
      <c r="U141" s="3"/>
    </row>
    <row r="142" spans="3:21" x14ac:dyDescent="0.35">
      <c r="C142" s="70"/>
      <c r="D142" s="33"/>
      <c r="E142" s="33"/>
      <c r="F142" s="33"/>
      <c r="G142" s="33"/>
      <c r="H142" s="31"/>
      <c r="I142" s="68"/>
      <c r="J142" s="68"/>
      <c r="K142" s="68"/>
      <c r="L142" s="68"/>
      <c r="M142" s="68"/>
      <c r="N142" s="68"/>
      <c r="O142" s="68"/>
      <c r="P142" s="68"/>
      <c r="Q142" s="210" t="s">
        <v>221</v>
      </c>
      <c r="R142" s="289">
        <f>COUNTIFS(R128:R135,"&gt;="&amp;0.05)</f>
        <v>4</v>
      </c>
      <c r="S142" s="3"/>
      <c r="T142" s="3"/>
      <c r="U142" s="3"/>
    </row>
    <row r="143" spans="3:21" ht="15" thickBot="1" x14ac:dyDescent="0.4">
      <c r="C143" s="71"/>
      <c r="D143" s="38"/>
      <c r="E143" s="38"/>
      <c r="F143" s="38"/>
      <c r="G143" s="38"/>
      <c r="H143" s="39"/>
      <c r="I143" s="72"/>
      <c r="J143" s="72"/>
      <c r="K143" s="72"/>
      <c r="L143" s="72"/>
      <c r="M143" s="72"/>
      <c r="N143" s="72"/>
      <c r="O143" s="72"/>
      <c r="P143" s="72"/>
      <c r="Q143" s="213" t="s">
        <v>132</v>
      </c>
      <c r="R143" s="214">
        <f>SUM(R128:R138)</f>
        <v>1</v>
      </c>
      <c r="S143" s="3"/>
      <c r="T143" s="3"/>
      <c r="U143" s="3"/>
    </row>
    <row r="144" spans="3:21" x14ac:dyDescent="0.3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3:21" x14ac:dyDescent="0.3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3:21" ht="15" thickBot="1" x14ac:dyDescent="0.4">
      <c r="C146" s="45" t="s">
        <v>159</v>
      </c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3"/>
      <c r="T146" s="3"/>
      <c r="U146" s="3"/>
    </row>
    <row r="147" spans="3:21" ht="15" thickBot="1" x14ac:dyDescent="0.4">
      <c r="C147" s="240"/>
      <c r="D147" s="48"/>
      <c r="E147" s="48"/>
      <c r="F147" s="254"/>
      <c r="G147" s="48"/>
      <c r="H147" s="48"/>
      <c r="I147" s="255"/>
      <c r="J147" s="270"/>
      <c r="K147" s="50"/>
      <c r="L147" s="153" t="s">
        <v>138</v>
      </c>
      <c r="M147" s="51">
        <f>SUMIFS($G$148:$G$149,$H$148:$H$149,L147)/$O$147</f>
        <v>0.55555555555555558</v>
      </c>
      <c r="N147" s="152" t="s">
        <v>160</v>
      </c>
      <c r="O147" s="151">
        <f>D148</f>
        <v>90367675.030000001</v>
      </c>
      <c r="P147" s="48"/>
      <c r="Q147" s="198" cm="1">
        <f t="array" ref="Q147:Q148">_xlfn._xlws.SORT(G148:G149,1,-1)</f>
        <v>50204263.905555561</v>
      </c>
      <c r="R147" s="199">
        <f>Q147/$O$147</f>
        <v>0.55555555555555558</v>
      </c>
      <c r="S147" s="3"/>
      <c r="T147" s="3"/>
      <c r="U147" s="3"/>
    </row>
    <row r="148" spans="3:21" ht="15" thickBot="1" x14ac:dyDescent="0.4">
      <c r="C148" s="239" t="s">
        <v>55</v>
      </c>
      <c r="D148" s="132">
        <f>VLOOKUP(C148,$B$61:$Q$61,16,FALSE)</f>
        <v>90367675.030000001</v>
      </c>
      <c r="E148" s="200" t="str">
        <f>_xlfn.XLOOKUP(C148,'Investor Categories'!D:D,'Investor Categories'!C:C,"")</f>
        <v/>
      </c>
      <c r="F148" s="273" t="str" cm="1">
        <f t="array" ref="F148:F149">_xlfn._xlws.SORT(_xlfn.UNIQUE(E149:E150))</f>
        <v>MERCURY</v>
      </c>
      <c r="G148" s="200">
        <f>SUMIFS($D$149:$D$150,$E$149:$E$150,F148)</f>
        <v>50204263.905555561</v>
      </c>
      <c r="H148" s="237" t="str">
        <f>VLOOKUP(F148,'Investor Categories'!C:E,3,FALSE)</f>
        <v xml:space="preserve">(d) Insurance companies </v>
      </c>
      <c r="I148" s="57"/>
      <c r="J148" s="271"/>
      <c r="K148" s="55"/>
      <c r="L148" s="154" t="s">
        <v>140</v>
      </c>
      <c r="M148" s="56">
        <f t="shared" ref="M148:M150" si="16">SUMIFS($G$148:$G$149,$H$148:$H$149,L148)/$O$147</f>
        <v>0</v>
      </c>
      <c r="N148" s="53"/>
      <c r="O148" s="53"/>
      <c r="P148" s="53"/>
      <c r="Q148" s="200">
        <v>40163411.12444444</v>
      </c>
      <c r="R148" s="201">
        <f>Q148/$O$147</f>
        <v>0.44444444444444436</v>
      </c>
      <c r="S148" s="3"/>
      <c r="T148" s="3"/>
      <c r="U148" s="3"/>
    </row>
    <row r="149" spans="3:21" ht="15" thickBot="1" x14ac:dyDescent="0.4">
      <c r="C149" s="91" t="s">
        <v>129</v>
      </c>
      <c r="D149" s="93">
        <f>SUMIFS(Notes_Q3641,PrimeNoteHolders,Prime_InvestorCapitalPerf!C149)/SUM(Notes_Q3641)*$D$148</f>
        <v>50204263.905555561</v>
      </c>
      <c r="E149" s="236" t="str">
        <f>_xlfn.XLOOKUP(C149,'Investor Categories'!D:D,'Investor Categories'!C:C,"")</f>
        <v>MERCURY</v>
      </c>
      <c r="F149" s="274" t="str">
        <v>SWIB</v>
      </c>
      <c r="G149" s="200">
        <f>SUMIFS($D$149:$D$150,$E$149:$E$150,F149)</f>
        <v>40163411.12444444</v>
      </c>
      <c r="H149" s="238" t="str">
        <f>VLOOKUP(F149,'Investor Categories'!C:E,3,FALSE)</f>
        <v xml:space="preserve">(k) State or municipal governmental pension plans </v>
      </c>
      <c r="I149" s="57"/>
      <c r="J149" s="271"/>
      <c r="K149" s="55"/>
      <c r="L149" s="154" t="s">
        <v>141</v>
      </c>
      <c r="M149" s="56">
        <f t="shared" si="16"/>
        <v>0</v>
      </c>
      <c r="N149" s="53"/>
      <c r="O149" s="53"/>
      <c r="P149" s="53"/>
      <c r="Q149" s="53"/>
      <c r="R149" s="57"/>
      <c r="S149" s="3"/>
      <c r="T149" s="3"/>
      <c r="U149" s="3"/>
    </row>
    <row r="150" spans="3:21" ht="15" thickBot="1" x14ac:dyDescent="0.4">
      <c r="C150" s="91" t="s">
        <v>117</v>
      </c>
      <c r="D150" s="93">
        <f>SUMIFS(Notes_Q3641,PrimeNoteHolders,Prime_InvestorCapitalPerf!C150)/SUM(Notes_Q3641)*$D$148</f>
        <v>40163411.12444444</v>
      </c>
      <c r="E150" s="236" t="str">
        <f>_xlfn.XLOOKUP(C150,'Investor Categories'!D:D,'Investor Categories'!C:C,"")</f>
        <v>SWIB</v>
      </c>
      <c r="F150" s="275" t="s">
        <v>118</v>
      </c>
      <c r="G150" s="245">
        <f>SUM(G148:G149)</f>
        <v>90367675.030000001</v>
      </c>
      <c r="H150" s="92"/>
      <c r="I150" s="57"/>
      <c r="J150" s="272"/>
      <c r="K150" s="59"/>
      <c r="L150" s="155" t="s">
        <v>144</v>
      </c>
      <c r="M150" s="60">
        <f t="shared" si="16"/>
        <v>0.44444444444444436</v>
      </c>
      <c r="N150" s="53"/>
      <c r="O150" s="53"/>
      <c r="P150" s="53"/>
      <c r="Q150" s="203" t="s">
        <v>153</v>
      </c>
      <c r="R150" s="202">
        <f>SUM(R147:R149)</f>
        <v>1</v>
      </c>
      <c r="S150" s="3"/>
      <c r="T150" s="3"/>
      <c r="U150" s="3"/>
    </row>
    <row r="151" spans="3:21" ht="15" thickBot="1" x14ac:dyDescent="0.4">
      <c r="C151" s="52"/>
      <c r="D151" s="53"/>
      <c r="E151" s="53"/>
      <c r="F151" s="260" t="s">
        <v>220</v>
      </c>
      <c r="G151" s="257">
        <f>G150-O147</f>
        <v>0</v>
      </c>
      <c r="H151" s="62"/>
      <c r="I151" s="63"/>
      <c r="J151" s="53"/>
      <c r="K151" s="53"/>
      <c r="L151" s="203" t="s">
        <v>132</v>
      </c>
      <c r="M151" s="207">
        <f>SUM(M147:M150)</f>
        <v>1</v>
      </c>
      <c r="N151" s="53"/>
      <c r="O151" s="53"/>
      <c r="P151" s="53"/>
      <c r="Q151" s="53"/>
      <c r="R151" s="57"/>
      <c r="S151" s="3"/>
      <c r="T151" s="3"/>
      <c r="U151" s="3"/>
    </row>
    <row r="152" spans="3:21" ht="15" thickBot="1" x14ac:dyDescent="0.4">
      <c r="C152" s="61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3"/>
      <c r="S152" s="3"/>
      <c r="T152" s="3"/>
      <c r="U152" s="3"/>
    </row>
    <row r="153" spans="3:21" x14ac:dyDescent="0.3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3:21" ht="15" thickBot="1" x14ac:dyDescent="0.4">
      <c r="C154" s="3" t="s">
        <v>163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3:21" ht="15" thickBot="1" x14ac:dyDescent="0.4">
      <c r="C155" s="133" t="s">
        <v>166</v>
      </c>
      <c r="D155" s="32">
        <f>VLOOKUP(C155,$B$28:$Q$32,16,FALSE)</f>
        <v>60189381.840000004</v>
      </c>
      <c r="E155" s="32" t="str">
        <f>_xlfn.XLOOKUP(C155,'Investor Categories'!D:D,'Investor Categories'!C:C,"")</f>
        <v>Makena</v>
      </c>
      <c r="F155" s="264" t="str" cm="1">
        <f t="array" ref="F155:F162">_xlfn._xlws.SORT(_xlfn.UNIQUE(E155:E163))</f>
        <v/>
      </c>
      <c r="G155" s="32"/>
      <c r="H155" s="90"/>
      <c r="I155" s="65"/>
      <c r="J155" s="65"/>
      <c r="K155" s="265"/>
      <c r="L155" s="150"/>
      <c r="M155" s="150"/>
      <c r="N155" s="32" t="s">
        <v>160</v>
      </c>
      <c r="O155" s="136">
        <f>SUM(D155:D158)+D160</f>
        <v>279484870.00999999</v>
      </c>
      <c r="P155" s="96"/>
      <c r="Q155" s="134" cm="1">
        <f t="array" ref="Q155:Q161">_xlfn._xlws.SORT(G156:G162,1,-1)</f>
        <v>76232165.480000004</v>
      </c>
      <c r="R155" s="66">
        <f t="shared" ref="R155:R161" si="17">Q155/$O$155</f>
        <v>0.27275954321703499</v>
      </c>
      <c r="S155" s="3"/>
      <c r="T155" s="3"/>
      <c r="U155" s="3"/>
    </row>
    <row r="156" spans="3:21" s="1" customFormat="1" x14ac:dyDescent="0.35">
      <c r="C156" s="67" t="s">
        <v>167</v>
      </c>
      <c r="D156" s="35">
        <f>VLOOKUP(C156,$B$28:$Q$32,16,FALSE)</f>
        <v>16042783.640000001</v>
      </c>
      <c r="E156" s="35" t="str">
        <f>_xlfn.XLOOKUP(C156,'Investor Categories'!D:D,'Investor Categories'!C:C,"")</f>
        <v>Makena</v>
      </c>
      <c r="F156" s="266" t="str">
        <v>AMFAM</v>
      </c>
      <c r="G156" s="35">
        <f>SUMIFS($D$155:$D$163,$E$155:$E$163,F156)</f>
        <v>62059667.019848488</v>
      </c>
      <c r="H156" s="31" t="str">
        <f>VLOOKUP(F156,'Investor Categories'!C:E,3,FALSE)</f>
        <v xml:space="preserve">(d) Insurance companies </v>
      </c>
      <c r="I156" s="68"/>
      <c r="J156" s="68"/>
      <c r="K156" s="75"/>
      <c r="L156" s="89"/>
      <c r="M156" s="35"/>
      <c r="N156" s="68"/>
      <c r="O156" s="95"/>
      <c r="P156" s="97"/>
      <c r="Q156" s="135">
        <v>62059667.019848488</v>
      </c>
      <c r="R156" s="69">
        <f t="shared" si="17"/>
        <v>0.22205018474748917</v>
      </c>
      <c r="S156" s="3"/>
      <c r="T156" s="3"/>
      <c r="U156" s="3"/>
    </row>
    <row r="157" spans="3:21" s="1" customFormat="1" ht="15" thickBot="1" x14ac:dyDescent="0.4">
      <c r="C157" s="77" t="s">
        <v>161</v>
      </c>
      <c r="D157" s="129">
        <f>VLOOKUP(C157,$B$28:$Q$32,16,FALSE)</f>
        <v>21077552.969999999</v>
      </c>
      <c r="E157" s="35" t="str">
        <f>_xlfn.XLOOKUP(C157,'Investor Categories'!D:D,'Investor Categories'!C:C,"")</f>
        <v>Southern Baptist Convention</v>
      </c>
      <c r="F157" s="266" t="str">
        <v>GUIDESTONE</v>
      </c>
      <c r="G157" s="35">
        <f t="shared" ref="G157:G162" si="18">SUMIFS($D$155:$D$163,$E$155:$E$163,F157)</f>
        <v>40038494.851515152</v>
      </c>
      <c r="H157" s="31" t="str">
        <f>VLOOKUP(F157,'Investor Categories'!C:E,3,FALSE)</f>
        <v>(g) Non-profits</v>
      </c>
      <c r="I157" s="68"/>
      <c r="J157" s="68"/>
      <c r="K157" s="75"/>
      <c r="L157" s="89"/>
      <c r="M157" s="35"/>
      <c r="N157" s="68"/>
      <c r="O157" s="95"/>
      <c r="P157" s="97"/>
      <c r="Q157" s="135">
        <v>50048118.549999997</v>
      </c>
      <c r="R157" s="69">
        <f t="shared" si="17"/>
        <v>0.17907272958357021</v>
      </c>
      <c r="S157" s="3"/>
      <c r="T157" s="3"/>
      <c r="U157" s="3"/>
    </row>
    <row r="158" spans="3:21" s="1" customFormat="1" ht="15" thickBot="1" x14ac:dyDescent="0.4">
      <c r="C158" s="67" t="s">
        <v>230</v>
      </c>
      <c r="D158" s="353">
        <f>VLOOKUP(C158,$B$28:$Q$32,16,FALSE)</f>
        <v>50048118.549999997</v>
      </c>
      <c r="E158" s="35"/>
      <c r="F158" s="266" t="str">
        <v>Makena</v>
      </c>
      <c r="G158" s="35">
        <f t="shared" ref="G158:G159" si="19">SUMIFS($D$155:$D$163,$E$155:$E$163,F158)</f>
        <v>76232165.480000004</v>
      </c>
      <c r="H158" s="31" t="str">
        <f>VLOOKUP(F158,'Investor Categories'!C:E,3,FALSE)</f>
        <v xml:space="preserve">(f) Private funds </v>
      </c>
      <c r="I158" s="68"/>
      <c r="J158" s="68"/>
      <c r="K158" s="75"/>
      <c r="L158" s="89"/>
      <c r="M158" s="35"/>
      <c r="N158" s="68"/>
      <c r="O158" s="95"/>
      <c r="P158" s="97"/>
      <c r="Q158" s="135">
        <v>40038494.851515152</v>
      </c>
      <c r="R158" s="69">
        <f t="shared" si="17"/>
        <v>0.14325818370805751</v>
      </c>
      <c r="S158" s="3"/>
      <c r="T158" s="3"/>
      <c r="U158" s="3"/>
    </row>
    <row r="159" spans="3:21" s="1" customFormat="1" ht="15" thickBot="1" x14ac:dyDescent="0.4">
      <c r="C159" s="77" t="s">
        <v>134</v>
      </c>
      <c r="D159" s="129">
        <f>SUMIFS(Notes_MIG2,PrimeNoteHolders,Prime_InvestorCapitalPerf!C159)/SUM(Notes_MIG2)*$D$158</f>
        <v>50048118.549999997</v>
      </c>
      <c r="E159" s="35" t="str">
        <f>_xlfn.XLOOKUP(C159,'Investor Categories'!D:D,'Investor Categories'!C:C,"")</f>
        <v>NATIONWIDE</v>
      </c>
      <c r="F159" s="266" t="str">
        <v>MERCURY</v>
      </c>
      <c r="G159" s="35">
        <f t="shared" si="19"/>
        <v>30028871.138636366</v>
      </c>
      <c r="H159" s="31" t="str">
        <f>VLOOKUP(F159,'Investor Categories'!C:E,3,FALSE)</f>
        <v xml:space="preserve">(d) Insurance companies </v>
      </c>
      <c r="I159" s="68"/>
      <c r="J159" s="68"/>
      <c r="K159" s="75"/>
      <c r="L159" s="89"/>
      <c r="M159" s="35"/>
      <c r="N159" s="68"/>
      <c r="O159" s="95"/>
      <c r="P159" s="97"/>
      <c r="Q159" s="135">
        <v>30028871.138636366</v>
      </c>
      <c r="R159" s="69">
        <f t="shared" si="17"/>
        <v>0.10744363778104314</v>
      </c>
      <c r="S159" s="3"/>
      <c r="T159" s="3"/>
      <c r="U159" s="3"/>
    </row>
    <row r="160" spans="3:21" s="1" customFormat="1" ht="15" thickBot="1" x14ac:dyDescent="0.4">
      <c r="C160" s="67" t="s">
        <v>42</v>
      </c>
      <c r="D160" s="353">
        <f>VLOOKUP(C160,$B$28:$Q$32,16,FALSE)</f>
        <v>132127033.01000001</v>
      </c>
      <c r="E160" s="35" t="str">
        <f>_xlfn.XLOOKUP(C160,'Investor Categories'!D:D,'Investor Categories'!C:C,"")</f>
        <v/>
      </c>
      <c r="F160" s="266" t="str">
        <v>NATIONWIDE</v>
      </c>
      <c r="G160" s="35">
        <f t="shared" si="18"/>
        <v>50048118.549999997</v>
      </c>
      <c r="H160" s="31" t="str">
        <f>VLOOKUP(F160,'Investor Categories'!C:E,3,FALSE)</f>
        <v xml:space="preserve">(d) Insurance companies </v>
      </c>
      <c r="I160" s="68"/>
      <c r="J160" s="68"/>
      <c r="K160" s="75"/>
      <c r="L160" s="89"/>
      <c r="M160" s="35"/>
      <c r="N160" s="68"/>
      <c r="O160" s="95"/>
      <c r="P160" s="97"/>
      <c r="Q160" s="135">
        <v>21077552.969999999</v>
      </c>
      <c r="R160" s="69">
        <f t="shared" si="17"/>
        <v>7.541572096280505E-2</v>
      </c>
      <c r="S160" s="3"/>
      <c r="T160" s="3"/>
      <c r="U160" s="3"/>
    </row>
    <row r="161" spans="3:21" x14ac:dyDescent="0.35">
      <c r="C161" s="67" t="s">
        <v>124</v>
      </c>
      <c r="D161" s="33">
        <f>SUMIFS(Notes_MIG1,PrimeNoteHolders,Prime_InvestorCapitalPerf!C161)/SUM(Notes_MIG1)*$D$160</f>
        <v>62059667.019848488</v>
      </c>
      <c r="E161" s="35" t="str">
        <f>_xlfn.XLOOKUP(C161,'Investor Categories'!D:D,'Investor Categories'!C:C,"")</f>
        <v>AMFAM</v>
      </c>
      <c r="F161" s="267" t="str">
        <v>Southern Baptist Convention</v>
      </c>
      <c r="G161" s="35">
        <f t="shared" ref="G161" si="20">SUMIFS($D$155:$D$163,$E$155:$E$163,F161)</f>
        <v>21077552.969999999</v>
      </c>
      <c r="H161" s="31" t="str">
        <f>VLOOKUP(F161,'Investor Categories'!C:E,3,FALSE)</f>
        <v>(g) Non-profits</v>
      </c>
      <c r="I161" s="68"/>
      <c r="J161" s="68"/>
      <c r="K161" s="75"/>
      <c r="L161" s="90"/>
      <c r="M161" s="65"/>
      <c r="N161" s="137" t="s">
        <v>138</v>
      </c>
      <c r="O161" s="138">
        <f>SUMIFS($G$155:$G$169,$H$155:$H$169,N161)/$O$155</f>
        <v>0.50856655211210244</v>
      </c>
      <c r="P161" s="97"/>
      <c r="Q161" s="135">
        <v>0</v>
      </c>
      <c r="R161" s="69">
        <f t="shared" si="17"/>
        <v>0</v>
      </c>
      <c r="S161" s="3"/>
      <c r="T161" s="3"/>
      <c r="U161" s="3"/>
    </row>
    <row r="162" spans="3:21" ht="15" thickBot="1" x14ac:dyDescent="0.4">
      <c r="C162" s="67" t="s">
        <v>128</v>
      </c>
      <c r="D162" s="33">
        <f>SUMIFS(Notes_MIG1,PrimeNoteHolders,Prime_InvestorCapitalPerf!C162)/SUM(Notes_MIG1)*$D$160</f>
        <v>40038494.851515152</v>
      </c>
      <c r="E162" s="35" t="str">
        <f>_xlfn.XLOOKUP(C162,'Investor Categories'!D:D,'Investor Categories'!C:C,"")</f>
        <v>GUIDESTONE</v>
      </c>
      <c r="F162" s="267">
        <v>0</v>
      </c>
      <c r="G162" s="35"/>
      <c r="H162" s="31"/>
      <c r="I162" s="68"/>
      <c r="J162" s="149"/>
      <c r="K162" s="278"/>
      <c r="L162" s="276"/>
      <c r="M162" s="68"/>
      <c r="N162" s="34" t="s">
        <v>140</v>
      </c>
      <c r="O162" s="139">
        <f t="shared" ref="O162:O164" si="21">SUMIFS($G$155:$G$169,$H$155:$H$169,N162)/$O$155</f>
        <v>0.27275954321703499</v>
      </c>
      <c r="P162" s="97"/>
      <c r="Q162" s="135"/>
      <c r="R162" s="69"/>
      <c r="S162" s="3"/>
      <c r="T162" s="3"/>
      <c r="U162" s="3"/>
    </row>
    <row r="163" spans="3:21" ht="15" thickBot="1" x14ac:dyDescent="0.4">
      <c r="C163" s="67" t="s">
        <v>129</v>
      </c>
      <c r="D163" s="33">
        <f>SUMIFS(Notes_MIG1,PrimeNoteHolders,Prime_InvestorCapitalPerf!C163)/SUM(Notes_MIG1)*$D$160</f>
        <v>30028871.138636366</v>
      </c>
      <c r="E163" s="35" t="str">
        <f>_xlfn.XLOOKUP(C163,'Investor Categories'!D:D,'Investor Categories'!C:C,"")</f>
        <v>MERCURY</v>
      </c>
      <c r="F163" s="268" t="s">
        <v>118</v>
      </c>
      <c r="G163" s="244">
        <f>SUM(G156:G162)</f>
        <v>279484870.00999999</v>
      </c>
      <c r="H163" s="31"/>
      <c r="I163" s="68"/>
      <c r="J163" s="149"/>
      <c r="K163" s="278"/>
      <c r="L163" s="276"/>
      <c r="M163" s="68"/>
      <c r="N163" s="34" t="s">
        <v>141</v>
      </c>
      <c r="O163" s="139">
        <f t="shared" si="21"/>
        <v>0.21867390467086256</v>
      </c>
      <c r="P163" s="68"/>
      <c r="Q163" s="135"/>
      <c r="R163" s="69"/>
      <c r="S163" s="3"/>
      <c r="T163" s="3"/>
      <c r="U163" s="3"/>
    </row>
    <row r="164" spans="3:21" ht="15" thickBot="1" x14ac:dyDescent="0.4">
      <c r="C164" s="67"/>
      <c r="D164" s="33"/>
      <c r="E164" s="33"/>
      <c r="F164" s="269" t="s">
        <v>220</v>
      </c>
      <c r="G164" s="38">
        <f>G163-O155</f>
        <v>0</v>
      </c>
      <c r="H164" s="39"/>
      <c r="I164" s="72"/>
      <c r="J164" s="279"/>
      <c r="K164" s="280"/>
      <c r="L164" s="277"/>
      <c r="M164" s="72"/>
      <c r="N164" s="140" t="s">
        <v>139</v>
      </c>
      <c r="O164" s="141">
        <f t="shared" si="21"/>
        <v>0</v>
      </c>
      <c r="P164" s="76"/>
      <c r="Q164" s="76"/>
      <c r="R164" s="69"/>
      <c r="S164" s="3"/>
      <c r="T164" s="3"/>
      <c r="U164" s="3"/>
    </row>
    <row r="165" spans="3:21" x14ac:dyDescent="0.35">
      <c r="C165" s="67"/>
      <c r="D165" s="33"/>
      <c r="E165" s="33"/>
      <c r="F165" s="33"/>
      <c r="G165" s="33"/>
      <c r="H165" s="31"/>
      <c r="I165" s="68"/>
      <c r="J165" s="149"/>
      <c r="K165" s="149"/>
      <c r="L165" s="68"/>
      <c r="M165" s="68"/>
      <c r="N165" s="210" t="s">
        <v>132</v>
      </c>
      <c r="O165" s="211">
        <f>SUM(O161:O164)</f>
        <v>1</v>
      </c>
      <c r="P165" s="68"/>
      <c r="Q165" s="68"/>
      <c r="R165" s="75"/>
      <c r="S165" s="3"/>
      <c r="T165" s="3"/>
      <c r="U165" s="3"/>
    </row>
    <row r="166" spans="3:21" x14ac:dyDescent="0.35">
      <c r="C166" s="67"/>
      <c r="D166" s="33"/>
      <c r="E166" s="33"/>
      <c r="F166" s="33"/>
      <c r="G166" s="33"/>
      <c r="H166" s="31"/>
      <c r="I166" s="68"/>
      <c r="J166" s="149"/>
      <c r="K166" s="149"/>
      <c r="L166" s="149"/>
      <c r="M166" s="149"/>
      <c r="N166" s="68"/>
      <c r="O166" s="68"/>
      <c r="P166" s="68"/>
      <c r="Q166" s="210" t="s">
        <v>164</v>
      </c>
      <c r="R166" s="212">
        <f>MAX(R155:R163)</f>
        <v>0.27275954321703499</v>
      </c>
      <c r="S166" s="3"/>
      <c r="T166" s="3"/>
      <c r="U166" s="3"/>
    </row>
    <row r="167" spans="3:21" x14ac:dyDescent="0.35">
      <c r="C167" s="67"/>
      <c r="D167" s="33"/>
      <c r="E167" s="33"/>
      <c r="F167" s="33"/>
      <c r="G167" s="33"/>
      <c r="H167" s="31"/>
      <c r="I167" s="68"/>
      <c r="J167" s="68"/>
      <c r="K167" s="68"/>
      <c r="L167" s="68"/>
      <c r="M167" s="68"/>
      <c r="N167" s="68"/>
      <c r="O167" s="68"/>
      <c r="P167" s="68"/>
      <c r="Q167" s="210" t="s">
        <v>153</v>
      </c>
      <c r="R167" s="212">
        <f>SUM(R155:R161)</f>
        <v>1.0000000000000002</v>
      </c>
      <c r="S167" s="3"/>
      <c r="T167" s="3"/>
      <c r="U167" s="3"/>
    </row>
    <row r="168" spans="3:21" x14ac:dyDescent="0.35">
      <c r="C168" s="67"/>
      <c r="D168" s="33"/>
      <c r="E168" s="33"/>
      <c r="F168" s="33"/>
      <c r="G168" s="33"/>
      <c r="H168" s="31"/>
      <c r="I168" s="68"/>
      <c r="J168" s="68"/>
      <c r="K168" s="68"/>
      <c r="L168" s="68"/>
      <c r="M168" s="68"/>
      <c r="N168" s="68"/>
      <c r="O168" s="68"/>
      <c r="P168" s="68"/>
      <c r="Q168" s="210" t="s">
        <v>221</v>
      </c>
      <c r="R168" s="289">
        <f>COUNTIFS(R155:R161,"&gt;="&amp;0.05)</f>
        <v>6</v>
      </c>
      <c r="S168" s="3"/>
      <c r="T168" s="3"/>
      <c r="U168" s="3"/>
    </row>
    <row r="169" spans="3:21" ht="15" thickBot="1" x14ac:dyDescent="0.4">
      <c r="C169" s="77"/>
      <c r="D169" s="38"/>
      <c r="E169" s="38"/>
      <c r="F169" s="38"/>
      <c r="G169" s="38"/>
      <c r="H169" s="39"/>
      <c r="I169" s="72"/>
      <c r="J169" s="72"/>
      <c r="K169" s="72"/>
      <c r="L169" s="72"/>
      <c r="M169" s="72"/>
      <c r="N169" s="72"/>
      <c r="O169" s="72"/>
      <c r="P169" s="72"/>
      <c r="Q169" s="213" t="s">
        <v>118</v>
      </c>
      <c r="R169" s="214">
        <f>SUM(R155:R162)</f>
        <v>1.0000000000000002</v>
      </c>
      <c r="S169" s="3"/>
      <c r="T169" s="3"/>
      <c r="U169" s="3"/>
    </row>
    <row r="170" spans="3:21" x14ac:dyDescent="0.3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3:21" ht="15" thickBot="1" x14ac:dyDescent="0.4">
      <c r="C171" s="3" t="s">
        <v>173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3:21" ht="15" thickBot="1" x14ac:dyDescent="0.4">
      <c r="C172" s="158" t="s">
        <v>24</v>
      </c>
      <c r="D172" s="159">
        <f>VLOOKUP(C172,$B$55:$Q$58,16,FALSE)</f>
        <v>75524604.75</v>
      </c>
      <c r="E172" s="159" t="str">
        <f>_xlfn.XLOOKUP(C172,'Investor Categories'!D:D,'Investor Categories'!C:C,"")</f>
        <v>Alfred I. duPont Charitable Trust</v>
      </c>
      <c r="F172" s="281" t="str" cm="1">
        <f t="array" ref="F172:F173">_xlfn._xlws.SORT(_xlfn.UNIQUE(E172:E175))</f>
        <v>Alfred I. duPont Charitable Trust</v>
      </c>
      <c r="G172" s="159">
        <f>SUMIFS($D$172:$D$175,$E$172:$E$175,F172)</f>
        <v>90405113.829999998</v>
      </c>
      <c r="H172" s="160" t="str">
        <f>VLOOKUP(F172,'Investor Categories'!C:E,3,FALSE)</f>
        <v>(g) Non-profits</v>
      </c>
      <c r="I172" s="161"/>
      <c r="J172" s="161"/>
      <c r="K172" s="282"/>
      <c r="L172" s="162"/>
      <c r="M172" s="162"/>
      <c r="N172" s="159" t="s">
        <v>160</v>
      </c>
      <c r="O172" s="163">
        <f>SUM(D172:D175)+D176</f>
        <v>97103197.150000006</v>
      </c>
      <c r="P172" s="164"/>
      <c r="Q172" s="165" cm="1">
        <f t="array" ref="Q172:Q173">_xlfn._xlws.SORT(G172:G173,1,-1)</f>
        <v>90405113.829999998</v>
      </c>
      <c r="R172" s="166">
        <f>Q172/$O$172</f>
        <v>0.93102098060012217</v>
      </c>
      <c r="S172" s="3"/>
      <c r="T172" s="3"/>
      <c r="U172" s="3"/>
    </row>
    <row r="173" spans="3:21" ht="15" thickBot="1" x14ac:dyDescent="0.4">
      <c r="C173" s="167" t="s">
        <v>32</v>
      </c>
      <c r="D173" s="168">
        <f>VLOOKUP(C173,$B$55:$Q$58,16,FALSE)</f>
        <v>1005793.45</v>
      </c>
      <c r="E173" s="168" t="str">
        <f>_xlfn.XLOOKUP(C173,'Investor Categories'!D:D,'Investor Categories'!C:C,"")</f>
        <v>Alfred I. duPont Charitable Trust</v>
      </c>
      <c r="F173" s="283" t="str">
        <v>Alfred I. duPont Charitable Trust Pension</v>
      </c>
      <c r="G173" s="168">
        <f t="shared" ref="G173" si="22">SUMIFS($D$172:$D$175,$E$172:$E$175,F173)</f>
        <v>6698083.3200000003</v>
      </c>
      <c r="H173" s="169" t="str">
        <f>VLOOKUP(F173,'Investor Categories'!C:E,3,FALSE)</f>
        <v xml:space="preserve">(h) Pension plans (excluding governmental pension plans) </v>
      </c>
      <c r="I173" s="170"/>
      <c r="J173" s="170"/>
      <c r="K173" s="192"/>
      <c r="L173" s="171"/>
      <c r="M173" s="168"/>
      <c r="N173" s="170"/>
      <c r="O173" s="172"/>
      <c r="P173" s="173"/>
      <c r="Q173" s="174">
        <v>6698083.3200000003</v>
      </c>
      <c r="R173" s="175">
        <f t="shared" ref="R173" si="23">Q173/$O$172</f>
        <v>6.8979019399877703E-2</v>
      </c>
      <c r="S173" s="3"/>
      <c r="T173" s="3"/>
      <c r="U173" s="3"/>
    </row>
    <row r="174" spans="3:21" s="1" customFormat="1" ht="15" thickBot="1" x14ac:dyDescent="0.4">
      <c r="C174" s="167" t="s">
        <v>33</v>
      </c>
      <c r="D174" s="168">
        <f>VLOOKUP(C174,$B$55:$Q$58,16,FALSE)</f>
        <v>13874715.630000001</v>
      </c>
      <c r="E174" s="168" t="str">
        <f>_xlfn.XLOOKUP(C174,'Investor Categories'!D:D,'Investor Categories'!C:C,"")</f>
        <v>Alfred I. duPont Charitable Trust</v>
      </c>
      <c r="F174" s="284" t="s">
        <v>118</v>
      </c>
      <c r="G174" s="246">
        <f>SUM(G172:G173)</f>
        <v>97103197.150000006</v>
      </c>
      <c r="H174" s="169"/>
      <c r="I174" s="170"/>
      <c r="J174" s="170"/>
      <c r="K174" s="192"/>
      <c r="L174" s="171"/>
      <c r="M174" s="168"/>
      <c r="N174" s="170"/>
      <c r="O174" s="172"/>
      <c r="P174" s="173"/>
      <c r="Q174" s="174"/>
      <c r="R174" s="175"/>
      <c r="S174" s="3"/>
      <c r="T174" s="3"/>
      <c r="U174" s="3"/>
    </row>
    <row r="175" spans="3:21" ht="15" thickBot="1" x14ac:dyDescent="0.4">
      <c r="C175" s="176" t="s">
        <v>34</v>
      </c>
      <c r="D175" s="177">
        <f>VLOOKUP(C175,$B$55:$Q$58,16,FALSE)</f>
        <v>6698083.3200000003</v>
      </c>
      <c r="E175" s="168" t="str">
        <f>_xlfn.XLOOKUP(C175,'Investor Categories'!D:D,'Investor Categories'!C:C,"")</f>
        <v>Alfred I. duPont Charitable Trust Pension</v>
      </c>
      <c r="F175" s="285" t="s">
        <v>220</v>
      </c>
      <c r="G175" s="177">
        <f>G174-O172</f>
        <v>0</v>
      </c>
      <c r="H175" s="286"/>
      <c r="I175" s="188"/>
      <c r="J175" s="188"/>
      <c r="K175" s="287"/>
      <c r="L175" s="171"/>
      <c r="M175" s="168"/>
      <c r="N175" s="170"/>
      <c r="O175" s="172"/>
      <c r="P175" s="173"/>
      <c r="Q175" s="174"/>
      <c r="R175" s="175"/>
    </row>
    <row r="176" spans="3:21" ht="15" thickBot="1" x14ac:dyDescent="0.4">
      <c r="C176" s="167"/>
      <c r="D176" s="241"/>
      <c r="E176" s="168"/>
      <c r="F176" s="168"/>
      <c r="G176" s="168"/>
      <c r="H176" s="174"/>
      <c r="I176" s="170"/>
      <c r="J176" s="170"/>
      <c r="K176" s="170"/>
      <c r="L176" s="171"/>
      <c r="M176" s="168"/>
      <c r="N176" s="170"/>
      <c r="O176" s="172"/>
      <c r="P176" s="173"/>
      <c r="Q176" s="174"/>
      <c r="R176" s="175"/>
    </row>
    <row r="177" spans="3:18" x14ac:dyDescent="0.35">
      <c r="C177" s="167"/>
      <c r="D177" s="178"/>
      <c r="E177" s="178"/>
      <c r="F177" s="178"/>
      <c r="G177" s="178"/>
      <c r="H177" s="179"/>
      <c r="I177" s="170"/>
      <c r="J177" s="170"/>
      <c r="K177" s="170"/>
      <c r="L177" s="180"/>
      <c r="M177" s="161"/>
      <c r="N177" s="181" t="s">
        <v>141</v>
      </c>
      <c r="O177" s="182">
        <f>SUMIFS($G$172:$G$184,$H$172:$H$184,N177)/$O$172</f>
        <v>0.93102098060012217</v>
      </c>
      <c r="P177" s="173"/>
      <c r="Q177" s="174"/>
      <c r="R177" s="175"/>
    </row>
    <row r="178" spans="3:18" x14ac:dyDescent="0.35">
      <c r="C178" s="167"/>
      <c r="D178" s="178"/>
      <c r="E178" s="178"/>
      <c r="F178" s="178"/>
      <c r="G178" s="178"/>
      <c r="H178" s="179"/>
      <c r="I178" s="170"/>
      <c r="J178" s="183"/>
      <c r="K178" s="183"/>
      <c r="L178" s="184"/>
      <c r="M178" s="170"/>
      <c r="N178" s="185" t="s">
        <v>142</v>
      </c>
      <c r="O178" s="186">
        <f t="shared" ref="O178" si="24">SUMIFS($G$172:$G$184,$H$172:$H$184,N178)/$O$172</f>
        <v>6.8979019399877703E-2</v>
      </c>
      <c r="P178" s="173"/>
      <c r="Q178" s="174"/>
      <c r="R178" s="175"/>
    </row>
    <row r="179" spans="3:18" x14ac:dyDescent="0.35">
      <c r="C179" s="167"/>
      <c r="D179" s="178"/>
      <c r="E179" s="178"/>
      <c r="F179" s="178"/>
      <c r="G179" s="178"/>
      <c r="H179" s="179"/>
      <c r="I179" s="170"/>
      <c r="J179" s="183"/>
      <c r="K179" s="183"/>
      <c r="L179" s="184"/>
      <c r="M179" s="170"/>
      <c r="N179" s="185"/>
      <c r="O179" s="186"/>
      <c r="P179" s="170"/>
      <c r="Q179" s="174"/>
      <c r="R179" s="175"/>
    </row>
    <row r="180" spans="3:18" ht="15" thickBot="1" x14ac:dyDescent="0.4">
      <c r="C180" s="167"/>
      <c r="D180" s="178"/>
      <c r="E180" s="178"/>
      <c r="F180" s="178"/>
      <c r="G180" s="178"/>
      <c r="H180" s="179"/>
      <c r="I180" s="170"/>
      <c r="J180" s="183"/>
      <c r="K180" s="183"/>
      <c r="L180" s="187"/>
      <c r="M180" s="188"/>
      <c r="N180" s="189"/>
      <c r="O180" s="190"/>
      <c r="P180" s="191"/>
      <c r="Q180" s="191"/>
      <c r="R180" s="175"/>
    </row>
    <row r="181" spans="3:18" x14ac:dyDescent="0.35">
      <c r="C181" s="167"/>
      <c r="D181" s="178"/>
      <c r="E181" s="178"/>
      <c r="F181" s="178"/>
      <c r="G181" s="178"/>
      <c r="H181" s="179"/>
      <c r="I181" s="170"/>
      <c r="J181" s="183"/>
      <c r="K181" s="183"/>
      <c r="L181" s="170"/>
      <c r="M181" s="170"/>
      <c r="N181" s="215" t="s">
        <v>132</v>
      </c>
      <c r="O181" s="216">
        <f>SUM(O177:O180)</f>
        <v>0.99999999999999989</v>
      </c>
      <c r="P181" s="170"/>
      <c r="Q181" s="170"/>
      <c r="R181" s="192"/>
    </row>
    <row r="182" spans="3:18" x14ac:dyDescent="0.35">
      <c r="C182" s="167"/>
      <c r="D182" s="178"/>
      <c r="E182" s="178"/>
      <c r="F182" s="178"/>
      <c r="G182" s="178"/>
      <c r="H182" s="179"/>
      <c r="I182" s="170"/>
      <c r="J182" s="183"/>
      <c r="K182" s="183"/>
      <c r="L182" s="183"/>
      <c r="M182" s="183"/>
      <c r="N182" s="170"/>
      <c r="O182" s="170"/>
      <c r="P182" s="170"/>
      <c r="Q182" s="170"/>
      <c r="R182" s="192"/>
    </row>
    <row r="183" spans="3:18" x14ac:dyDescent="0.35">
      <c r="C183" s="167"/>
      <c r="D183" s="178"/>
      <c r="E183" s="178"/>
      <c r="F183" s="178"/>
      <c r="G183" s="178"/>
      <c r="H183" s="179"/>
      <c r="I183" s="170"/>
      <c r="J183" s="170"/>
      <c r="K183" s="170"/>
      <c r="L183" s="170"/>
      <c r="M183" s="170"/>
      <c r="N183" s="170"/>
      <c r="O183" s="170"/>
      <c r="P183" s="170"/>
      <c r="Q183" s="215" t="s">
        <v>153</v>
      </c>
      <c r="R183" s="217">
        <f>SUM(R172:R177)</f>
        <v>0.99999999999999989</v>
      </c>
    </row>
    <row r="184" spans="3:18" x14ac:dyDescent="0.35">
      <c r="C184" s="167"/>
      <c r="D184" s="178"/>
      <c r="E184" s="178"/>
      <c r="F184" s="178"/>
      <c r="G184" s="178"/>
      <c r="H184" s="179"/>
      <c r="I184" s="170"/>
      <c r="J184" s="170"/>
      <c r="K184" s="170"/>
      <c r="L184" s="170"/>
      <c r="M184" s="170"/>
      <c r="N184" s="170"/>
      <c r="O184" s="170"/>
      <c r="P184" s="170"/>
      <c r="Q184" s="171"/>
      <c r="R184" s="175"/>
    </row>
    <row r="185" spans="3:18" ht="15" thickBot="1" x14ac:dyDescent="0.4">
      <c r="C185" s="176"/>
      <c r="D185" s="193"/>
      <c r="E185" s="193"/>
      <c r="F185" s="193"/>
      <c r="G185" s="193"/>
      <c r="H185" s="194"/>
      <c r="I185" s="188"/>
      <c r="J185" s="188"/>
      <c r="K185" s="188"/>
      <c r="L185" s="188"/>
      <c r="M185" s="188"/>
      <c r="N185" s="188"/>
      <c r="O185" s="188"/>
      <c r="P185" s="188"/>
      <c r="Q185" s="218" t="s">
        <v>118</v>
      </c>
      <c r="R185" s="219">
        <f>SUM(R172:R182)</f>
        <v>0.99999999999999989</v>
      </c>
    </row>
    <row r="186" spans="3:18" x14ac:dyDescent="0.35">
      <c r="E186" s="1"/>
      <c r="G186" s="1"/>
    </row>
    <row r="187" spans="3:18" x14ac:dyDescent="0.35">
      <c r="E187" s="1"/>
      <c r="G187" s="1"/>
    </row>
    <row r="188" spans="3:18" x14ac:dyDescent="0.35">
      <c r="E188" s="1"/>
      <c r="G188" s="1"/>
    </row>
    <row r="189" spans="3:18" x14ac:dyDescent="0.35">
      <c r="E189" s="1"/>
      <c r="G189" s="1"/>
    </row>
    <row r="190" spans="3:18" x14ac:dyDescent="0.35">
      <c r="E190" s="1"/>
      <c r="G190" s="1"/>
    </row>
    <row r="191" spans="3:18" x14ac:dyDescent="0.35">
      <c r="E191" s="1"/>
      <c r="G191" s="1"/>
    </row>
    <row r="192" spans="3:18" x14ac:dyDescent="0.35">
      <c r="E192" s="1"/>
      <c r="G192" s="1"/>
    </row>
    <row r="193" spans="5:7" x14ac:dyDescent="0.35">
      <c r="E193" s="1"/>
      <c r="G193" s="1"/>
    </row>
    <row r="194" spans="5:7" x14ac:dyDescent="0.35">
      <c r="E194" s="1"/>
      <c r="G194" s="1"/>
    </row>
    <row r="195" spans="5:7" x14ac:dyDescent="0.35">
      <c r="E195" s="1"/>
      <c r="G195" s="1"/>
    </row>
    <row r="196" spans="5:7" x14ac:dyDescent="0.35">
      <c r="E196" s="1"/>
      <c r="G196" s="1"/>
    </row>
    <row r="197" spans="5:7" x14ac:dyDescent="0.35">
      <c r="E197" s="1"/>
      <c r="G197" s="1"/>
    </row>
    <row r="198" spans="5:7" x14ac:dyDescent="0.35">
      <c r="E198" s="1"/>
      <c r="G198" s="1"/>
    </row>
    <row r="199" spans="5:7" x14ac:dyDescent="0.35">
      <c r="E199" s="1"/>
      <c r="G199" s="1"/>
    </row>
  </sheetData>
  <sortState xmlns:xlrd2="http://schemas.microsoft.com/office/spreadsheetml/2017/richdata2" ref="O155:O162">
    <sortCondition descending="1" ref="O155:O162"/>
  </sortState>
  <mergeCells count="63">
    <mergeCell ref="A1:C1"/>
    <mergeCell ref="A2:V2"/>
    <mergeCell ref="A3:V3"/>
    <mergeCell ref="A4:V4"/>
    <mergeCell ref="C5:D5"/>
    <mergeCell ref="A6:E6"/>
    <mergeCell ref="C7:D7"/>
    <mergeCell ref="C8:D8"/>
    <mergeCell ref="C9:D9"/>
    <mergeCell ref="C10:D10"/>
    <mergeCell ref="C11:D11"/>
    <mergeCell ref="C13:D13"/>
    <mergeCell ref="C14:D14"/>
    <mergeCell ref="C15:D15"/>
    <mergeCell ref="C16:D16"/>
    <mergeCell ref="C12:D12"/>
    <mergeCell ref="C17:D17"/>
    <mergeCell ref="C18:D18"/>
    <mergeCell ref="A19:E19"/>
    <mergeCell ref="A23:E23"/>
    <mergeCell ref="C24:D24"/>
    <mergeCell ref="A20:E20"/>
    <mergeCell ref="C21:D21"/>
    <mergeCell ref="A22:E22"/>
    <mergeCell ref="C25:D25"/>
    <mergeCell ref="A26:E26"/>
    <mergeCell ref="A27:E27"/>
    <mergeCell ref="C28:D28"/>
    <mergeCell ref="C32:D32"/>
    <mergeCell ref="C30:D30"/>
    <mergeCell ref="C31:D31"/>
    <mergeCell ref="C29:D29"/>
    <mergeCell ref="A33:E33"/>
    <mergeCell ref="A34:E34"/>
    <mergeCell ref="C35:D35"/>
    <mergeCell ref="C36:D36"/>
    <mergeCell ref="C37:D37"/>
    <mergeCell ref="C39:D39"/>
    <mergeCell ref="C40:D40"/>
    <mergeCell ref="C41:D41"/>
    <mergeCell ref="C42:D42"/>
    <mergeCell ref="C43:D43"/>
    <mergeCell ref="A44:E44"/>
    <mergeCell ref="A45:E45"/>
    <mergeCell ref="C46:D46"/>
    <mergeCell ref="C47:D47"/>
    <mergeCell ref="C49:D49"/>
    <mergeCell ref="C38:D38"/>
    <mergeCell ref="C48:D48"/>
    <mergeCell ref="C61:D61"/>
    <mergeCell ref="A62:E62"/>
    <mergeCell ref="B63:E63"/>
    <mergeCell ref="C50:D50"/>
    <mergeCell ref="C51:D51"/>
    <mergeCell ref="C52:D52"/>
    <mergeCell ref="A53:E53"/>
    <mergeCell ref="A54:E54"/>
    <mergeCell ref="C55:D55"/>
    <mergeCell ref="C56:D56"/>
    <mergeCell ref="C57:D57"/>
    <mergeCell ref="C58:D58"/>
    <mergeCell ref="A59:E59"/>
    <mergeCell ref="A60:E60"/>
  </mergeCells>
  <pageMargins left="0.15" right="0.15" top="0.2" bottom="0.35365000000000002" header="0.2" footer="0.2"/>
  <pageSetup orientation="landscape" horizontalDpi="300" verticalDpi="300" r:id="rId1"/>
  <headerFooter alignWithMargins="0">
    <oddFooter>&amp;L&amp;"Tahoma,Regular"&amp;8 Created on 10/4/2021 11:07:42 AM &amp;C&amp;"Tahoma,Regular"&amp;8 1 of 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F0DD-5A3E-4B12-8AE0-F8CCAD402B15}">
  <dimension ref="C4:W44"/>
  <sheetViews>
    <sheetView showGridLines="0" zoomScale="60" zoomScaleNormal="60" workbookViewId="0">
      <selection activeCell="C13" sqref="C13"/>
    </sheetView>
  </sheetViews>
  <sheetFormatPr defaultColWidth="9.1796875" defaultRowHeight="14.5" x14ac:dyDescent="0.35"/>
  <cols>
    <col min="1" max="2" width="9.1796875" style="17"/>
    <col min="3" max="3" width="12.26953125" style="17" bestFit="1" customWidth="1"/>
    <col min="4" max="4" width="25.7265625" style="17" bestFit="1" customWidth="1"/>
    <col min="5" max="7" width="15.81640625" style="17" bestFit="1" customWidth="1"/>
    <col min="8" max="8" width="14.81640625" style="17" bestFit="1" customWidth="1"/>
    <col min="9" max="9" width="14.81640625" style="17" customWidth="1"/>
    <col min="10" max="10" width="13.453125" style="17" bestFit="1" customWidth="1"/>
    <col min="11" max="11" width="13.453125" style="17" customWidth="1"/>
    <col min="12" max="12" width="16.54296875" style="17" bestFit="1" customWidth="1"/>
    <col min="13" max="14" width="9.1796875" style="17"/>
    <col min="15" max="15" width="15.54296875" style="17" bestFit="1" customWidth="1"/>
    <col min="16" max="16" width="24.1796875" style="17" bestFit="1" customWidth="1"/>
    <col min="17" max="18" width="15.81640625" style="17" bestFit="1" customWidth="1"/>
    <col min="19" max="19" width="23.453125" style="17" bestFit="1" customWidth="1"/>
    <col min="20" max="22" width="15.81640625" style="17" bestFit="1" customWidth="1"/>
    <col min="23" max="23" width="15.54296875" style="17" customWidth="1"/>
    <col min="24" max="16384" width="9.1796875" style="17"/>
  </cols>
  <sheetData>
    <row r="4" spans="3:23" x14ac:dyDescent="0.35">
      <c r="D4" s="120"/>
      <c r="E4" s="105" t="s">
        <v>62</v>
      </c>
      <c r="F4" s="105" t="s">
        <v>63</v>
      </c>
      <c r="G4" s="105" t="s">
        <v>64</v>
      </c>
      <c r="H4" s="105" t="s">
        <v>65</v>
      </c>
      <c r="I4" s="105" t="s">
        <v>223</v>
      </c>
      <c r="J4" s="105" t="s">
        <v>66</v>
      </c>
      <c r="K4" s="105" t="s">
        <v>224</v>
      </c>
      <c r="L4" s="105" t="s">
        <v>67</v>
      </c>
      <c r="M4" s="18"/>
      <c r="N4" s="18"/>
      <c r="O4" s="18"/>
      <c r="P4" s="4"/>
      <c r="Q4" s="104" t="s">
        <v>62</v>
      </c>
      <c r="R4" s="105" t="s">
        <v>68</v>
      </c>
      <c r="S4" s="105" t="s">
        <v>69</v>
      </c>
      <c r="T4" s="105" t="s">
        <v>70</v>
      </c>
      <c r="U4" s="105" t="s">
        <v>71</v>
      </c>
      <c r="V4" s="105" t="s">
        <v>72</v>
      </c>
      <c r="W4" s="105" t="s">
        <v>170</v>
      </c>
    </row>
    <row r="5" spans="3:23" x14ac:dyDescent="0.35">
      <c r="C5" s="17" t="s">
        <v>151</v>
      </c>
      <c r="D5" s="106" t="s">
        <v>74</v>
      </c>
      <c r="E5" s="105" t="s">
        <v>119</v>
      </c>
      <c r="F5" s="105" t="s">
        <v>120</v>
      </c>
      <c r="G5" s="105" t="s">
        <v>121</v>
      </c>
      <c r="H5" s="105" t="s">
        <v>73</v>
      </c>
      <c r="I5" s="105" t="s">
        <v>225</v>
      </c>
      <c r="J5" s="105" t="s">
        <v>122</v>
      </c>
      <c r="K5" s="105" t="s">
        <v>226</v>
      </c>
      <c r="L5" s="105" t="s">
        <v>123</v>
      </c>
      <c r="M5" s="18"/>
      <c r="N5" s="18"/>
      <c r="O5" s="17" t="s">
        <v>151</v>
      </c>
      <c r="P5" s="106" t="s">
        <v>74</v>
      </c>
      <c r="Q5" s="105" t="s">
        <v>75</v>
      </c>
      <c r="R5" s="105" t="s">
        <v>76</v>
      </c>
      <c r="S5" s="105" t="s">
        <v>77</v>
      </c>
      <c r="T5" s="105" t="s">
        <v>78</v>
      </c>
      <c r="U5" s="105" t="s">
        <v>79</v>
      </c>
      <c r="V5" s="105" t="s">
        <v>80</v>
      </c>
      <c r="W5" s="105" t="s">
        <v>171</v>
      </c>
    </row>
    <row r="6" spans="3:23" x14ac:dyDescent="0.35">
      <c r="C6" s="17" t="s">
        <v>124</v>
      </c>
      <c r="D6" s="315" t="s">
        <v>81</v>
      </c>
      <c r="E6" s="108">
        <v>56000000</v>
      </c>
      <c r="F6" s="109">
        <v>0</v>
      </c>
      <c r="G6" s="109">
        <v>0</v>
      </c>
      <c r="H6" s="109">
        <v>0</v>
      </c>
      <c r="I6" s="109">
        <v>0</v>
      </c>
      <c r="J6" s="109">
        <v>0</v>
      </c>
      <c r="K6" s="109">
        <v>0</v>
      </c>
      <c r="L6" s="110">
        <v>56000000</v>
      </c>
      <c r="M6" s="18"/>
      <c r="N6" s="18"/>
      <c r="O6" s="18"/>
      <c r="P6" s="107" t="s">
        <v>82</v>
      </c>
      <c r="Q6" s="108">
        <v>0</v>
      </c>
      <c r="R6" s="109">
        <v>0</v>
      </c>
      <c r="S6" s="109">
        <v>0</v>
      </c>
      <c r="T6" s="109">
        <v>0</v>
      </c>
      <c r="U6" s="109">
        <v>0</v>
      </c>
      <c r="V6" s="109">
        <v>0</v>
      </c>
      <c r="W6" s="110">
        <v>0</v>
      </c>
    </row>
    <row r="7" spans="3:23" x14ac:dyDescent="0.35">
      <c r="C7" s="17" t="s">
        <v>124</v>
      </c>
      <c r="D7" s="316" t="s">
        <v>83</v>
      </c>
      <c r="E7" s="112">
        <v>6000000</v>
      </c>
      <c r="F7" s="113">
        <v>0</v>
      </c>
      <c r="G7" s="113">
        <v>0</v>
      </c>
      <c r="H7" s="113">
        <v>0</v>
      </c>
      <c r="I7" s="113">
        <v>0</v>
      </c>
      <c r="J7" s="113">
        <v>0</v>
      </c>
      <c r="K7" s="113">
        <v>0</v>
      </c>
      <c r="L7" s="114">
        <v>6000000</v>
      </c>
      <c r="M7" s="18"/>
      <c r="N7" s="18"/>
      <c r="O7" s="18" t="s">
        <v>133</v>
      </c>
      <c r="P7" s="111" t="s">
        <v>84</v>
      </c>
      <c r="Q7" s="112">
        <v>0</v>
      </c>
      <c r="R7" s="113">
        <v>0</v>
      </c>
      <c r="S7" s="113">
        <v>0</v>
      </c>
      <c r="T7" s="113">
        <v>0</v>
      </c>
      <c r="U7" s="113">
        <v>0</v>
      </c>
      <c r="V7" s="113">
        <v>0</v>
      </c>
      <c r="W7" s="114">
        <v>18100000</v>
      </c>
    </row>
    <row r="8" spans="3:23" x14ac:dyDescent="0.35">
      <c r="C8" s="17" t="s">
        <v>125</v>
      </c>
      <c r="D8" s="316" t="s">
        <v>85</v>
      </c>
      <c r="E8" s="112">
        <v>0</v>
      </c>
      <c r="F8" s="113">
        <v>0</v>
      </c>
      <c r="G8" s="113">
        <v>0</v>
      </c>
      <c r="H8" s="113">
        <v>0</v>
      </c>
      <c r="I8" s="113">
        <v>0</v>
      </c>
      <c r="J8" s="113">
        <v>0</v>
      </c>
      <c r="K8" s="113">
        <v>0</v>
      </c>
      <c r="L8" s="114">
        <v>0</v>
      </c>
      <c r="M8" s="18"/>
      <c r="N8" s="18"/>
      <c r="O8" s="18" t="s">
        <v>133</v>
      </c>
      <c r="P8" s="111" t="s">
        <v>86</v>
      </c>
      <c r="Q8" s="112">
        <v>0</v>
      </c>
      <c r="R8" s="113">
        <v>0</v>
      </c>
      <c r="S8" s="113">
        <v>0</v>
      </c>
      <c r="T8" s="113">
        <v>0</v>
      </c>
      <c r="U8" s="113">
        <v>0</v>
      </c>
      <c r="V8" s="113">
        <v>0</v>
      </c>
      <c r="W8" s="114">
        <v>6300000</v>
      </c>
    </row>
    <row r="9" spans="3:23" x14ac:dyDescent="0.35">
      <c r="C9" s="17" t="s">
        <v>125</v>
      </c>
      <c r="D9" s="316" t="s">
        <v>87</v>
      </c>
      <c r="E9" s="112">
        <v>0</v>
      </c>
      <c r="F9" s="113">
        <v>0</v>
      </c>
      <c r="G9" s="113">
        <v>0</v>
      </c>
      <c r="H9" s="113">
        <v>0</v>
      </c>
      <c r="I9" s="113">
        <v>0</v>
      </c>
      <c r="J9" s="113">
        <v>0</v>
      </c>
      <c r="K9" s="113">
        <v>0</v>
      </c>
      <c r="L9" s="114">
        <v>0</v>
      </c>
      <c r="M9" s="18"/>
      <c r="N9" s="18"/>
      <c r="O9" s="18" t="s">
        <v>133</v>
      </c>
      <c r="P9" s="111" t="s">
        <v>88</v>
      </c>
      <c r="Q9" s="112">
        <v>0</v>
      </c>
      <c r="R9" s="113">
        <v>0</v>
      </c>
      <c r="S9" s="113">
        <v>0</v>
      </c>
      <c r="T9" s="113">
        <v>0</v>
      </c>
      <c r="U9" s="113">
        <v>0</v>
      </c>
      <c r="V9" s="113">
        <v>0</v>
      </c>
      <c r="W9" s="114">
        <v>5700000</v>
      </c>
    </row>
    <row r="10" spans="3:23" x14ac:dyDescent="0.35">
      <c r="C10" s="17" t="s">
        <v>125</v>
      </c>
      <c r="D10" s="316" t="s">
        <v>89</v>
      </c>
      <c r="E10" s="112">
        <v>0</v>
      </c>
      <c r="F10" s="113">
        <v>0</v>
      </c>
      <c r="G10" s="113">
        <v>0</v>
      </c>
      <c r="H10" s="113">
        <v>0</v>
      </c>
      <c r="I10" s="113">
        <v>0</v>
      </c>
      <c r="J10" s="113">
        <v>0</v>
      </c>
      <c r="K10" s="113">
        <v>0</v>
      </c>
      <c r="L10" s="114">
        <v>0</v>
      </c>
      <c r="M10" s="18"/>
      <c r="N10" s="18"/>
      <c r="O10" s="18" t="s">
        <v>133</v>
      </c>
      <c r="P10" s="111" t="s">
        <v>90</v>
      </c>
      <c r="Q10" s="112">
        <v>0</v>
      </c>
      <c r="R10" s="113">
        <v>0</v>
      </c>
      <c r="S10" s="113">
        <v>0</v>
      </c>
      <c r="T10" s="113">
        <v>0</v>
      </c>
      <c r="U10" s="113">
        <v>0</v>
      </c>
      <c r="V10" s="113">
        <v>0</v>
      </c>
      <c r="W10" s="114">
        <v>11000000</v>
      </c>
    </row>
    <row r="11" spans="3:23" x14ac:dyDescent="0.35">
      <c r="C11" s="17" t="s">
        <v>125</v>
      </c>
      <c r="D11" s="316" t="s">
        <v>91</v>
      </c>
      <c r="E11" s="112">
        <v>0</v>
      </c>
      <c r="F11" s="113">
        <v>0</v>
      </c>
      <c r="G11" s="113">
        <v>0</v>
      </c>
      <c r="H11" s="113">
        <v>0</v>
      </c>
      <c r="I11" s="113">
        <v>0</v>
      </c>
      <c r="J11" s="113">
        <v>0</v>
      </c>
      <c r="K11" s="113">
        <v>0</v>
      </c>
      <c r="L11" s="114">
        <v>0</v>
      </c>
      <c r="M11" s="18"/>
      <c r="N11" s="18"/>
      <c r="O11" s="18" t="s">
        <v>133</v>
      </c>
      <c r="P11" s="111" t="s">
        <v>92</v>
      </c>
      <c r="Q11" s="112">
        <v>0</v>
      </c>
      <c r="R11" s="113">
        <v>0</v>
      </c>
      <c r="S11" s="113">
        <v>0</v>
      </c>
      <c r="T11" s="113">
        <v>0</v>
      </c>
      <c r="U11" s="113">
        <v>0</v>
      </c>
      <c r="V11" s="113">
        <v>0</v>
      </c>
      <c r="W11" s="114">
        <v>4900000</v>
      </c>
    </row>
    <row r="12" spans="3:23" x14ac:dyDescent="0.35">
      <c r="C12" s="17" t="s">
        <v>125</v>
      </c>
      <c r="D12" s="316" t="s">
        <v>93</v>
      </c>
      <c r="E12" s="112">
        <v>0</v>
      </c>
      <c r="F12" s="113">
        <v>0</v>
      </c>
      <c r="G12" s="113">
        <v>0</v>
      </c>
      <c r="H12" s="113">
        <v>0</v>
      </c>
      <c r="I12" s="113">
        <v>0</v>
      </c>
      <c r="J12" s="113">
        <v>0</v>
      </c>
      <c r="K12" s="113">
        <v>0</v>
      </c>
      <c r="L12" s="114">
        <v>0</v>
      </c>
      <c r="M12" s="18"/>
      <c r="N12" s="18"/>
      <c r="O12" s="18" t="s">
        <v>126</v>
      </c>
      <c r="P12" s="111" t="s">
        <v>95</v>
      </c>
      <c r="Q12" s="112">
        <v>0</v>
      </c>
      <c r="R12" s="113">
        <v>0</v>
      </c>
      <c r="S12" s="113">
        <v>0</v>
      </c>
      <c r="T12" s="113">
        <v>0</v>
      </c>
      <c r="U12" s="113">
        <v>0</v>
      </c>
      <c r="V12" s="113">
        <v>0</v>
      </c>
      <c r="W12" s="114">
        <v>0</v>
      </c>
    </row>
    <row r="13" spans="3:23" x14ac:dyDescent="0.35">
      <c r="C13" s="17" t="s">
        <v>134</v>
      </c>
      <c r="D13" s="316" t="s">
        <v>94</v>
      </c>
      <c r="E13" s="112">
        <v>0</v>
      </c>
      <c r="F13" s="113">
        <v>0</v>
      </c>
      <c r="G13" s="113">
        <v>0</v>
      </c>
      <c r="H13" s="113">
        <v>0</v>
      </c>
      <c r="I13" s="113">
        <v>0</v>
      </c>
      <c r="J13" s="113">
        <v>0</v>
      </c>
      <c r="K13" s="113">
        <v>50000000</v>
      </c>
      <c r="L13" s="114">
        <v>0</v>
      </c>
      <c r="M13" s="18"/>
      <c r="N13" s="18"/>
      <c r="O13" s="18" t="s">
        <v>134</v>
      </c>
      <c r="P13" s="111" t="s">
        <v>94</v>
      </c>
      <c r="Q13" s="112">
        <v>0</v>
      </c>
      <c r="R13" s="113">
        <v>0</v>
      </c>
      <c r="S13" s="113">
        <v>0</v>
      </c>
      <c r="T13" s="113">
        <v>0</v>
      </c>
      <c r="U13" s="113">
        <v>0</v>
      </c>
      <c r="V13" s="113">
        <v>0</v>
      </c>
      <c r="W13" s="114">
        <v>0</v>
      </c>
    </row>
    <row r="14" spans="3:23" x14ac:dyDescent="0.35">
      <c r="C14" s="17" t="s">
        <v>126</v>
      </c>
      <c r="D14" s="316" t="s">
        <v>96</v>
      </c>
      <c r="E14" s="112">
        <v>0</v>
      </c>
      <c r="F14" s="113">
        <v>0</v>
      </c>
      <c r="G14" s="113">
        <v>0</v>
      </c>
      <c r="H14" s="113">
        <v>0</v>
      </c>
      <c r="I14" s="113">
        <v>0</v>
      </c>
      <c r="J14" s="113">
        <v>0</v>
      </c>
      <c r="K14" s="113">
        <v>0</v>
      </c>
      <c r="L14" s="114">
        <v>0</v>
      </c>
      <c r="M14" s="18"/>
      <c r="N14" s="18"/>
      <c r="O14" s="18" t="s">
        <v>134</v>
      </c>
      <c r="P14" s="111" t="s">
        <v>97</v>
      </c>
      <c r="Q14" s="112">
        <v>0</v>
      </c>
      <c r="R14" s="113">
        <v>0</v>
      </c>
      <c r="S14" s="113">
        <v>0</v>
      </c>
      <c r="T14" s="113">
        <v>0</v>
      </c>
      <c r="U14" s="113">
        <v>0</v>
      </c>
      <c r="V14" s="113">
        <v>0</v>
      </c>
      <c r="W14" s="114">
        <v>0</v>
      </c>
    </row>
    <row r="15" spans="3:23" x14ac:dyDescent="0.35">
      <c r="C15" s="17" t="s">
        <v>127</v>
      </c>
      <c r="D15" s="317" t="s">
        <v>98</v>
      </c>
      <c r="E15" s="112">
        <v>0</v>
      </c>
      <c r="F15" s="113">
        <v>0</v>
      </c>
      <c r="G15" s="113">
        <v>0</v>
      </c>
      <c r="H15" s="113">
        <v>0</v>
      </c>
      <c r="I15" s="113">
        <v>0</v>
      </c>
      <c r="J15" s="113">
        <v>0</v>
      </c>
      <c r="K15" s="113">
        <v>0</v>
      </c>
      <c r="L15" s="114">
        <v>0</v>
      </c>
      <c r="M15" s="18"/>
      <c r="N15" s="18"/>
      <c r="O15" s="18" t="s">
        <v>131</v>
      </c>
      <c r="P15" s="111" t="s">
        <v>99</v>
      </c>
      <c r="Q15" s="112">
        <v>0</v>
      </c>
      <c r="R15" s="113">
        <v>0</v>
      </c>
      <c r="S15" s="113">
        <v>0</v>
      </c>
      <c r="T15" s="113">
        <v>0</v>
      </c>
      <c r="U15" s="113">
        <v>0</v>
      </c>
      <c r="V15" s="113">
        <v>0</v>
      </c>
      <c r="W15" s="114">
        <v>0</v>
      </c>
    </row>
    <row r="16" spans="3:23" x14ac:dyDescent="0.35">
      <c r="C16" s="17" t="s">
        <v>127</v>
      </c>
      <c r="D16" s="317" t="s">
        <v>100</v>
      </c>
      <c r="E16" s="112">
        <v>0</v>
      </c>
      <c r="F16" s="113">
        <v>0</v>
      </c>
      <c r="G16" s="113">
        <v>0</v>
      </c>
      <c r="H16" s="113">
        <v>0</v>
      </c>
      <c r="I16" s="113">
        <v>0</v>
      </c>
      <c r="J16" s="113">
        <v>0</v>
      </c>
      <c r="K16" s="113">
        <v>0</v>
      </c>
      <c r="L16" s="114">
        <v>0</v>
      </c>
      <c r="M16" s="18"/>
      <c r="N16" s="18"/>
      <c r="O16" s="18" t="s">
        <v>129</v>
      </c>
      <c r="P16" s="111" t="s">
        <v>101</v>
      </c>
      <c r="Q16" s="112">
        <v>0</v>
      </c>
      <c r="R16" s="113">
        <v>0</v>
      </c>
      <c r="S16" s="113">
        <v>0</v>
      </c>
      <c r="T16" s="113">
        <v>0</v>
      </c>
      <c r="U16" s="113">
        <v>0</v>
      </c>
      <c r="V16" s="113">
        <v>0</v>
      </c>
      <c r="W16" s="114">
        <v>0</v>
      </c>
    </row>
    <row r="17" spans="3:23" x14ac:dyDescent="0.35">
      <c r="C17" s="17" t="s">
        <v>128</v>
      </c>
      <c r="D17" s="316" t="s">
        <v>102</v>
      </c>
      <c r="E17" s="112">
        <v>0</v>
      </c>
      <c r="F17" s="113">
        <v>0</v>
      </c>
      <c r="G17" s="113">
        <v>10000000</v>
      </c>
      <c r="H17" s="113">
        <v>0</v>
      </c>
      <c r="I17" s="113">
        <v>0</v>
      </c>
      <c r="J17" s="113">
        <v>0</v>
      </c>
      <c r="K17" s="113">
        <v>0</v>
      </c>
      <c r="L17" s="114">
        <v>15000000</v>
      </c>
      <c r="M17" s="18"/>
      <c r="N17" s="18"/>
      <c r="O17" s="18" t="s">
        <v>129</v>
      </c>
      <c r="P17" s="111" t="s">
        <v>103</v>
      </c>
      <c r="Q17" s="112">
        <v>0</v>
      </c>
      <c r="R17" s="113">
        <v>0</v>
      </c>
      <c r="S17" s="113">
        <v>0</v>
      </c>
      <c r="T17" s="113">
        <v>0</v>
      </c>
      <c r="U17" s="113">
        <v>0</v>
      </c>
      <c r="V17" s="113">
        <v>0</v>
      </c>
      <c r="W17" s="114">
        <v>0</v>
      </c>
    </row>
    <row r="18" spans="3:23" x14ac:dyDescent="0.35">
      <c r="C18" s="17" t="s">
        <v>128</v>
      </c>
      <c r="D18" s="316" t="s">
        <v>104</v>
      </c>
      <c r="E18" s="112">
        <v>0</v>
      </c>
      <c r="F18" s="113">
        <v>0</v>
      </c>
      <c r="G18" s="113">
        <v>0</v>
      </c>
      <c r="H18" s="113">
        <v>0</v>
      </c>
      <c r="I18" s="113">
        <v>0</v>
      </c>
      <c r="J18" s="113">
        <v>0</v>
      </c>
      <c r="K18" s="113">
        <v>0</v>
      </c>
      <c r="L18" s="114">
        <v>25000000</v>
      </c>
      <c r="M18" s="18"/>
      <c r="N18" s="18"/>
      <c r="O18" s="18" t="s">
        <v>129</v>
      </c>
      <c r="P18" s="111" t="s">
        <v>105</v>
      </c>
      <c r="Q18" s="112">
        <v>0</v>
      </c>
      <c r="R18" s="113">
        <v>0</v>
      </c>
      <c r="S18" s="113">
        <v>0</v>
      </c>
      <c r="T18" s="113">
        <v>0</v>
      </c>
      <c r="U18" s="113">
        <v>0</v>
      </c>
      <c r="V18" s="113">
        <v>0</v>
      </c>
      <c r="W18" s="114">
        <v>0</v>
      </c>
    </row>
    <row r="19" spans="3:23" x14ac:dyDescent="0.35">
      <c r="C19" s="17" t="s">
        <v>129</v>
      </c>
      <c r="D19" s="316" t="s">
        <v>106</v>
      </c>
      <c r="E19" s="112">
        <v>5000000</v>
      </c>
      <c r="F19" s="113">
        <v>0</v>
      </c>
      <c r="G19" s="113">
        <v>5000000</v>
      </c>
      <c r="H19" s="113">
        <v>0</v>
      </c>
      <c r="I19" s="113">
        <v>0</v>
      </c>
      <c r="J19" s="113">
        <v>0</v>
      </c>
      <c r="K19" s="113">
        <v>0</v>
      </c>
      <c r="L19" s="114">
        <v>0</v>
      </c>
      <c r="M19" s="18"/>
      <c r="N19" s="18"/>
      <c r="O19" s="18" t="s">
        <v>129</v>
      </c>
      <c r="P19" s="115" t="s">
        <v>106</v>
      </c>
      <c r="Q19" s="116">
        <v>0</v>
      </c>
      <c r="R19" s="117">
        <v>0</v>
      </c>
      <c r="S19" s="117">
        <v>0</v>
      </c>
      <c r="T19" s="117">
        <v>0</v>
      </c>
      <c r="U19" s="117">
        <v>0</v>
      </c>
      <c r="V19" s="117">
        <v>0</v>
      </c>
      <c r="W19" s="118">
        <v>0</v>
      </c>
    </row>
    <row r="20" spans="3:23" ht="15" thickBot="1" x14ac:dyDescent="0.4">
      <c r="C20" s="17" t="s">
        <v>129</v>
      </c>
      <c r="D20" s="316" t="s">
        <v>105</v>
      </c>
      <c r="E20" s="112">
        <v>5000000</v>
      </c>
      <c r="F20" s="113">
        <v>0</v>
      </c>
      <c r="G20" s="113">
        <v>0</v>
      </c>
      <c r="H20" s="113">
        <v>0</v>
      </c>
      <c r="I20" s="113">
        <v>15000000</v>
      </c>
      <c r="J20" s="113">
        <v>0</v>
      </c>
      <c r="K20" s="113">
        <v>0</v>
      </c>
      <c r="L20" s="114">
        <v>0</v>
      </c>
      <c r="M20" s="18"/>
      <c r="N20" s="18"/>
      <c r="O20" s="18" t="s">
        <v>132</v>
      </c>
      <c r="P20" s="106" t="s">
        <v>107</v>
      </c>
      <c r="Q20" s="119">
        <v>0</v>
      </c>
      <c r="R20" s="119">
        <v>0</v>
      </c>
      <c r="S20" s="119">
        <v>0</v>
      </c>
      <c r="T20" s="119">
        <v>0</v>
      </c>
      <c r="U20" s="119">
        <v>0</v>
      </c>
      <c r="V20" s="119">
        <v>0</v>
      </c>
      <c r="W20" s="119">
        <v>46000000</v>
      </c>
    </row>
    <row r="21" spans="3:23" ht="15" thickBot="1" x14ac:dyDescent="0.4">
      <c r="C21" s="17" t="s">
        <v>129</v>
      </c>
      <c r="D21" s="316" t="s">
        <v>108</v>
      </c>
      <c r="E21" s="112">
        <v>0</v>
      </c>
      <c r="F21" s="113">
        <v>0</v>
      </c>
      <c r="G21" s="113">
        <v>0</v>
      </c>
      <c r="H21" s="113">
        <v>0</v>
      </c>
      <c r="I21" s="113">
        <v>0</v>
      </c>
      <c r="J21" s="113">
        <v>0</v>
      </c>
      <c r="K21" s="113">
        <v>0</v>
      </c>
      <c r="L21" s="114">
        <v>0</v>
      </c>
      <c r="M21" s="18"/>
      <c r="N21" s="18"/>
      <c r="O21" s="18"/>
      <c r="P21" s="120"/>
      <c r="Q21" s="120"/>
      <c r="R21" s="120"/>
      <c r="S21" s="120"/>
      <c r="T21" s="120"/>
      <c r="U21" s="120"/>
      <c r="V21" s="120"/>
      <c r="W21" s="121">
        <v>46000000</v>
      </c>
    </row>
    <row r="22" spans="3:23" x14ac:dyDescent="0.35">
      <c r="C22" s="17" t="s">
        <v>129</v>
      </c>
      <c r="D22" s="316" t="s">
        <v>101</v>
      </c>
      <c r="E22" s="112">
        <v>15000000</v>
      </c>
      <c r="F22" s="113">
        <v>0</v>
      </c>
      <c r="G22" s="113">
        <v>20000000</v>
      </c>
      <c r="H22" s="113">
        <v>20000000</v>
      </c>
      <c r="I22" s="113">
        <v>0</v>
      </c>
      <c r="J22" s="113">
        <v>0</v>
      </c>
      <c r="K22" s="113">
        <v>0</v>
      </c>
      <c r="L22" s="114">
        <v>15000000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3:23" x14ac:dyDescent="0.35">
      <c r="C23" s="17" t="s">
        <v>129</v>
      </c>
      <c r="D23" s="316" t="s">
        <v>103</v>
      </c>
      <c r="E23" s="112">
        <v>22000000</v>
      </c>
      <c r="F23" s="113">
        <v>0</v>
      </c>
      <c r="G23" s="113">
        <v>10000000</v>
      </c>
      <c r="H23" s="113">
        <v>30000000</v>
      </c>
      <c r="I23" s="113">
        <v>0</v>
      </c>
      <c r="J23" s="113">
        <v>0</v>
      </c>
      <c r="K23" s="113">
        <v>0</v>
      </c>
      <c r="L23" s="114">
        <v>15000000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3:23" x14ac:dyDescent="0.35">
      <c r="C24" s="17" t="s">
        <v>129</v>
      </c>
      <c r="D24" s="316" t="s">
        <v>109</v>
      </c>
      <c r="E24" s="112">
        <v>0</v>
      </c>
      <c r="F24" s="113">
        <v>0</v>
      </c>
      <c r="G24" s="113">
        <v>2000000</v>
      </c>
      <c r="H24" s="113">
        <v>0</v>
      </c>
      <c r="I24" s="113">
        <v>0</v>
      </c>
      <c r="J24" s="113">
        <v>0</v>
      </c>
      <c r="K24" s="113">
        <v>0</v>
      </c>
      <c r="L24" s="114">
        <v>0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3:23" x14ac:dyDescent="0.35">
      <c r="C25" s="17" t="s">
        <v>129</v>
      </c>
      <c r="D25" s="316" t="s">
        <v>110</v>
      </c>
      <c r="E25" s="112">
        <v>0</v>
      </c>
      <c r="F25" s="113">
        <v>0</v>
      </c>
      <c r="G25" s="113">
        <v>1500000</v>
      </c>
      <c r="H25" s="113">
        <v>0</v>
      </c>
      <c r="I25" s="113">
        <v>0</v>
      </c>
      <c r="J25" s="113">
        <v>0</v>
      </c>
      <c r="K25" s="113">
        <v>0</v>
      </c>
      <c r="L25" s="114">
        <v>0</v>
      </c>
      <c r="M25" s="18"/>
      <c r="N25" s="18"/>
      <c r="O25" s="18"/>
      <c r="P25" s="18"/>
      <c r="Q25" s="106" t="s">
        <v>111</v>
      </c>
      <c r="R25" s="106" t="s">
        <v>112</v>
      </c>
      <c r="S25" s="122" t="s">
        <v>113</v>
      </c>
      <c r="T25" s="18"/>
      <c r="U25" s="18"/>
      <c r="V25" s="18"/>
      <c r="W25" s="18"/>
    </row>
    <row r="26" spans="3:23" x14ac:dyDescent="0.35">
      <c r="C26" s="17" t="s">
        <v>129</v>
      </c>
      <c r="D26" s="316" t="s">
        <v>114</v>
      </c>
      <c r="E26" s="112">
        <v>0</v>
      </c>
      <c r="F26" s="113">
        <v>0</v>
      </c>
      <c r="G26" s="113">
        <v>0</v>
      </c>
      <c r="H26" s="113">
        <v>0</v>
      </c>
      <c r="I26" s="113">
        <v>0</v>
      </c>
      <c r="J26" s="113">
        <v>0</v>
      </c>
      <c r="K26" s="113">
        <v>0</v>
      </c>
      <c r="L26" s="114">
        <v>0</v>
      </c>
      <c r="M26" s="18"/>
      <c r="N26" s="18"/>
      <c r="O26" s="18"/>
      <c r="P26" s="18"/>
      <c r="Q26" s="120" t="s">
        <v>70</v>
      </c>
      <c r="R26" s="120" t="s">
        <v>78</v>
      </c>
      <c r="S26" s="123">
        <v>0</v>
      </c>
      <c r="T26" s="18"/>
      <c r="U26" s="18"/>
      <c r="V26" s="18"/>
      <c r="W26" s="18"/>
    </row>
    <row r="27" spans="3:23" x14ac:dyDescent="0.35">
      <c r="C27" s="17" t="s">
        <v>130</v>
      </c>
      <c r="D27" s="316" t="s">
        <v>115</v>
      </c>
      <c r="E27" s="112">
        <v>0</v>
      </c>
      <c r="F27" s="113">
        <v>50000000</v>
      </c>
      <c r="G27" s="113">
        <v>0</v>
      </c>
      <c r="H27" s="113">
        <v>0</v>
      </c>
      <c r="I27" s="113">
        <v>0</v>
      </c>
      <c r="J27" s="113">
        <v>0</v>
      </c>
      <c r="K27" s="113">
        <v>0</v>
      </c>
      <c r="L27" s="114">
        <v>0</v>
      </c>
      <c r="M27" s="18"/>
      <c r="N27" s="18"/>
      <c r="O27" s="18"/>
      <c r="P27" s="18"/>
      <c r="Q27" s="120" t="s">
        <v>71</v>
      </c>
      <c r="R27" s="120" t="s">
        <v>79</v>
      </c>
      <c r="S27" s="123">
        <v>0</v>
      </c>
      <c r="T27" s="18"/>
      <c r="U27" s="18"/>
      <c r="V27" s="18"/>
      <c r="W27" s="18"/>
    </row>
    <row r="28" spans="3:23" x14ac:dyDescent="0.35">
      <c r="C28" s="17" t="s">
        <v>130</v>
      </c>
      <c r="D28" s="316" t="s">
        <v>116</v>
      </c>
      <c r="E28" s="112">
        <v>0</v>
      </c>
      <c r="F28" s="113">
        <v>0</v>
      </c>
      <c r="G28" s="113">
        <v>0</v>
      </c>
      <c r="H28" s="113">
        <v>0</v>
      </c>
      <c r="I28" s="113">
        <v>0</v>
      </c>
      <c r="J28" s="113">
        <v>0</v>
      </c>
      <c r="K28" s="113">
        <v>0</v>
      </c>
      <c r="L28" s="114">
        <v>0</v>
      </c>
      <c r="M28" s="18"/>
      <c r="N28" s="18"/>
      <c r="O28" s="18"/>
      <c r="P28" s="18"/>
      <c r="Q28" s="120" t="s">
        <v>72</v>
      </c>
      <c r="R28" s="120" t="s">
        <v>80</v>
      </c>
      <c r="S28" s="123">
        <v>0</v>
      </c>
      <c r="T28" s="18"/>
      <c r="U28" s="18"/>
      <c r="V28" s="18"/>
      <c r="W28" s="18"/>
    </row>
    <row r="29" spans="3:23" x14ac:dyDescent="0.35">
      <c r="C29" s="17" t="s">
        <v>117</v>
      </c>
      <c r="D29" s="316" t="s">
        <v>117</v>
      </c>
      <c r="E29" s="112">
        <v>0</v>
      </c>
      <c r="F29" s="113">
        <v>0</v>
      </c>
      <c r="G29" s="113">
        <v>60000000</v>
      </c>
      <c r="H29" s="113">
        <v>40000000</v>
      </c>
      <c r="I29" s="113">
        <v>60000000</v>
      </c>
      <c r="J29" s="113">
        <v>0</v>
      </c>
      <c r="K29" s="113">
        <v>0</v>
      </c>
      <c r="L29" s="114">
        <v>0</v>
      </c>
      <c r="M29" s="18"/>
      <c r="N29" s="18"/>
      <c r="O29" s="18"/>
      <c r="P29" s="18"/>
      <c r="Q29" s="120" t="s">
        <v>170</v>
      </c>
      <c r="R29" s="120" t="s">
        <v>171</v>
      </c>
      <c r="S29" s="124">
        <v>46000000</v>
      </c>
      <c r="T29" s="18"/>
      <c r="U29" s="18"/>
      <c r="V29" s="18"/>
      <c r="W29" s="18"/>
    </row>
    <row r="30" spans="3:23" x14ac:dyDescent="0.35">
      <c r="C30" s="17" t="s">
        <v>131</v>
      </c>
      <c r="D30" s="318" t="s">
        <v>99</v>
      </c>
      <c r="E30" s="116">
        <v>47500000</v>
      </c>
      <c r="F30" s="117">
        <v>0</v>
      </c>
      <c r="G30" s="117">
        <v>0</v>
      </c>
      <c r="H30" s="117">
        <v>0</v>
      </c>
      <c r="I30" s="117">
        <v>0</v>
      </c>
      <c r="J30" s="117">
        <v>0</v>
      </c>
      <c r="K30" s="117">
        <v>0</v>
      </c>
      <c r="L30" s="118">
        <v>0</v>
      </c>
      <c r="M30" s="18"/>
      <c r="N30" s="18"/>
      <c r="O30" s="18"/>
      <c r="P30" s="18"/>
      <c r="Q30" s="120"/>
      <c r="R30" s="120"/>
      <c r="S30" s="125">
        <v>46000000</v>
      </c>
      <c r="T30" s="18"/>
      <c r="U30" s="18"/>
      <c r="V30" s="18"/>
      <c r="W30" s="18"/>
    </row>
    <row r="31" spans="3:23" ht="15" thickBot="1" x14ac:dyDescent="0.4">
      <c r="D31" s="106" t="s">
        <v>118</v>
      </c>
      <c r="E31" s="119">
        <v>156500000</v>
      </c>
      <c r="F31" s="119">
        <v>50000000</v>
      </c>
      <c r="G31" s="119">
        <v>108500000</v>
      </c>
      <c r="H31" s="119">
        <v>90000000</v>
      </c>
      <c r="I31" s="119">
        <v>75000000</v>
      </c>
      <c r="J31" s="119">
        <v>0</v>
      </c>
      <c r="K31" s="119">
        <v>50000000</v>
      </c>
      <c r="L31" s="119">
        <v>132000000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3:23" ht="15" thickBot="1" x14ac:dyDescent="0.4">
      <c r="D32" s="106"/>
      <c r="E32" s="319"/>
      <c r="F32" s="106"/>
      <c r="G32" s="106"/>
      <c r="H32" s="106"/>
      <c r="I32" s="106"/>
      <c r="J32" s="106"/>
      <c r="K32" s="106"/>
      <c r="L32" s="320">
        <v>662000000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4:23" x14ac:dyDescent="0.35">
      <c r="D33" s="120"/>
      <c r="E33" s="120"/>
      <c r="F33" s="120"/>
      <c r="G33" s="120"/>
      <c r="H33" s="120"/>
      <c r="I33" s="120"/>
      <c r="J33" s="120"/>
      <c r="K33" s="120"/>
      <c r="L33" s="120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4:23" x14ac:dyDescent="0.35">
      <c r="D34" s="120"/>
      <c r="E34" s="120"/>
      <c r="F34" s="120"/>
      <c r="G34" s="120"/>
      <c r="H34" s="120"/>
      <c r="I34" s="120"/>
      <c r="J34" s="120"/>
      <c r="K34" s="120"/>
      <c r="L34" s="120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4:23" x14ac:dyDescent="0.35">
      <c r="D35" s="120"/>
      <c r="E35" s="106" t="s">
        <v>111</v>
      </c>
      <c r="F35" s="106" t="s">
        <v>112</v>
      </c>
      <c r="G35" s="122" t="s">
        <v>113</v>
      </c>
      <c r="H35" s="122"/>
      <c r="I35" s="122"/>
      <c r="J35" s="122"/>
      <c r="K35" s="122"/>
      <c r="L35" s="120"/>
    </row>
    <row r="36" spans="4:23" x14ac:dyDescent="0.35">
      <c r="D36" s="120"/>
      <c r="E36" s="120" t="s">
        <v>62</v>
      </c>
      <c r="F36" s="120" t="s">
        <v>119</v>
      </c>
      <c r="G36" s="123">
        <v>156500000</v>
      </c>
      <c r="H36" s="123"/>
      <c r="I36" s="123"/>
      <c r="J36" s="123"/>
      <c r="K36" s="123"/>
      <c r="L36" s="120"/>
    </row>
    <row r="37" spans="4:23" x14ac:dyDescent="0.35">
      <c r="D37" s="120"/>
      <c r="E37" s="120" t="s">
        <v>63</v>
      </c>
      <c r="F37" s="120" t="s">
        <v>120</v>
      </c>
      <c r="G37" s="123">
        <v>50000000</v>
      </c>
      <c r="H37" s="123"/>
      <c r="I37" s="123"/>
      <c r="J37" s="123"/>
      <c r="K37" s="123"/>
      <c r="L37" s="120"/>
    </row>
    <row r="38" spans="4:23" x14ac:dyDescent="0.35">
      <c r="D38" s="120"/>
      <c r="E38" s="120" t="s">
        <v>64</v>
      </c>
      <c r="F38" s="120" t="s">
        <v>121</v>
      </c>
      <c r="G38" s="123">
        <v>108500000</v>
      </c>
      <c r="H38" s="123"/>
      <c r="I38" s="123"/>
      <c r="J38" s="123"/>
      <c r="K38" s="123"/>
      <c r="L38" s="120"/>
    </row>
    <row r="39" spans="4:23" x14ac:dyDescent="0.35">
      <c r="D39" s="120"/>
      <c r="E39" s="120" t="s">
        <v>65</v>
      </c>
      <c r="F39" s="120" t="s">
        <v>73</v>
      </c>
      <c r="G39" s="123">
        <v>90000000</v>
      </c>
      <c r="H39" s="123"/>
      <c r="I39" s="123"/>
      <c r="J39" s="123"/>
      <c r="K39" s="123"/>
      <c r="L39" s="120"/>
    </row>
    <row r="40" spans="4:23" x14ac:dyDescent="0.35">
      <c r="D40" s="120"/>
      <c r="E40" s="120" t="s">
        <v>223</v>
      </c>
      <c r="F40" s="120" t="s">
        <v>225</v>
      </c>
      <c r="G40" s="123">
        <v>75000000</v>
      </c>
      <c r="H40" s="123"/>
      <c r="I40" s="123"/>
      <c r="J40" s="123"/>
      <c r="K40" s="123"/>
      <c r="L40" s="120"/>
    </row>
    <row r="41" spans="4:23" x14ac:dyDescent="0.35">
      <c r="D41" s="120"/>
      <c r="E41" s="120" t="s">
        <v>66</v>
      </c>
      <c r="F41" s="120" t="s">
        <v>122</v>
      </c>
      <c r="G41" s="123">
        <v>0</v>
      </c>
      <c r="H41" s="125"/>
      <c r="I41" s="125"/>
      <c r="J41" s="125"/>
      <c r="K41" s="125"/>
      <c r="L41" s="120"/>
    </row>
    <row r="42" spans="4:23" x14ac:dyDescent="0.35">
      <c r="D42" s="120"/>
      <c r="E42" s="120" t="s">
        <v>224</v>
      </c>
      <c r="F42" s="120" t="s">
        <v>226</v>
      </c>
      <c r="G42" s="123">
        <v>50000000</v>
      </c>
      <c r="H42" s="120"/>
      <c r="I42" s="120"/>
      <c r="J42" s="120"/>
      <c r="K42" s="120"/>
      <c r="L42" s="120"/>
    </row>
    <row r="43" spans="4:23" x14ac:dyDescent="0.35">
      <c r="D43" s="120"/>
      <c r="E43" s="321" t="s">
        <v>67</v>
      </c>
      <c r="F43" s="321" t="s">
        <v>123</v>
      </c>
      <c r="G43" s="124">
        <v>132000000</v>
      </c>
      <c r="H43" s="120"/>
      <c r="I43" s="120"/>
      <c r="J43" s="120"/>
      <c r="K43" s="120"/>
      <c r="L43" s="120"/>
    </row>
    <row r="44" spans="4:23" x14ac:dyDescent="0.35">
      <c r="D44" s="120"/>
      <c r="E44" s="120"/>
      <c r="F44" s="120"/>
      <c r="G44" s="322">
        <v>662000000</v>
      </c>
      <c r="H44" s="120"/>
      <c r="I44" s="120"/>
      <c r="J44" s="120"/>
      <c r="K44" s="120"/>
      <c r="L44" s="1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8FB5-43D6-4A35-9751-C9E686ADC9C5}">
  <dimension ref="B3:G71"/>
  <sheetViews>
    <sheetView topLeftCell="A14" zoomScale="70" zoomScaleNormal="70" workbookViewId="0">
      <selection activeCell="C43" sqref="C43"/>
    </sheetView>
  </sheetViews>
  <sheetFormatPr defaultColWidth="9.1796875" defaultRowHeight="14.5" x14ac:dyDescent="0.35"/>
  <cols>
    <col min="1" max="1" width="9.1796875" style="6"/>
    <col min="2" max="2" width="35" style="6" bestFit="1" customWidth="1"/>
    <col min="3" max="3" width="34.90625" style="6" bestFit="1" customWidth="1"/>
    <col min="4" max="4" width="69.453125" style="6" bestFit="1" customWidth="1"/>
    <col min="5" max="5" width="58.81640625" style="6" bestFit="1" customWidth="1"/>
    <col min="6" max="6" width="9.1796875" style="6"/>
    <col min="7" max="7" width="62" style="6" bestFit="1" customWidth="1"/>
    <col min="8" max="16384" width="9.1796875" style="6"/>
  </cols>
  <sheetData>
    <row r="3" spans="2:7" x14ac:dyDescent="0.35">
      <c r="C3" s="5" t="s">
        <v>175</v>
      </c>
      <c r="D3" s="5"/>
      <c r="E3" s="5" t="s">
        <v>147</v>
      </c>
      <c r="G3" s="5" t="s">
        <v>148</v>
      </c>
    </row>
    <row r="4" spans="2:7" ht="14.5" customHeight="1" x14ac:dyDescent="0.35">
      <c r="C4" s="6" t="s">
        <v>24</v>
      </c>
      <c r="D4" s="7" t="s">
        <v>24</v>
      </c>
      <c r="E4" s="8" t="s">
        <v>141</v>
      </c>
      <c r="G4" s="9" t="s">
        <v>135</v>
      </c>
    </row>
    <row r="5" spans="2:7" ht="14.5" customHeight="1" x14ac:dyDescent="0.35">
      <c r="C5" s="6" t="s">
        <v>124</v>
      </c>
      <c r="D5" s="10" t="s">
        <v>124</v>
      </c>
      <c r="E5" s="11" t="s">
        <v>138</v>
      </c>
      <c r="G5" s="12" t="s">
        <v>136</v>
      </c>
    </row>
    <row r="6" spans="2:7" ht="14.5" customHeight="1" x14ac:dyDescent="0.35">
      <c r="C6" s="6" t="s">
        <v>125</v>
      </c>
      <c r="D6" s="10" t="s">
        <v>125</v>
      </c>
      <c r="E6" s="11" t="s">
        <v>138</v>
      </c>
      <c r="G6" s="12" t="s">
        <v>137</v>
      </c>
    </row>
    <row r="7" spans="2:7" x14ac:dyDescent="0.35">
      <c r="C7" s="220" t="s">
        <v>178</v>
      </c>
      <c r="D7" s="10" t="s">
        <v>26</v>
      </c>
      <c r="E7" s="11" t="s">
        <v>142</v>
      </c>
      <c r="G7" s="12" t="s">
        <v>138</v>
      </c>
    </row>
    <row r="8" spans="2:7" ht="14.5" customHeight="1" x14ac:dyDescent="0.35">
      <c r="C8" s="6" t="s">
        <v>133</v>
      </c>
      <c r="D8" s="10" t="s">
        <v>133</v>
      </c>
      <c r="E8" s="11" t="s">
        <v>138</v>
      </c>
      <c r="G8" s="12" t="s">
        <v>139</v>
      </c>
    </row>
    <row r="9" spans="2:7" ht="14.5" customHeight="1" x14ac:dyDescent="0.35">
      <c r="C9" s="6" t="s">
        <v>27</v>
      </c>
      <c r="D9" s="10" t="s">
        <v>27</v>
      </c>
      <c r="E9" s="11" t="s">
        <v>141</v>
      </c>
      <c r="G9" s="12" t="s">
        <v>140</v>
      </c>
    </row>
    <row r="10" spans="2:7" ht="14.5" customHeight="1" x14ac:dyDescent="0.35">
      <c r="C10" s="6" t="s">
        <v>126</v>
      </c>
      <c r="D10" s="10" t="s">
        <v>126</v>
      </c>
      <c r="E10" s="11" t="s">
        <v>138</v>
      </c>
      <c r="G10" s="12" t="s">
        <v>141</v>
      </c>
    </row>
    <row r="11" spans="2:7" ht="14.5" customHeight="1" x14ac:dyDescent="0.35">
      <c r="C11" s="6" t="s">
        <v>127</v>
      </c>
      <c r="D11" s="10" t="s">
        <v>127</v>
      </c>
      <c r="E11" s="11" t="s">
        <v>138</v>
      </c>
      <c r="G11" s="12" t="s">
        <v>142</v>
      </c>
    </row>
    <row r="12" spans="2:7" ht="14.5" customHeight="1" x14ac:dyDescent="0.35">
      <c r="C12" s="6" t="s">
        <v>128</v>
      </c>
      <c r="D12" s="10" t="s">
        <v>128</v>
      </c>
      <c r="E12" s="11" t="s">
        <v>141</v>
      </c>
      <c r="G12" s="12" t="s">
        <v>143</v>
      </c>
    </row>
    <row r="13" spans="2:7" ht="14.5" customHeight="1" x14ac:dyDescent="0.35">
      <c r="C13" s="6" t="s">
        <v>39</v>
      </c>
      <c r="D13" s="10" t="s">
        <v>38</v>
      </c>
      <c r="E13" s="11" t="s">
        <v>141</v>
      </c>
      <c r="G13" s="12" t="s">
        <v>149</v>
      </c>
    </row>
    <row r="14" spans="2:7" ht="14.5" customHeight="1" x14ac:dyDescent="0.35">
      <c r="B14" s="229"/>
      <c r="C14" s="6" t="s">
        <v>217</v>
      </c>
      <c r="D14" s="10" t="s">
        <v>48</v>
      </c>
      <c r="E14" s="11" t="s">
        <v>141</v>
      </c>
      <c r="G14" s="12" t="s">
        <v>144</v>
      </c>
    </row>
    <row r="15" spans="2:7" ht="14.5" customHeight="1" x14ac:dyDescent="0.35">
      <c r="B15" s="229"/>
      <c r="C15" s="6" t="s">
        <v>217</v>
      </c>
      <c r="D15" s="10" t="s">
        <v>162</v>
      </c>
      <c r="E15" s="11" t="s">
        <v>141</v>
      </c>
      <c r="G15" s="12" t="s">
        <v>145</v>
      </c>
    </row>
    <row r="16" spans="2:7" ht="14.5" customHeight="1" x14ac:dyDescent="0.35">
      <c r="B16" s="229"/>
      <c r="C16" s="6" t="s">
        <v>217</v>
      </c>
      <c r="D16" s="10" t="s">
        <v>49</v>
      </c>
      <c r="E16" s="11" t="s">
        <v>141</v>
      </c>
      <c r="G16" s="12" t="s">
        <v>146</v>
      </c>
    </row>
    <row r="17" spans="2:7" ht="14.5" customHeight="1" x14ac:dyDescent="0.35">
      <c r="C17" s="6" t="s">
        <v>215</v>
      </c>
      <c r="D17" s="10" t="s">
        <v>50</v>
      </c>
      <c r="E17" s="11" t="s">
        <v>141</v>
      </c>
      <c r="G17" s="12" t="s">
        <v>150</v>
      </c>
    </row>
    <row r="18" spans="2:7" ht="14.5" customHeight="1" x14ac:dyDescent="0.35">
      <c r="C18" s="6" t="s">
        <v>28</v>
      </c>
      <c r="D18" s="10" t="s">
        <v>28</v>
      </c>
      <c r="E18" s="11" t="s">
        <v>140</v>
      </c>
      <c r="G18" s="13" t="s">
        <v>218</v>
      </c>
    </row>
    <row r="19" spans="2:7" ht="14.5" customHeight="1" x14ac:dyDescent="0.35">
      <c r="C19" s="6" t="s">
        <v>129</v>
      </c>
      <c r="D19" s="10" t="s">
        <v>129</v>
      </c>
      <c r="E19" s="11" t="s">
        <v>138</v>
      </c>
      <c r="G19" s="14"/>
    </row>
    <row r="20" spans="2:7" ht="14.5" customHeight="1" x14ac:dyDescent="0.35">
      <c r="C20" s="6" t="s">
        <v>134</v>
      </c>
      <c r="D20" s="10" t="s">
        <v>134</v>
      </c>
      <c r="E20" s="11" t="s">
        <v>138</v>
      </c>
      <c r="G20" s="14"/>
    </row>
    <row r="21" spans="2:7" ht="14.5" customHeight="1" x14ac:dyDescent="0.35">
      <c r="C21" s="6" t="s">
        <v>130</v>
      </c>
      <c r="D21" s="10" t="s">
        <v>130</v>
      </c>
      <c r="E21" s="11" t="s">
        <v>138</v>
      </c>
      <c r="G21" s="14"/>
    </row>
    <row r="22" spans="2:7" ht="14.5" customHeight="1" x14ac:dyDescent="0.35">
      <c r="C22" s="6" t="s">
        <v>117</v>
      </c>
      <c r="D22" s="10" t="s">
        <v>117</v>
      </c>
      <c r="E22" s="11" t="s">
        <v>144</v>
      </c>
      <c r="G22" s="14"/>
    </row>
    <row r="23" spans="2:7" ht="14.5" customHeight="1" x14ac:dyDescent="0.35">
      <c r="C23" s="6" t="s">
        <v>31</v>
      </c>
      <c r="D23" s="10" t="s">
        <v>31</v>
      </c>
      <c r="E23" s="11" t="s">
        <v>141</v>
      </c>
      <c r="G23" s="14"/>
    </row>
    <row r="24" spans="2:7" ht="14.5" customHeight="1" x14ac:dyDescent="0.35">
      <c r="C24" s="234" t="s">
        <v>219</v>
      </c>
      <c r="D24" s="10" t="s">
        <v>29</v>
      </c>
      <c r="E24" s="11" t="s">
        <v>218</v>
      </c>
      <c r="G24" s="228"/>
    </row>
    <row r="25" spans="2:7" ht="14.5" customHeight="1" x14ac:dyDescent="0.35">
      <c r="C25" s="6" t="s">
        <v>24</v>
      </c>
      <c r="D25" s="10" t="s">
        <v>32</v>
      </c>
      <c r="E25" s="11" t="s">
        <v>141</v>
      </c>
      <c r="G25" s="14"/>
    </row>
    <row r="26" spans="2:7" ht="14.5" customHeight="1" x14ac:dyDescent="0.35">
      <c r="C26" s="6" t="s">
        <v>24</v>
      </c>
      <c r="D26" s="10" t="s">
        <v>33</v>
      </c>
      <c r="E26" s="11" t="s">
        <v>141</v>
      </c>
      <c r="G26" s="14"/>
    </row>
    <row r="27" spans="2:7" ht="14.5" customHeight="1" x14ac:dyDescent="0.35">
      <c r="B27" s="229"/>
      <c r="C27" s="6" t="s">
        <v>216</v>
      </c>
      <c r="D27" s="10" t="s">
        <v>34</v>
      </c>
      <c r="E27" s="11" t="s">
        <v>142</v>
      </c>
      <c r="G27" s="14"/>
    </row>
    <row r="28" spans="2:7" ht="14.5" customHeight="1" x14ac:dyDescent="0.35">
      <c r="C28" s="220" t="s">
        <v>39</v>
      </c>
      <c r="D28" s="10" t="s">
        <v>39</v>
      </c>
      <c r="E28" s="11" t="s">
        <v>141</v>
      </c>
    </row>
    <row r="29" spans="2:7" ht="14.5" customHeight="1" x14ac:dyDescent="0.35">
      <c r="C29" s="220" t="s">
        <v>176</v>
      </c>
      <c r="D29" s="10" t="s">
        <v>166</v>
      </c>
      <c r="E29" s="11" t="s">
        <v>140</v>
      </c>
    </row>
    <row r="30" spans="2:7" ht="14.5" customHeight="1" x14ac:dyDescent="0.35">
      <c r="C30" s="220" t="s">
        <v>176</v>
      </c>
      <c r="D30" s="10" t="s">
        <v>167</v>
      </c>
      <c r="E30" s="11" t="s">
        <v>140</v>
      </c>
    </row>
    <row r="31" spans="2:7" ht="14.5" customHeight="1" x14ac:dyDescent="0.35">
      <c r="C31" s="6" t="s">
        <v>215</v>
      </c>
      <c r="D31" s="10" t="s">
        <v>161</v>
      </c>
      <c r="E31" s="11" t="s">
        <v>141</v>
      </c>
    </row>
    <row r="32" spans="2:7" ht="14.5" customHeight="1" x14ac:dyDescent="0.35">
      <c r="C32" s="220" t="s">
        <v>177</v>
      </c>
      <c r="D32" s="10" t="s">
        <v>35</v>
      </c>
      <c r="E32" s="11" t="s">
        <v>141</v>
      </c>
    </row>
    <row r="33" spans="3:5" ht="14.5" customHeight="1" x14ac:dyDescent="0.35">
      <c r="C33" s="220" t="s">
        <v>131</v>
      </c>
      <c r="D33" s="10" t="s">
        <v>131</v>
      </c>
      <c r="E33" s="11" t="s">
        <v>138</v>
      </c>
    </row>
    <row r="34" spans="3:5" ht="14.5" customHeight="1" x14ac:dyDescent="0.35">
      <c r="C34" s="6" t="s">
        <v>52</v>
      </c>
      <c r="D34" s="10" t="s">
        <v>231</v>
      </c>
      <c r="E34" s="11" t="s">
        <v>141</v>
      </c>
    </row>
    <row r="35" spans="3:5" ht="14.5" customHeight="1" x14ac:dyDescent="0.35">
      <c r="C35" s="6" t="s">
        <v>52</v>
      </c>
      <c r="D35" s="15" t="s">
        <v>52</v>
      </c>
      <c r="E35" s="16" t="s">
        <v>141</v>
      </c>
    </row>
    <row r="36" spans="3:5" ht="14.5" customHeight="1" x14ac:dyDescent="0.35">
      <c r="D36" s="221"/>
      <c r="E36" s="221"/>
    </row>
    <row r="37" spans="3:5" ht="14.5" customHeight="1" x14ac:dyDescent="0.35">
      <c r="D37" s="221"/>
      <c r="E37" s="221"/>
    </row>
    <row r="38" spans="3:5" ht="14.5" customHeight="1" x14ac:dyDescent="0.35">
      <c r="C38" s="5" t="s">
        <v>175</v>
      </c>
      <c r="D38" s="5" t="s">
        <v>212</v>
      </c>
      <c r="E38" s="5" t="s">
        <v>147</v>
      </c>
    </row>
    <row r="39" spans="3:5" ht="14.5" customHeight="1" x14ac:dyDescent="0.35">
      <c r="C39" s="6" t="s">
        <v>124</v>
      </c>
      <c r="D39" s="222" t="s">
        <v>211</v>
      </c>
      <c r="E39" s="223" t="s">
        <v>138</v>
      </c>
    </row>
    <row r="40" spans="3:5" x14ac:dyDescent="0.35">
      <c r="C40" s="6" t="s">
        <v>124</v>
      </c>
      <c r="D40" s="224" t="s">
        <v>211</v>
      </c>
      <c r="E40" s="225" t="s">
        <v>138</v>
      </c>
    </row>
    <row r="41" spans="3:5" x14ac:dyDescent="0.35">
      <c r="C41" s="6" t="s">
        <v>183</v>
      </c>
      <c r="D41" s="224" t="s">
        <v>197</v>
      </c>
      <c r="E41" s="225" t="s">
        <v>138</v>
      </c>
    </row>
    <row r="42" spans="3:5" x14ac:dyDescent="0.35">
      <c r="C42" s="6" t="s">
        <v>183</v>
      </c>
      <c r="D42" s="224" t="s">
        <v>198</v>
      </c>
      <c r="E42" s="225" t="s">
        <v>138</v>
      </c>
    </row>
    <row r="43" spans="3:5" x14ac:dyDescent="0.35">
      <c r="C43" s="220" t="s">
        <v>213</v>
      </c>
      <c r="D43" s="224" t="s">
        <v>199</v>
      </c>
      <c r="E43" s="225" t="s">
        <v>142</v>
      </c>
    </row>
    <row r="44" spans="3:5" x14ac:dyDescent="0.35">
      <c r="C44" s="220" t="s">
        <v>214</v>
      </c>
      <c r="D44" s="224" t="s">
        <v>200</v>
      </c>
      <c r="E44" s="225" t="s">
        <v>141</v>
      </c>
    </row>
    <row r="45" spans="3:5" x14ac:dyDescent="0.35">
      <c r="C45" s="6" t="s">
        <v>183</v>
      </c>
      <c r="D45" s="224" t="s">
        <v>201</v>
      </c>
      <c r="E45" s="225" t="s">
        <v>138</v>
      </c>
    </row>
    <row r="46" spans="3:5" x14ac:dyDescent="0.35">
      <c r="C46" s="6" t="s">
        <v>133</v>
      </c>
      <c r="D46" s="224" t="s">
        <v>84</v>
      </c>
      <c r="E46" s="225" t="s">
        <v>138</v>
      </c>
    </row>
    <row r="47" spans="3:5" x14ac:dyDescent="0.35">
      <c r="C47" s="6" t="s">
        <v>133</v>
      </c>
      <c r="D47" s="224" t="s">
        <v>86</v>
      </c>
      <c r="E47" s="225" t="s">
        <v>138</v>
      </c>
    </row>
    <row r="48" spans="3:5" x14ac:dyDescent="0.35">
      <c r="C48" s="6" t="s">
        <v>133</v>
      </c>
      <c r="D48" s="224" t="s">
        <v>88</v>
      </c>
      <c r="E48" s="225" t="s">
        <v>138</v>
      </c>
    </row>
    <row r="49" spans="3:5" x14ac:dyDescent="0.35">
      <c r="C49" s="6" t="s">
        <v>133</v>
      </c>
      <c r="D49" s="224" t="s">
        <v>90</v>
      </c>
      <c r="E49" s="225" t="s">
        <v>138</v>
      </c>
    </row>
    <row r="50" spans="3:5" x14ac:dyDescent="0.35">
      <c r="C50" s="6" t="s">
        <v>133</v>
      </c>
      <c r="D50" s="224" t="s">
        <v>92</v>
      </c>
      <c r="E50" s="225" t="s">
        <v>138</v>
      </c>
    </row>
    <row r="51" spans="3:5" x14ac:dyDescent="0.35">
      <c r="C51" s="6" t="s">
        <v>95</v>
      </c>
      <c r="D51" s="224" t="s">
        <v>195</v>
      </c>
      <c r="E51" s="225" t="s">
        <v>138</v>
      </c>
    </row>
    <row r="52" spans="3:5" x14ac:dyDescent="0.35">
      <c r="C52" s="6" t="s">
        <v>95</v>
      </c>
      <c r="D52" s="224" t="s">
        <v>196</v>
      </c>
      <c r="E52" s="225" t="s">
        <v>138</v>
      </c>
    </row>
    <row r="53" spans="3:5" x14ac:dyDescent="0.35">
      <c r="C53" s="6" t="s">
        <v>184</v>
      </c>
      <c r="D53" s="224" t="s">
        <v>204</v>
      </c>
      <c r="E53" s="225" t="s">
        <v>138</v>
      </c>
    </row>
    <row r="54" spans="3:5" x14ac:dyDescent="0.35">
      <c r="C54" s="6" t="s">
        <v>184</v>
      </c>
      <c r="D54" s="224" t="s">
        <v>204</v>
      </c>
      <c r="E54" s="225" t="s">
        <v>138</v>
      </c>
    </row>
    <row r="55" spans="3:5" x14ac:dyDescent="0.35">
      <c r="C55" s="6" t="s">
        <v>215</v>
      </c>
      <c r="D55" s="224" t="s">
        <v>202</v>
      </c>
      <c r="E55" s="225" t="s">
        <v>141</v>
      </c>
    </row>
    <row r="56" spans="3:5" x14ac:dyDescent="0.35">
      <c r="C56" s="6" t="s">
        <v>215</v>
      </c>
      <c r="D56" s="224" t="s">
        <v>203</v>
      </c>
      <c r="E56" s="225" t="s">
        <v>141</v>
      </c>
    </row>
    <row r="57" spans="3:5" x14ac:dyDescent="0.35">
      <c r="C57" s="6" t="s">
        <v>180</v>
      </c>
      <c r="D57" s="224" t="s">
        <v>189</v>
      </c>
      <c r="E57" s="225" t="s">
        <v>138</v>
      </c>
    </row>
    <row r="58" spans="3:5" x14ac:dyDescent="0.35">
      <c r="C58" s="6" t="s">
        <v>180</v>
      </c>
      <c r="D58" s="224" t="s">
        <v>188</v>
      </c>
      <c r="E58" s="225" t="s">
        <v>138</v>
      </c>
    </row>
    <row r="59" spans="3:5" x14ac:dyDescent="0.35">
      <c r="C59" s="6" t="s">
        <v>180</v>
      </c>
      <c r="D59" s="224" t="s">
        <v>190</v>
      </c>
      <c r="E59" s="225" t="s">
        <v>138</v>
      </c>
    </row>
    <row r="60" spans="3:5" x14ac:dyDescent="0.35">
      <c r="C60" s="6" t="s">
        <v>180</v>
      </c>
      <c r="D60" s="224" t="s">
        <v>193</v>
      </c>
      <c r="E60" s="225" t="s">
        <v>138</v>
      </c>
    </row>
    <row r="61" spans="3:5" x14ac:dyDescent="0.35">
      <c r="C61" s="6" t="s">
        <v>180</v>
      </c>
      <c r="D61" s="224" t="s">
        <v>194</v>
      </c>
      <c r="E61" s="225" t="s">
        <v>138</v>
      </c>
    </row>
    <row r="62" spans="3:5" x14ac:dyDescent="0.35">
      <c r="C62" s="6" t="s">
        <v>180</v>
      </c>
      <c r="D62" s="224" t="s">
        <v>208</v>
      </c>
      <c r="E62" s="225" t="s">
        <v>138</v>
      </c>
    </row>
    <row r="63" spans="3:5" x14ac:dyDescent="0.35">
      <c r="C63" s="6" t="s">
        <v>180</v>
      </c>
      <c r="D63" s="224" t="s">
        <v>209</v>
      </c>
      <c r="E63" s="225" t="s">
        <v>138</v>
      </c>
    </row>
    <row r="64" spans="3:5" x14ac:dyDescent="0.35">
      <c r="C64" s="6" t="s">
        <v>180</v>
      </c>
      <c r="D64" s="224" t="s">
        <v>210</v>
      </c>
      <c r="E64" s="225" t="s">
        <v>138</v>
      </c>
    </row>
    <row r="65" spans="3:5" x14ac:dyDescent="0.35">
      <c r="C65" s="6" t="s">
        <v>186</v>
      </c>
      <c r="D65" s="224" t="s">
        <v>206</v>
      </c>
      <c r="E65" s="225" t="s">
        <v>138</v>
      </c>
    </row>
    <row r="66" spans="3:5" x14ac:dyDescent="0.35">
      <c r="C66" s="6" t="s">
        <v>186</v>
      </c>
      <c r="D66" s="224" t="s">
        <v>207</v>
      </c>
      <c r="E66" s="225" t="s">
        <v>138</v>
      </c>
    </row>
    <row r="67" spans="3:5" x14ac:dyDescent="0.35">
      <c r="C67" s="6" t="s">
        <v>181</v>
      </c>
      <c r="D67" s="224" t="s">
        <v>191</v>
      </c>
      <c r="E67" s="225" t="s">
        <v>138</v>
      </c>
    </row>
    <row r="68" spans="3:5" x14ac:dyDescent="0.35">
      <c r="C68" s="6" t="s">
        <v>181</v>
      </c>
      <c r="D68" s="224" t="s">
        <v>205</v>
      </c>
      <c r="E68" s="225" t="s">
        <v>138</v>
      </c>
    </row>
    <row r="69" spans="3:5" x14ac:dyDescent="0.35">
      <c r="C69" s="6" t="s">
        <v>185</v>
      </c>
      <c r="D69" s="224" t="s">
        <v>82</v>
      </c>
      <c r="E69" s="225" t="s">
        <v>135</v>
      </c>
    </row>
    <row r="70" spans="3:5" x14ac:dyDescent="0.35">
      <c r="C70" s="6" t="s">
        <v>179</v>
      </c>
      <c r="D70" s="224" t="s">
        <v>187</v>
      </c>
      <c r="E70" s="225" t="s">
        <v>137</v>
      </c>
    </row>
    <row r="71" spans="3:5" x14ac:dyDescent="0.35">
      <c r="C71" s="6" t="s">
        <v>182</v>
      </c>
      <c r="D71" s="226" t="s">
        <v>192</v>
      </c>
      <c r="E71" s="22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USG_InvestorCapitalPerf</vt:lpstr>
      <vt:lpstr>Prime_InvestorCapitalPerf</vt:lpstr>
      <vt:lpstr>Note Holders</vt:lpstr>
      <vt:lpstr>Investor Categories</vt:lpstr>
      <vt:lpstr>InvestorCategories</vt:lpstr>
      <vt:lpstr>Notes_A1</vt:lpstr>
      <vt:lpstr>Notes_M1</vt:lpstr>
      <vt:lpstr>Notes_MIG1</vt:lpstr>
      <vt:lpstr>Notes_MIG2</vt:lpstr>
      <vt:lpstr>Notes_Q1</vt:lpstr>
      <vt:lpstr>Notes_Q364_1</vt:lpstr>
      <vt:lpstr>Notes_Q3641</vt:lpstr>
      <vt:lpstr>Notes_QX1</vt:lpstr>
      <vt:lpstr>PrimeNoteHolders</vt:lpstr>
      <vt:lpstr>Prime_InvestorCapitalPerf!Print_Titles</vt:lpstr>
      <vt:lpstr>USG_InvestorCapitalPerf!Print_Titles</vt:lpstr>
      <vt:lpstr>USG_M6</vt:lpstr>
      <vt:lpstr>USG_M7</vt:lpstr>
      <vt:lpstr>USGNoteHolders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St. Pierre</dc:creator>
  <cp:lastModifiedBy>Thomas Durante</cp:lastModifiedBy>
  <dcterms:created xsi:type="dcterms:W3CDTF">2021-10-07T22:15:46Z</dcterms:created>
  <dcterms:modified xsi:type="dcterms:W3CDTF">2022-07-08T12:23:59Z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